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35" windowWidth="11310" windowHeight="10350" tabRatio="899" firstSheet="21" activeTab="5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state="hidden" r:id="rId14"/>
    <sheet name="抵押物清单" sheetId="84" r:id="rId15"/>
    <sheet name="Sheet3" sheetId="85" r:id="rId16"/>
    <sheet name="数据-汇总表" sheetId="6" r:id="rId17"/>
    <sheet name="数据-取费表" sheetId="1" r:id="rId18"/>
    <sheet name="估价对象房地状况" sheetId="20" r:id="rId19"/>
    <sheet name="系统读取表" sheetId="74" r:id="rId20"/>
    <sheet name="结果表" sheetId="9" r:id="rId21"/>
    <sheet name="比较法-住宅" sheetId="21" r:id="rId22"/>
    <sheet name="成本法" sheetId="68" state="hidden" r:id="rId23"/>
    <sheet name="成本法 (元)" sheetId="69" r:id="rId24"/>
    <sheet name="土地比较法-住宅、综合" sheetId="39" r:id="rId25"/>
    <sheet name="土地案例" sheetId="82" r:id="rId26"/>
    <sheet name="假设开发法" sheetId="12" state="hidden" r:id="rId27"/>
    <sheet name="收益法" sheetId="15"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仓储" sheetId="36"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state="hidden" r:id="rId47"/>
    <sheet name="典型户型修正" sheetId="31" r:id="rId48"/>
    <sheet name="住宅案例" sheetId="83" r:id="rId49"/>
    <sheet name="结果表-车库" sheetId="86" r:id="rId50"/>
    <sheet name="比较法-车位" sheetId="35" r:id="rId51"/>
    <sheet name="收益法 (元)" sheetId="67" r:id="rId52"/>
    <sheet name="典型户型修正-车库" sheetId="88" r:id="rId53"/>
    <sheet name="车位案例" sheetId="93" r:id="rId54"/>
    <sheet name="结果表-机械车库" sheetId="89" r:id="rId55"/>
    <sheet name="成本法 (元)-机械车库" sheetId="90" r:id="rId56"/>
    <sheet name="收益法 (元)-机械车库" sheetId="91" r:id="rId57"/>
    <sheet name="典型户型修正-机械车库" sheetId="92" r:id="rId58"/>
    <sheet name="成本法-机械车库" sheetId="87" state="hidden" r:id="rId59"/>
  </sheets>
  <externalReferences>
    <externalReference r:id="rId60"/>
    <externalReference r:id="rId61"/>
  </externalReferences>
  <definedNames>
    <definedName name="_xlnm._FilterDatabase" localSheetId="31" hidden="1">'比较法-办公'!$A$1:$L$50</definedName>
    <definedName name="_xlnm._FilterDatabase" localSheetId="33" hidden="1">'比较法-仓储'!$A$1:$L$37</definedName>
    <definedName name="_xlnm._FilterDatabase" localSheetId="50"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5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'比较法-住宅'!$A$1:$K$54,'比较法-住宅'!$A$57:$M$131</definedName>
    <definedName name="_xlnm.Print_Area" localSheetId="22">成本法!$A$1:$G$57</definedName>
    <definedName name="_xlnm.Print_Area" localSheetId="23">'成本法 (元)'!$A$1:$G$57</definedName>
    <definedName name="_xlnm.Print_Area" localSheetId="55">'成本法 (元)-机械车库'!$A$1:$G$57</definedName>
    <definedName name="_xlnm.Print_Area" localSheetId="58">'成本法-机械车库'!$A$1:$G$57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6">假设开发法!$A$1:$K$32</definedName>
    <definedName name="_xlnm.Print_Area" localSheetId="20">结果表!$A$1:$I$127</definedName>
    <definedName name="_xlnm.Print_Area" localSheetId="49">'结果表-车库'!$A$1:$I$127</definedName>
    <definedName name="_xlnm.Print_Area" localSheetId="54">'结果表-机械车库'!$A$1:$I$127</definedName>
    <definedName name="_xlnm.Print_Area" localSheetId="27">收益法!$A$1:$F$43,收益法!$H$3:$M$29,收益法!$A$46:$F$71,收益法!$I$46:$N$65</definedName>
    <definedName name="_xlnm.Print_Area" localSheetId="51">'收益法 (元)'!$A$1:$F$43,'收益法 (元)'!$H$3:$M$29,'收益法 (元)'!$A$45:$F$71,'收益法 (元)'!$I$46:$N$65</definedName>
    <definedName name="_xlnm.Print_Area" localSheetId="56">'收益法 (元)-机械车库'!$A$1:$F$43,'收益法 (元)-机械车库'!$H$3:$M$29,'收益法 (元)-机械车库'!$A$45:$F$71,'收益法 (元)-机械车库'!$I$46:$N$65</definedName>
    <definedName name="_xlnm.Print_Area" localSheetId="29">'收益法（汇总）'!$A$1:$F$13</definedName>
    <definedName name="_xlnm.Print_Area" localSheetId="16">'数据-汇总表'!$A$1:$P$32</definedName>
    <definedName name="_xlnm.Print_Area" localSheetId="34">'土地比较法-工业'!$A$1:$K$61,'土地比较法-工业'!$A$64:$M$121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52">'典型户型修正-车库'!$5:$5</definedName>
    <definedName name="一修多修正项2" localSheetId="57">'典型户型修正-机械车库'!$5:$5</definedName>
    <definedName name="一修多修正项2">典型户型修正!$5:$5</definedName>
    <definedName name="一修多修正项3" localSheetId="52">'典型户型修正-车库'!$7:$7</definedName>
    <definedName name="一修多修正项3" localSheetId="57">'典型户型修正-机械车库'!$7:$7</definedName>
    <definedName name="一修多修正项3">典型户型修正!$7:$7</definedName>
    <definedName name="一修多修正项4" localSheetId="52">'典型户型修正-车库'!$9:$9</definedName>
    <definedName name="一修多修正项4" localSheetId="57">'典型户型修正-机械车库'!$9:$9</definedName>
    <definedName name="一修多修正项4">典型户型修正!$9:$9</definedName>
    <definedName name="一修多修正项5" localSheetId="52">'典型户型修正-车库'!$11:$11</definedName>
    <definedName name="一修多修正项5" localSheetId="57">'典型户型修正-机械车库'!$11:$11</definedName>
    <definedName name="一修多修正项5">典型户型修正!$11:$11</definedName>
    <definedName name="一修多修正项6" localSheetId="52">'典型户型修正-车库'!$13:$13</definedName>
    <definedName name="一修多修正项6" localSheetId="57">'典型户型修正-机械车库'!$13:$13</definedName>
    <definedName name="一修多修正项6">典型户型修正!$13:$13</definedName>
    <definedName name="一修多修正项7" localSheetId="52">'典型户型修正-车库'!$15:$15</definedName>
    <definedName name="一修多修正项7" localSheetId="57">'典型户型修正-机械车库'!$15:$15</definedName>
    <definedName name="一修多修正项7">典型户型修正!$15:$15</definedName>
    <definedName name="一修多修正项8" localSheetId="52">'典型户型修正-车库'!$17:$17</definedName>
    <definedName name="一修多修正项8" localSheetId="57">'典型户型修正-机械车库'!$17:$17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7" i="35" l="1"/>
  <c r="G37" i="35"/>
  <c r="E37" i="35"/>
  <c r="R67" i="93"/>
  <c r="R34" i="93"/>
  <c r="R7" i="93"/>
  <c r="I5" i="35"/>
  <c r="G5" i="35"/>
  <c r="E5" i="35"/>
  <c r="I7" i="35"/>
  <c r="G7" i="35"/>
  <c r="E7" i="35"/>
  <c r="A25" i="92"/>
  <c r="B25" i="92"/>
  <c r="A26" i="92"/>
  <c r="B26" i="92"/>
  <c r="A27" i="92"/>
  <c r="B27" i="92"/>
  <c r="A28" i="92"/>
  <c r="B28" i="92"/>
  <c r="A29" i="92"/>
  <c r="B29" i="92"/>
  <c r="A30" i="92"/>
  <c r="B30" i="92"/>
  <c r="A31" i="92"/>
  <c r="B31" i="92"/>
  <c r="A32" i="92"/>
  <c r="B32" i="92"/>
  <c r="A33" i="92"/>
  <c r="B33" i="92"/>
  <c r="A34" i="92"/>
  <c r="B34" i="92"/>
  <c r="A35" i="92"/>
  <c r="B35" i="92"/>
  <c r="A36" i="92"/>
  <c r="B36" i="92"/>
  <c r="A37" i="92"/>
  <c r="B37" i="92"/>
  <c r="A38" i="92"/>
  <c r="B38" i="92"/>
  <c r="A39" i="92"/>
  <c r="B39" i="92"/>
  <c r="A40" i="92"/>
  <c r="B40" i="92"/>
  <c r="A41" i="92"/>
  <c r="B41" i="92"/>
  <c r="A42" i="92"/>
  <c r="B42" i="92"/>
  <c r="A43" i="92"/>
  <c r="B43" i="92"/>
  <c r="A44" i="92"/>
  <c r="B44" i="92"/>
  <c r="A45" i="92"/>
  <c r="B45" i="92"/>
  <c r="A46" i="92"/>
  <c r="B46" i="92"/>
  <c r="A47" i="92"/>
  <c r="B47" i="92"/>
  <c r="A48" i="92"/>
  <c r="B48" i="92"/>
  <c r="A49" i="92"/>
  <c r="B49" i="92"/>
  <c r="A50" i="92"/>
  <c r="B50" i="92"/>
  <c r="A51" i="92"/>
  <c r="B51" i="92"/>
  <c r="A52" i="92"/>
  <c r="B52" i="92"/>
  <c r="A53" i="92"/>
  <c r="B53" i="92"/>
  <c r="B24" i="92"/>
  <c r="A24" i="92"/>
  <c r="R524" i="92"/>
  <c r="S524" i="92" s="1"/>
  <c r="Q524" i="92"/>
  <c r="O524" i="92"/>
  <c r="M524" i="92"/>
  <c r="K524" i="92"/>
  <c r="I524" i="92"/>
  <c r="G524" i="92"/>
  <c r="C524" i="92"/>
  <c r="R523" i="92"/>
  <c r="S523" i="92" s="1"/>
  <c r="Q523" i="92"/>
  <c r="O523" i="92"/>
  <c r="M523" i="92"/>
  <c r="K523" i="92"/>
  <c r="I523" i="92"/>
  <c r="G523" i="92"/>
  <c r="C523" i="92"/>
  <c r="R522" i="92"/>
  <c r="S522" i="92" s="1"/>
  <c r="Q522" i="92"/>
  <c r="O522" i="92"/>
  <c r="M522" i="92"/>
  <c r="K522" i="92"/>
  <c r="I522" i="92"/>
  <c r="G522" i="92"/>
  <c r="C522" i="92"/>
  <c r="R521" i="92"/>
  <c r="S521" i="92" s="1"/>
  <c r="Q521" i="92"/>
  <c r="O521" i="92"/>
  <c r="M521" i="92"/>
  <c r="K521" i="92"/>
  <c r="I521" i="92"/>
  <c r="G521" i="92"/>
  <c r="C521" i="92"/>
  <c r="R520" i="92"/>
  <c r="S520" i="92" s="1"/>
  <c r="Q520" i="92"/>
  <c r="O520" i="92"/>
  <c r="M520" i="92"/>
  <c r="K520" i="92"/>
  <c r="I520" i="92"/>
  <c r="G520" i="92"/>
  <c r="C520" i="92"/>
  <c r="R519" i="92"/>
  <c r="S519" i="92" s="1"/>
  <c r="Q519" i="92"/>
  <c r="O519" i="92"/>
  <c r="M519" i="92"/>
  <c r="K519" i="92"/>
  <c r="I519" i="92"/>
  <c r="G519" i="92"/>
  <c r="C519" i="92"/>
  <c r="R518" i="92"/>
  <c r="S518" i="92" s="1"/>
  <c r="Q518" i="92"/>
  <c r="O518" i="92"/>
  <c r="M518" i="92"/>
  <c r="K518" i="92"/>
  <c r="I518" i="92"/>
  <c r="G518" i="92"/>
  <c r="C518" i="92"/>
  <c r="R517" i="92"/>
  <c r="S517" i="92" s="1"/>
  <c r="Q517" i="92"/>
  <c r="O517" i="92"/>
  <c r="M517" i="92"/>
  <c r="K517" i="92"/>
  <c r="I517" i="92"/>
  <c r="G517" i="92"/>
  <c r="C517" i="92"/>
  <c r="R516" i="92"/>
  <c r="S516" i="92" s="1"/>
  <c r="Q516" i="92"/>
  <c r="O516" i="92"/>
  <c r="M516" i="92"/>
  <c r="K516" i="92"/>
  <c r="I516" i="92"/>
  <c r="G516" i="92"/>
  <c r="C516" i="92"/>
  <c r="R515" i="92"/>
  <c r="S515" i="92" s="1"/>
  <c r="Q515" i="92"/>
  <c r="O515" i="92"/>
  <c r="M515" i="92"/>
  <c r="K515" i="92"/>
  <c r="I515" i="92"/>
  <c r="G515" i="92"/>
  <c r="C515" i="92"/>
  <c r="R514" i="92"/>
  <c r="S514" i="92" s="1"/>
  <c r="Q514" i="92"/>
  <c r="O514" i="92"/>
  <c r="M514" i="92"/>
  <c r="K514" i="92"/>
  <c r="I514" i="92"/>
  <c r="G514" i="92"/>
  <c r="C514" i="92"/>
  <c r="R513" i="92"/>
  <c r="S513" i="92" s="1"/>
  <c r="Q513" i="92"/>
  <c r="O513" i="92"/>
  <c r="M513" i="92"/>
  <c r="K513" i="92"/>
  <c r="I513" i="92"/>
  <c r="G513" i="92"/>
  <c r="C513" i="92"/>
  <c r="S512" i="92"/>
  <c r="R512" i="92"/>
  <c r="Q512" i="92"/>
  <c r="O512" i="92"/>
  <c r="M512" i="92"/>
  <c r="K512" i="92"/>
  <c r="I512" i="92"/>
  <c r="G512" i="92"/>
  <c r="C512" i="92"/>
  <c r="R511" i="92"/>
  <c r="S511" i="92" s="1"/>
  <c r="Q511" i="92"/>
  <c r="O511" i="92"/>
  <c r="M511" i="92"/>
  <c r="K511" i="92"/>
  <c r="I511" i="92"/>
  <c r="G511" i="92"/>
  <c r="C511" i="92"/>
  <c r="R510" i="92"/>
  <c r="S510" i="92" s="1"/>
  <c r="Q510" i="92"/>
  <c r="O510" i="92"/>
  <c r="M510" i="92"/>
  <c r="K510" i="92"/>
  <c r="I510" i="92"/>
  <c r="G510" i="92"/>
  <c r="C510" i="92"/>
  <c r="R509" i="92"/>
  <c r="S509" i="92" s="1"/>
  <c r="Q509" i="92"/>
  <c r="O509" i="92"/>
  <c r="M509" i="92"/>
  <c r="K509" i="92"/>
  <c r="I509" i="92"/>
  <c r="G509" i="92"/>
  <c r="C509" i="92"/>
  <c r="R508" i="92"/>
  <c r="S508" i="92" s="1"/>
  <c r="Q508" i="92"/>
  <c r="O508" i="92"/>
  <c r="M508" i="92"/>
  <c r="K508" i="92"/>
  <c r="I508" i="92"/>
  <c r="G508" i="92"/>
  <c r="C508" i="92"/>
  <c r="R507" i="92"/>
  <c r="S507" i="92" s="1"/>
  <c r="Q507" i="92"/>
  <c r="O507" i="92"/>
  <c r="M507" i="92"/>
  <c r="K507" i="92"/>
  <c r="I507" i="92"/>
  <c r="G507" i="92"/>
  <c r="C507" i="92"/>
  <c r="R506" i="92"/>
  <c r="S506" i="92" s="1"/>
  <c r="Q506" i="92"/>
  <c r="O506" i="92"/>
  <c r="M506" i="92"/>
  <c r="K506" i="92"/>
  <c r="I506" i="92"/>
  <c r="G506" i="92"/>
  <c r="C506" i="92"/>
  <c r="R505" i="92"/>
  <c r="S505" i="92" s="1"/>
  <c r="Q505" i="92"/>
  <c r="O505" i="92"/>
  <c r="M505" i="92"/>
  <c r="K505" i="92"/>
  <c r="I505" i="92"/>
  <c r="G505" i="92"/>
  <c r="C505" i="92"/>
  <c r="R504" i="92"/>
  <c r="S504" i="92" s="1"/>
  <c r="Q504" i="92"/>
  <c r="O504" i="92"/>
  <c r="M504" i="92"/>
  <c r="K504" i="92"/>
  <c r="I504" i="92"/>
  <c r="G504" i="92"/>
  <c r="C504" i="92"/>
  <c r="R503" i="92"/>
  <c r="S503" i="92" s="1"/>
  <c r="Q503" i="92"/>
  <c r="O503" i="92"/>
  <c r="M503" i="92"/>
  <c r="K503" i="92"/>
  <c r="I503" i="92"/>
  <c r="G503" i="92"/>
  <c r="C503" i="92"/>
  <c r="R502" i="92"/>
  <c r="S502" i="92" s="1"/>
  <c r="Q502" i="92"/>
  <c r="O502" i="92"/>
  <c r="M502" i="92"/>
  <c r="K502" i="92"/>
  <c r="I502" i="92"/>
  <c r="G502" i="92"/>
  <c r="C502" i="92"/>
  <c r="R501" i="92"/>
  <c r="S501" i="92" s="1"/>
  <c r="Q501" i="92"/>
  <c r="O501" i="92"/>
  <c r="M501" i="92"/>
  <c r="K501" i="92"/>
  <c r="I501" i="92"/>
  <c r="G501" i="92"/>
  <c r="C501" i="92"/>
  <c r="R500" i="92"/>
  <c r="S500" i="92" s="1"/>
  <c r="Q500" i="92"/>
  <c r="O500" i="92"/>
  <c r="M500" i="92"/>
  <c r="K500" i="92"/>
  <c r="I500" i="92"/>
  <c r="G500" i="92"/>
  <c r="C500" i="92"/>
  <c r="R499" i="92"/>
  <c r="S499" i="92" s="1"/>
  <c r="Q499" i="92"/>
  <c r="O499" i="92"/>
  <c r="M499" i="92"/>
  <c r="K499" i="92"/>
  <c r="I499" i="92"/>
  <c r="G499" i="92"/>
  <c r="C499" i="92"/>
  <c r="R498" i="92"/>
  <c r="S498" i="92" s="1"/>
  <c r="Q498" i="92"/>
  <c r="O498" i="92"/>
  <c r="M498" i="92"/>
  <c r="K498" i="92"/>
  <c r="I498" i="92"/>
  <c r="G498" i="92"/>
  <c r="C498" i="92"/>
  <c r="R497" i="92"/>
  <c r="S497" i="92" s="1"/>
  <c r="Q497" i="92"/>
  <c r="O497" i="92"/>
  <c r="M497" i="92"/>
  <c r="K497" i="92"/>
  <c r="I497" i="92"/>
  <c r="G497" i="92"/>
  <c r="C497" i="92"/>
  <c r="R496" i="92"/>
  <c r="S496" i="92" s="1"/>
  <c r="Q496" i="92"/>
  <c r="O496" i="92"/>
  <c r="M496" i="92"/>
  <c r="K496" i="92"/>
  <c r="I496" i="92"/>
  <c r="G496" i="92"/>
  <c r="C496" i="92"/>
  <c r="R495" i="92"/>
  <c r="S495" i="92" s="1"/>
  <c r="Q495" i="92"/>
  <c r="O495" i="92"/>
  <c r="M495" i="92"/>
  <c r="K495" i="92"/>
  <c r="I495" i="92"/>
  <c r="G495" i="92"/>
  <c r="C495" i="92"/>
  <c r="R494" i="92"/>
  <c r="S494" i="92" s="1"/>
  <c r="Q494" i="92"/>
  <c r="O494" i="92"/>
  <c r="M494" i="92"/>
  <c r="K494" i="92"/>
  <c r="I494" i="92"/>
  <c r="G494" i="92"/>
  <c r="C494" i="92"/>
  <c r="R493" i="92"/>
  <c r="S493" i="92" s="1"/>
  <c r="Q493" i="92"/>
  <c r="O493" i="92"/>
  <c r="M493" i="92"/>
  <c r="K493" i="92"/>
  <c r="I493" i="92"/>
  <c r="G493" i="92"/>
  <c r="C493" i="92"/>
  <c r="R492" i="92"/>
  <c r="S492" i="92" s="1"/>
  <c r="Q492" i="92"/>
  <c r="O492" i="92"/>
  <c r="M492" i="92"/>
  <c r="K492" i="92"/>
  <c r="I492" i="92"/>
  <c r="G492" i="92"/>
  <c r="C492" i="92"/>
  <c r="R491" i="92"/>
  <c r="S491" i="92" s="1"/>
  <c r="Q491" i="92"/>
  <c r="O491" i="92"/>
  <c r="M491" i="92"/>
  <c r="K491" i="92"/>
  <c r="I491" i="92"/>
  <c r="G491" i="92"/>
  <c r="C491" i="92"/>
  <c r="R490" i="92"/>
  <c r="S490" i="92" s="1"/>
  <c r="Q490" i="92"/>
  <c r="O490" i="92"/>
  <c r="M490" i="92"/>
  <c r="K490" i="92"/>
  <c r="I490" i="92"/>
  <c r="G490" i="92"/>
  <c r="C490" i="92"/>
  <c r="R489" i="92"/>
  <c r="S489" i="92" s="1"/>
  <c r="Q489" i="92"/>
  <c r="O489" i="92"/>
  <c r="M489" i="92"/>
  <c r="K489" i="92"/>
  <c r="I489" i="92"/>
  <c r="G489" i="92"/>
  <c r="C489" i="92"/>
  <c r="R488" i="92"/>
  <c r="S488" i="92" s="1"/>
  <c r="Q488" i="92"/>
  <c r="O488" i="92"/>
  <c r="M488" i="92"/>
  <c r="K488" i="92"/>
  <c r="I488" i="92"/>
  <c r="G488" i="92"/>
  <c r="C488" i="92"/>
  <c r="R487" i="92"/>
  <c r="S487" i="92" s="1"/>
  <c r="Q487" i="92"/>
  <c r="O487" i="92"/>
  <c r="M487" i="92"/>
  <c r="K487" i="92"/>
  <c r="I487" i="92"/>
  <c r="G487" i="92"/>
  <c r="C487" i="92"/>
  <c r="R486" i="92"/>
  <c r="S486" i="92" s="1"/>
  <c r="Q486" i="92"/>
  <c r="O486" i="92"/>
  <c r="M486" i="92"/>
  <c r="K486" i="92"/>
  <c r="I486" i="92"/>
  <c r="G486" i="92"/>
  <c r="C486" i="92"/>
  <c r="R485" i="92"/>
  <c r="S485" i="92" s="1"/>
  <c r="Q485" i="92"/>
  <c r="O485" i="92"/>
  <c r="M485" i="92"/>
  <c r="K485" i="92"/>
  <c r="I485" i="92"/>
  <c r="G485" i="92"/>
  <c r="C485" i="92"/>
  <c r="R484" i="92"/>
  <c r="S484" i="92" s="1"/>
  <c r="Q484" i="92"/>
  <c r="O484" i="92"/>
  <c r="M484" i="92"/>
  <c r="K484" i="92"/>
  <c r="I484" i="92"/>
  <c r="G484" i="92"/>
  <c r="C484" i="92"/>
  <c r="R483" i="92"/>
  <c r="S483" i="92" s="1"/>
  <c r="Q483" i="92"/>
  <c r="O483" i="92"/>
  <c r="M483" i="92"/>
  <c r="K483" i="92"/>
  <c r="I483" i="92"/>
  <c r="G483" i="92"/>
  <c r="C483" i="92"/>
  <c r="R482" i="92"/>
  <c r="S482" i="92" s="1"/>
  <c r="Q482" i="92"/>
  <c r="O482" i="92"/>
  <c r="M482" i="92"/>
  <c r="K482" i="92"/>
  <c r="I482" i="92"/>
  <c r="G482" i="92"/>
  <c r="C482" i="92"/>
  <c r="R481" i="92"/>
  <c r="S481" i="92" s="1"/>
  <c r="Q481" i="92"/>
  <c r="O481" i="92"/>
  <c r="M481" i="92"/>
  <c r="K481" i="92"/>
  <c r="I481" i="92"/>
  <c r="G481" i="92"/>
  <c r="C481" i="92"/>
  <c r="R480" i="92"/>
  <c r="S480" i="92" s="1"/>
  <c r="Q480" i="92"/>
  <c r="O480" i="92"/>
  <c r="M480" i="92"/>
  <c r="K480" i="92"/>
  <c r="I480" i="92"/>
  <c r="G480" i="92"/>
  <c r="C480" i="92"/>
  <c r="R479" i="92"/>
  <c r="S479" i="92" s="1"/>
  <c r="Q479" i="92"/>
  <c r="O479" i="92"/>
  <c r="M479" i="92"/>
  <c r="K479" i="92"/>
  <c r="I479" i="92"/>
  <c r="G479" i="92"/>
  <c r="C479" i="92"/>
  <c r="R478" i="92"/>
  <c r="S478" i="92" s="1"/>
  <c r="Q478" i="92"/>
  <c r="O478" i="92"/>
  <c r="M478" i="92"/>
  <c r="K478" i="92"/>
  <c r="I478" i="92"/>
  <c r="G478" i="92"/>
  <c r="C478" i="92"/>
  <c r="R477" i="92"/>
  <c r="S477" i="92" s="1"/>
  <c r="Q477" i="92"/>
  <c r="O477" i="92"/>
  <c r="M477" i="92"/>
  <c r="K477" i="92"/>
  <c r="I477" i="92"/>
  <c r="G477" i="92"/>
  <c r="C477" i="92"/>
  <c r="R476" i="92"/>
  <c r="S476" i="92" s="1"/>
  <c r="Q476" i="92"/>
  <c r="O476" i="92"/>
  <c r="M476" i="92"/>
  <c r="K476" i="92"/>
  <c r="I476" i="92"/>
  <c r="G476" i="92"/>
  <c r="C476" i="92"/>
  <c r="R475" i="92"/>
  <c r="S475" i="92" s="1"/>
  <c r="Q475" i="92"/>
  <c r="O475" i="92"/>
  <c r="M475" i="92"/>
  <c r="K475" i="92"/>
  <c r="I475" i="92"/>
  <c r="G475" i="92"/>
  <c r="C475" i="92"/>
  <c r="R474" i="92"/>
  <c r="S474" i="92" s="1"/>
  <c r="Q474" i="92"/>
  <c r="O474" i="92"/>
  <c r="M474" i="92"/>
  <c r="K474" i="92"/>
  <c r="I474" i="92"/>
  <c r="G474" i="92"/>
  <c r="C474" i="92"/>
  <c r="R473" i="92"/>
  <c r="S473" i="92" s="1"/>
  <c r="Q473" i="92"/>
  <c r="O473" i="92"/>
  <c r="M473" i="92"/>
  <c r="K473" i="92"/>
  <c r="I473" i="92"/>
  <c r="G473" i="92"/>
  <c r="C473" i="92"/>
  <c r="R472" i="92"/>
  <c r="S472" i="92" s="1"/>
  <c r="Q472" i="92"/>
  <c r="O472" i="92"/>
  <c r="M472" i="92"/>
  <c r="K472" i="92"/>
  <c r="I472" i="92"/>
  <c r="G472" i="92"/>
  <c r="C472" i="92"/>
  <c r="R471" i="92"/>
  <c r="S471" i="92" s="1"/>
  <c r="Q471" i="92"/>
  <c r="O471" i="92"/>
  <c r="M471" i="92"/>
  <c r="K471" i="92"/>
  <c r="I471" i="92"/>
  <c r="G471" i="92"/>
  <c r="C471" i="92"/>
  <c r="R470" i="92"/>
  <c r="S470" i="92" s="1"/>
  <c r="Q470" i="92"/>
  <c r="O470" i="92"/>
  <c r="M470" i="92"/>
  <c r="K470" i="92"/>
  <c r="I470" i="92"/>
  <c r="G470" i="92"/>
  <c r="C470" i="92"/>
  <c r="R469" i="92"/>
  <c r="S469" i="92" s="1"/>
  <c r="Q469" i="92"/>
  <c r="O469" i="92"/>
  <c r="M469" i="92"/>
  <c r="K469" i="92"/>
  <c r="I469" i="92"/>
  <c r="G469" i="92"/>
  <c r="C469" i="92"/>
  <c r="R468" i="92"/>
  <c r="S468" i="92" s="1"/>
  <c r="Q468" i="92"/>
  <c r="O468" i="92"/>
  <c r="M468" i="92"/>
  <c r="K468" i="92"/>
  <c r="I468" i="92"/>
  <c r="G468" i="92"/>
  <c r="C468" i="92"/>
  <c r="R467" i="92"/>
  <c r="S467" i="92" s="1"/>
  <c r="Q467" i="92"/>
  <c r="O467" i="92"/>
  <c r="M467" i="92"/>
  <c r="K467" i="92"/>
  <c r="I467" i="92"/>
  <c r="G467" i="92"/>
  <c r="C467" i="92"/>
  <c r="R466" i="92"/>
  <c r="S466" i="92" s="1"/>
  <c r="Q466" i="92"/>
  <c r="O466" i="92"/>
  <c r="M466" i="92"/>
  <c r="K466" i="92"/>
  <c r="I466" i="92"/>
  <c r="G466" i="92"/>
  <c r="C466" i="92"/>
  <c r="R465" i="92"/>
  <c r="S465" i="92" s="1"/>
  <c r="Q465" i="92"/>
  <c r="O465" i="92"/>
  <c r="M465" i="92"/>
  <c r="K465" i="92"/>
  <c r="I465" i="92"/>
  <c r="G465" i="92"/>
  <c r="C465" i="92"/>
  <c r="R464" i="92"/>
  <c r="S464" i="92" s="1"/>
  <c r="Q464" i="92"/>
  <c r="O464" i="92"/>
  <c r="M464" i="92"/>
  <c r="K464" i="92"/>
  <c r="I464" i="92"/>
  <c r="G464" i="92"/>
  <c r="C464" i="92"/>
  <c r="R463" i="92"/>
  <c r="S463" i="92" s="1"/>
  <c r="Q463" i="92"/>
  <c r="O463" i="92"/>
  <c r="M463" i="92"/>
  <c r="K463" i="92"/>
  <c r="I463" i="92"/>
  <c r="G463" i="92"/>
  <c r="C463" i="92"/>
  <c r="R462" i="92"/>
  <c r="S462" i="92" s="1"/>
  <c r="Q462" i="92"/>
  <c r="O462" i="92"/>
  <c r="M462" i="92"/>
  <c r="K462" i="92"/>
  <c r="I462" i="92"/>
  <c r="G462" i="92"/>
  <c r="C462" i="92"/>
  <c r="R461" i="92"/>
  <c r="S461" i="92" s="1"/>
  <c r="Q461" i="92"/>
  <c r="O461" i="92"/>
  <c r="M461" i="92"/>
  <c r="K461" i="92"/>
  <c r="I461" i="92"/>
  <c r="G461" i="92"/>
  <c r="C461" i="92"/>
  <c r="R460" i="92"/>
  <c r="S460" i="92" s="1"/>
  <c r="Q460" i="92"/>
  <c r="O460" i="92"/>
  <c r="M460" i="92"/>
  <c r="K460" i="92"/>
  <c r="I460" i="92"/>
  <c r="G460" i="92"/>
  <c r="C460" i="92"/>
  <c r="R459" i="92"/>
  <c r="S459" i="92" s="1"/>
  <c r="Q459" i="92"/>
  <c r="O459" i="92"/>
  <c r="M459" i="92"/>
  <c r="K459" i="92"/>
  <c r="I459" i="92"/>
  <c r="G459" i="92"/>
  <c r="C459" i="92"/>
  <c r="R458" i="92"/>
  <c r="S458" i="92" s="1"/>
  <c r="Q458" i="92"/>
  <c r="O458" i="92"/>
  <c r="M458" i="92"/>
  <c r="K458" i="92"/>
  <c r="I458" i="92"/>
  <c r="G458" i="92"/>
  <c r="C458" i="92"/>
  <c r="R457" i="92"/>
  <c r="S457" i="92" s="1"/>
  <c r="Q457" i="92"/>
  <c r="O457" i="92"/>
  <c r="M457" i="92"/>
  <c r="K457" i="92"/>
  <c r="I457" i="92"/>
  <c r="G457" i="92"/>
  <c r="C457" i="92"/>
  <c r="R456" i="92"/>
  <c r="S456" i="92" s="1"/>
  <c r="Q456" i="92"/>
  <c r="O456" i="92"/>
  <c r="M456" i="92"/>
  <c r="K456" i="92"/>
  <c r="I456" i="92"/>
  <c r="G456" i="92"/>
  <c r="C456" i="92"/>
  <c r="R455" i="92"/>
  <c r="S455" i="92" s="1"/>
  <c r="Q455" i="92"/>
  <c r="O455" i="92"/>
  <c r="M455" i="92"/>
  <c r="K455" i="92"/>
  <c r="I455" i="92"/>
  <c r="G455" i="92"/>
  <c r="C455" i="92"/>
  <c r="R454" i="92"/>
  <c r="S454" i="92" s="1"/>
  <c r="Q454" i="92"/>
  <c r="O454" i="92"/>
  <c r="M454" i="92"/>
  <c r="K454" i="92"/>
  <c r="I454" i="92"/>
  <c r="G454" i="92"/>
  <c r="C454" i="92"/>
  <c r="R453" i="92"/>
  <c r="S453" i="92" s="1"/>
  <c r="Q453" i="92"/>
  <c r="O453" i="92"/>
  <c r="M453" i="92"/>
  <c r="K453" i="92"/>
  <c r="I453" i="92"/>
  <c r="G453" i="92"/>
  <c r="C453" i="92"/>
  <c r="R452" i="92"/>
  <c r="S452" i="92" s="1"/>
  <c r="Q452" i="92"/>
  <c r="O452" i="92"/>
  <c r="M452" i="92"/>
  <c r="K452" i="92"/>
  <c r="I452" i="92"/>
  <c r="G452" i="92"/>
  <c r="C452" i="92"/>
  <c r="R451" i="92"/>
  <c r="S451" i="92" s="1"/>
  <c r="Q451" i="92"/>
  <c r="O451" i="92"/>
  <c r="M451" i="92"/>
  <c r="K451" i="92"/>
  <c r="I451" i="92"/>
  <c r="G451" i="92"/>
  <c r="C451" i="92"/>
  <c r="R450" i="92"/>
  <c r="S450" i="92" s="1"/>
  <c r="Q450" i="92"/>
  <c r="O450" i="92"/>
  <c r="M450" i="92"/>
  <c r="K450" i="92"/>
  <c r="I450" i="92"/>
  <c r="G450" i="92"/>
  <c r="C450" i="92"/>
  <c r="R449" i="92"/>
  <c r="S449" i="92" s="1"/>
  <c r="Q449" i="92"/>
  <c r="O449" i="92"/>
  <c r="M449" i="92"/>
  <c r="K449" i="92"/>
  <c r="I449" i="92"/>
  <c r="G449" i="92"/>
  <c r="C449" i="92"/>
  <c r="S448" i="92"/>
  <c r="R448" i="92"/>
  <c r="Q448" i="92"/>
  <c r="O448" i="92"/>
  <c r="M448" i="92"/>
  <c r="K448" i="92"/>
  <c r="I448" i="92"/>
  <c r="G448" i="92"/>
  <c r="C448" i="92"/>
  <c r="R447" i="92"/>
  <c r="S447" i="92" s="1"/>
  <c r="Q447" i="92"/>
  <c r="O447" i="92"/>
  <c r="M447" i="92"/>
  <c r="K447" i="92"/>
  <c r="I447" i="92"/>
  <c r="G447" i="92"/>
  <c r="C447" i="92"/>
  <c r="R446" i="92"/>
  <c r="S446" i="92" s="1"/>
  <c r="Q446" i="92"/>
  <c r="O446" i="92"/>
  <c r="M446" i="92"/>
  <c r="K446" i="92"/>
  <c r="I446" i="92"/>
  <c r="G446" i="92"/>
  <c r="C446" i="92"/>
  <c r="R445" i="92"/>
  <c r="S445" i="92" s="1"/>
  <c r="Q445" i="92"/>
  <c r="O445" i="92"/>
  <c r="M445" i="92"/>
  <c r="K445" i="92"/>
  <c r="I445" i="92"/>
  <c r="G445" i="92"/>
  <c r="C445" i="92"/>
  <c r="R444" i="92"/>
  <c r="S444" i="92" s="1"/>
  <c r="Q444" i="92"/>
  <c r="O444" i="92"/>
  <c r="M444" i="92"/>
  <c r="K444" i="92"/>
  <c r="I444" i="92"/>
  <c r="G444" i="92"/>
  <c r="C444" i="92"/>
  <c r="R443" i="92"/>
  <c r="S443" i="92" s="1"/>
  <c r="Q443" i="92"/>
  <c r="O443" i="92"/>
  <c r="M443" i="92"/>
  <c r="K443" i="92"/>
  <c r="I443" i="92"/>
  <c r="G443" i="92"/>
  <c r="C443" i="92"/>
  <c r="R442" i="92"/>
  <c r="S442" i="92" s="1"/>
  <c r="Q442" i="92"/>
  <c r="O442" i="92"/>
  <c r="M442" i="92"/>
  <c r="K442" i="92"/>
  <c r="I442" i="92"/>
  <c r="G442" i="92"/>
  <c r="C442" i="92"/>
  <c r="R441" i="92"/>
  <c r="S441" i="92" s="1"/>
  <c r="Q441" i="92"/>
  <c r="O441" i="92"/>
  <c r="M441" i="92"/>
  <c r="K441" i="92"/>
  <c r="I441" i="92"/>
  <c r="G441" i="92"/>
  <c r="C441" i="92"/>
  <c r="R440" i="92"/>
  <c r="S440" i="92" s="1"/>
  <c r="Q440" i="92"/>
  <c r="O440" i="92"/>
  <c r="M440" i="92"/>
  <c r="K440" i="92"/>
  <c r="I440" i="92"/>
  <c r="G440" i="92"/>
  <c r="C440" i="92"/>
  <c r="R439" i="92"/>
  <c r="S439" i="92" s="1"/>
  <c r="Q439" i="92"/>
  <c r="O439" i="92"/>
  <c r="M439" i="92"/>
  <c r="K439" i="92"/>
  <c r="I439" i="92"/>
  <c r="G439" i="92"/>
  <c r="C439" i="92"/>
  <c r="R438" i="92"/>
  <c r="S438" i="92" s="1"/>
  <c r="Q438" i="92"/>
  <c r="O438" i="92"/>
  <c r="M438" i="92"/>
  <c r="K438" i="92"/>
  <c r="I438" i="92"/>
  <c r="G438" i="92"/>
  <c r="C438" i="92"/>
  <c r="R437" i="92"/>
  <c r="S437" i="92" s="1"/>
  <c r="Q437" i="92"/>
  <c r="O437" i="92"/>
  <c r="M437" i="92"/>
  <c r="K437" i="92"/>
  <c r="I437" i="92"/>
  <c r="G437" i="92"/>
  <c r="C437" i="92"/>
  <c r="R436" i="92"/>
  <c r="S436" i="92" s="1"/>
  <c r="Q436" i="92"/>
  <c r="O436" i="92"/>
  <c r="M436" i="92"/>
  <c r="K436" i="92"/>
  <c r="I436" i="92"/>
  <c r="G436" i="92"/>
  <c r="C436" i="92"/>
  <c r="R435" i="92"/>
  <c r="S435" i="92" s="1"/>
  <c r="Q435" i="92"/>
  <c r="O435" i="92"/>
  <c r="M435" i="92"/>
  <c r="K435" i="92"/>
  <c r="I435" i="92"/>
  <c r="G435" i="92"/>
  <c r="C435" i="92"/>
  <c r="R434" i="92"/>
  <c r="S434" i="92" s="1"/>
  <c r="Q434" i="92"/>
  <c r="O434" i="92"/>
  <c r="M434" i="92"/>
  <c r="K434" i="92"/>
  <c r="I434" i="92"/>
  <c r="G434" i="92"/>
  <c r="C434" i="92"/>
  <c r="R433" i="92"/>
  <c r="S433" i="92" s="1"/>
  <c r="Q433" i="92"/>
  <c r="O433" i="92"/>
  <c r="M433" i="92"/>
  <c r="K433" i="92"/>
  <c r="I433" i="92"/>
  <c r="G433" i="92"/>
  <c r="C433" i="92"/>
  <c r="R432" i="92"/>
  <c r="S432" i="92" s="1"/>
  <c r="Q432" i="92"/>
  <c r="O432" i="92"/>
  <c r="M432" i="92"/>
  <c r="K432" i="92"/>
  <c r="I432" i="92"/>
  <c r="G432" i="92"/>
  <c r="C432" i="92"/>
  <c r="R431" i="92"/>
  <c r="S431" i="92" s="1"/>
  <c r="Q431" i="92"/>
  <c r="O431" i="92"/>
  <c r="M431" i="92"/>
  <c r="K431" i="92"/>
  <c r="I431" i="92"/>
  <c r="G431" i="92"/>
  <c r="C431" i="92"/>
  <c r="R430" i="92"/>
  <c r="S430" i="92" s="1"/>
  <c r="Q430" i="92"/>
  <c r="O430" i="92"/>
  <c r="M430" i="92"/>
  <c r="K430" i="92"/>
  <c r="I430" i="92"/>
  <c r="G430" i="92"/>
  <c r="C430" i="92"/>
  <c r="R429" i="92"/>
  <c r="S429" i="92" s="1"/>
  <c r="Q429" i="92"/>
  <c r="O429" i="92"/>
  <c r="M429" i="92"/>
  <c r="K429" i="92"/>
  <c r="I429" i="92"/>
  <c r="G429" i="92"/>
  <c r="C429" i="92"/>
  <c r="R428" i="92"/>
  <c r="S428" i="92" s="1"/>
  <c r="Q428" i="92"/>
  <c r="O428" i="92"/>
  <c r="M428" i="92"/>
  <c r="K428" i="92"/>
  <c r="I428" i="92"/>
  <c r="G428" i="92"/>
  <c r="C428" i="92"/>
  <c r="R427" i="92"/>
  <c r="S427" i="92" s="1"/>
  <c r="Q427" i="92"/>
  <c r="O427" i="92"/>
  <c r="M427" i="92"/>
  <c r="K427" i="92"/>
  <c r="I427" i="92"/>
  <c r="G427" i="92"/>
  <c r="C427" i="92"/>
  <c r="R426" i="92"/>
  <c r="S426" i="92" s="1"/>
  <c r="Q426" i="92"/>
  <c r="O426" i="92"/>
  <c r="M426" i="92"/>
  <c r="K426" i="92"/>
  <c r="I426" i="92"/>
  <c r="G426" i="92"/>
  <c r="C426" i="92"/>
  <c r="R425" i="92"/>
  <c r="S425" i="92" s="1"/>
  <c r="Q425" i="92"/>
  <c r="O425" i="92"/>
  <c r="M425" i="92"/>
  <c r="K425" i="92"/>
  <c r="I425" i="92"/>
  <c r="G425" i="92"/>
  <c r="C425" i="92"/>
  <c r="R424" i="92"/>
  <c r="S424" i="92" s="1"/>
  <c r="Q424" i="92"/>
  <c r="O424" i="92"/>
  <c r="M424" i="92"/>
  <c r="K424" i="92"/>
  <c r="I424" i="92"/>
  <c r="G424" i="92"/>
  <c r="C424" i="92"/>
  <c r="R423" i="92"/>
  <c r="S423" i="92" s="1"/>
  <c r="Q423" i="92"/>
  <c r="O423" i="92"/>
  <c r="M423" i="92"/>
  <c r="K423" i="92"/>
  <c r="I423" i="92"/>
  <c r="G423" i="92"/>
  <c r="C423" i="92"/>
  <c r="R422" i="92"/>
  <c r="S422" i="92" s="1"/>
  <c r="Q422" i="92"/>
  <c r="O422" i="92"/>
  <c r="M422" i="92"/>
  <c r="K422" i="92"/>
  <c r="I422" i="92"/>
  <c r="G422" i="92"/>
  <c r="C422" i="92"/>
  <c r="R421" i="92"/>
  <c r="S421" i="92" s="1"/>
  <c r="Q421" i="92"/>
  <c r="O421" i="92"/>
  <c r="M421" i="92"/>
  <c r="K421" i="92"/>
  <c r="I421" i="92"/>
  <c r="G421" i="92"/>
  <c r="C421" i="92"/>
  <c r="R420" i="92"/>
  <c r="S420" i="92" s="1"/>
  <c r="Q420" i="92"/>
  <c r="O420" i="92"/>
  <c r="M420" i="92"/>
  <c r="K420" i="92"/>
  <c r="I420" i="92"/>
  <c r="G420" i="92"/>
  <c r="C420" i="92"/>
  <c r="R419" i="92"/>
  <c r="S419" i="92" s="1"/>
  <c r="Q419" i="92"/>
  <c r="O419" i="92"/>
  <c r="M419" i="92"/>
  <c r="K419" i="92"/>
  <c r="I419" i="92"/>
  <c r="G419" i="92"/>
  <c r="C419" i="92"/>
  <c r="R418" i="92"/>
  <c r="S418" i="92" s="1"/>
  <c r="Q418" i="92"/>
  <c r="O418" i="92"/>
  <c r="M418" i="92"/>
  <c r="K418" i="92"/>
  <c r="I418" i="92"/>
  <c r="G418" i="92"/>
  <c r="C418" i="92"/>
  <c r="R417" i="92"/>
  <c r="S417" i="92" s="1"/>
  <c r="Q417" i="92"/>
  <c r="O417" i="92"/>
  <c r="M417" i="92"/>
  <c r="K417" i="92"/>
  <c r="I417" i="92"/>
  <c r="G417" i="92"/>
  <c r="C417" i="92"/>
  <c r="R416" i="92"/>
  <c r="S416" i="92" s="1"/>
  <c r="Q416" i="92"/>
  <c r="O416" i="92"/>
  <c r="M416" i="92"/>
  <c r="K416" i="92"/>
  <c r="I416" i="92"/>
  <c r="G416" i="92"/>
  <c r="C416" i="92"/>
  <c r="R415" i="92"/>
  <c r="S415" i="92" s="1"/>
  <c r="Q415" i="92"/>
  <c r="O415" i="92"/>
  <c r="M415" i="92"/>
  <c r="K415" i="92"/>
  <c r="I415" i="92"/>
  <c r="G415" i="92"/>
  <c r="C415" i="92"/>
  <c r="R414" i="92"/>
  <c r="S414" i="92" s="1"/>
  <c r="Q414" i="92"/>
  <c r="O414" i="92"/>
  <c r="M414" i="92"/>
  <c r="K414" i="92"/>
  <c r="I414" i="92"/>
  <c r="G414" i="92"/>
  <c r="C414" i="92"/>
  <c r="R413" i="92"/>
  <c r="S413" i="92" s="1"/>
  <c r="Q413" i="92"/>
  <c r="O413" i="92"/>
  <c r="M413" i="92"/>
  <c r="K413" i="92"/>
  <c r="I413" i="92"/>
  <c r="G413" i="92"/>
  <c r="C413" i="92"/>
  <c r="R412" i="92"/>
  <c r="S412" i="92" s="1"/>
  <c r="Q412" i="92"/>
  <c r="O412" i="92"/>
  <c r="M412" i="92"/>
  <c r="K412" i="92"/>
  <c r="I412" i="92"/>
  <c r="G412" i="92"/>
  <c r="C412" i="92"/>
  <c r="R411" i="92"/>
  <c r="S411" i="92" s="1"/>
  <c r="Q411" i="92"/>
  <c r="O411" i="92"/>
  <c r="M411" i="92"/>
  <c r="K411" i="92"/>
  <c r="I411" i="92"/>
  <c r="G411" i="92"/>
  <c r="C411" i="92"/>
  <c r="R410" i="92"/>
  <c r="S410" i="92" s="1"/>
  <c r="Q410" i="92"/>
  <c r="O410" i="92"/>
  <c r="M410" i="92"/>
  <c r="K410" i="92"/>
  <c r="I410" i="92"/>
  <c r="G410" i="92"/>
  <c r="C410" i="92"/>
  <c r="R409" i="92"/>
  <c r="S409" i="92" s="1"/>
  <c r="Q409" i="92"/>
  <c r="O409" i="92"/>
  <c r="M409" i="92"/>
  <c r="K409" i="92"/>
  <c r="I409" i="92"/>
  <c r="G409" i="92"/>
  <c r="C409" i="92"/>
  <c r="R408" i="92"/>
  <c r="S408" i="92" s="1"/>
  <c r="Q408" i="92"/>
  <c r="O408" i="92"/>
  <c r="M408" i="92"/>
  <c r="K408" i="92"/>
  <c r="I408" i="92"/>
  <c r="G408" i="92"/>
  <c r="C408" i="92"/>
  <c r="R407" i="92"/>
  <c r="S407" i="92" s="1"/>
  <c r="Q407" i="92"/>
  <c r="O407" i="92"/>
  <c r="M407" i="92"/>
  <c r="K407" i="92"/>
  <c r="I407" i="92"/>
  <c r="G407" i="92"/>
  <c r="C407" i="92"/>
  <c r="R406" i="92"/>
  <c r="S406" i="92" s="1"/>
  <c r="Q406" i="92"/>
  <c r="O406" i="92"/>
  <c r="M406" i="92"/>
  <c r="K406" i="92"/>
  <c r="I406" i="92"/>
  <c r="G406" i="92"/>
  <c r="C406" i="92"/>
  <c r="R405" i="92"/>
  <c r="S405" i="92" s="1"/>
  <c r="Q405" i="92"/>
  <c r="O405" i="92"/>
  <c r="M405" i="92"/>
  <c r="K405" i="92"/>
  <c r="I405" i="92"/>
  <c r="G405" i="92"/>
  <c r="C405" i="92"/>
  <c r="R404" i="92"/>
  <c r="S404" i="92" s="1"/>
  <c r="Q404" i="92"/>
  <c r="O404" i="92"/>
  <c r="M404" i="92"/>
  <c r="K404" i="92"/>
  <c r="I404" i="92"/>
  <c r="G404" i="92"/>
  <c r="C404" i="92"/>
  <c r="R403" i="92"/>
  <c r="S403" i="92" s="1"/>
  <c r="Q403" i="92"/>
  <c r="O403" i="92"/>
  <c r="M403" i="92"/>
  <c r="K403" i="92"/>
  <c r="I403" i="92"/>
  <c r="G403" i="92"/>
  <c r="C403" i="92"/>
  <c r="R402" i="92"/>
  <c r="S402" i="92" s="1"/>
  <c r="Q402" i="92"/>
  <c r="O402" i="92"/>
  <c r="M402" i="92"/>
  <c r="K402" i="92"/>
  <c r="I402" i="92"/>
  <c r="G402" i="92"/>
  <c r="C402" i="92"/>
  <c r="R401" i="92"/>
  <c r="S401" i="92" s="1"/>
  <c r="Q401" i="92"/>
  <c r="O401" i="92"/>
  <c r="M401" i="92"/>
  <c r="K401" i="92"/>
  <c r="I401" i="92"/>
  <c r="G401" i="92"/>
  <c r="C401" i="92"/>
  <c r="R400" i="92"/>
  <c r="S400" i="92" s="1"/>
  <c r="Q400" i="92"/>
  <c r="O400" i="92"/>
  <c r="M400" i="92"/>
  <c r="K400" i="92"/>
  <c r="I400" i="92"/>
  <c r="G400" i="92"/>
  <c r="C400" i="92"/>
  <c r="R399" i="92"/>
  <c r="S399" i="92" s="1"/>
  <c r="Q399" i="92"/>
  <c r="O399" i="92"/>
  <c r="M399" i="92"/>
  <c r="K399" i="92"/>
  <c r="I399" i="92"/>
  <c r="G399" i="92"/>
  <c r="C399" i="92"/>
  <c r="R398" i="92"/>
  <c r="S398" i="92" s="1"/>
  <c r="Q398" i="92"/>
  <c r="O398" i="92"/>
  <c r="M398" i="92"/>
  <c r="K398" i="92"/>
  <c r="I398" i="92"/>
  <c r="G398" i="92"/>
  <c r="C398" i="92"/>
  <c r="R397" i="92"/>
  <c r="S397" i="92" s="1"/>
  <c r="Q397" i="92"/>
  <c r="O397" i="92"/>
  <c r="M397" i="92"/>
  <c r="K397" i="92"/>
  <c r="I397" i="92"/>
  <c r="G397" i="92"/>
  <c r="C397" i="92"/>
  <c r="R396" i="92"/>
  <c r="S396" i="92" s="1"/>
  <c r="Q396" i="92"/>
  <c r="O396" i="92"/>
  <c r="M396" i="92"/>
  <c r="K396" i="92"/>
  <c r="I396" i="92"/>
  <c r="G396" i="92"/>
  <c r="C396" i="92"/>
  <c r="R395" i="92"/>
  <c r="S395" i="92" s="1"/>
  <c r="Q395" i="92"/>
  <c r="O395" i="92"/>
  <c r="M395" i="92"/>
  <c r="K395" i="92"/>
  <c r="I395" i="92"/>
  <c r="G395" i="92"/>
  <c r="C395" i="92"/>
  <c r="R394" i="92"/>
  <c r="S394" i="92" s="1"/>
  <c r="Q394" i="92"/>
  <c r="O394" i="92"/>
  <c r="M394" i="92"/>
  <c r="K394" i="92"/>
  <c r="I394" i="92"/>
  <c r="G394" i="92"/>
  <c r="C394" i="92"/>
  <c r="R393" i="92"/>
  <c r="S393" i="92" s="1"/>
  <c r="Q393" i="92"/>
  <c r="O393" i="92"/>
  <c r="M393" i="92"/>
  <c r="K393" i="92"/>
  <c r="I393" i="92"/>
  <c r="G393" i="92"/>
  <c r="C393" i="92"/>
  <c r="R392" i="92"/>
  <c r="S392" i="92" s="1"/>
  <c r="Q392" i="92"/>
  <c r="O392" i="92"/>
  <c r="M392" i="92"/>
  <c r="K392" i="92"/>
  <c r="I392" i="92"/>
  <c r="G392" i="92"/>
  <c r="C392" i="92"/>
  <c r="R391" i="92"/>
  <c r="S391" i="92" s="1"/>
  <c r="Q391" i="92"/>
  <c r="O391" i="92"/>
  <c r="M391" i="92"/>
  <c r="K391" i="92"/>
  <c r="I391" i="92"/>
  <c r="G391" i="92"/>
  <c r="C391" i="92"/>
  <c r="R390" i="92"/>
  <c r="S390" i="92" s="1"/>
  <c r="Q390" i="92"/>
  <c r="O390" i="92"/>
  <c r="M390" i="92"/>
  <c r="K390" i="92"/>
  <c r="I390" i="92"/>
  <c r="G390" i="92"/>
  <c r="C390" i="92"/>
  <c r="R389" i="92"/>
  <c r="S389" i="92" s="1"/>
  <c r="Q389" i="92"/>
  <c r="O389" i="92"/>
  <c r="M389" i="92"/>
  <c r="K389" i="92"/>
  <c r="I389" i="92"/>
  <c r="G389" i="92"/>
  <c r="C389" i="92"/>
  <c r="R388" i="92"/>
  <c r="S388" i="92" s="1"/>
  <c r="Q388" i="92"/>
  <c r="O388" i="92"/>
  <c r="M388" i="92"/>
  <c r="K388" i="92"/>
  <c r="I388" i="92"/>
  <c r="G388" i="92"/>
  <c r="C388" i="92"/>
  <c r="R387" i="92"/>
  <c r="S387" i="92" s="1"/>
  <c r="Q387" i="92"/>
  <c r="O387" i="92"/>
  <c r="M387" i="92"/>
  <c r="K387" i="92"/>
  <c r="I387" i="92"/>
  <c r="G387" i="92"/>
  <c r="C387" i="92"/>
  <c r="R386" i="92"/>
  <c r="S386" i="92" s="1"/>
  <c r="Q386" i="92"/>
  <c r="O386" i="92"/>
  <c r="M386" i="92"/>
  <c r="K386" i="92"/>
  <c r="I386" i="92"/>
  <c r="G386" i="92"/>
  <c r="C386" i="92"/>
  <c r="R385" i="92"/>
  <c r="S385" i="92" s="1"/>
  <c r="Q385" i="92"/>
  <c r="O385" i="92"/>
  <c r="M385" i="92"/>
  <c r="K385" i="92"/>
  <c r="I385" i="92"/>
  <c r="G385" i="92"/>
  <c r="C385" i="92"/>
  <c r="S384" i="92"/>
  <c r="R384" i="92"/>
  <c r="Q384" i="92"/>
  <c r="O384" i="92"/>
  <c r="M384" i="92"/>
  <c r="K384" i="92"/>
  <c r="I384" i="92"/>
  <c r="G384" i="92"/>
  <c r="C384" i="92"/>
  <c r="R383" i="92"/>
  <c r="S383" i="92" s="1"/>
  <c r="Q383" i="92"/>
  <c r="O383" i="92"/>
  <c r="M383" i="92"/>
  <c r="K383" i="92"/>
  <c r="I383" i="92"/>
  <c r="G383" i="92"/>
  <c r="C383" i="92"/>
  <c r="R382" i="92"/>
  <c r="S382" i="92" s="1"/>
  <c r="Q382" i="92"/>
  <c r="O382" i="92"/>
  <c r="M382" i="92"/>
  <c r="K382" i="92"/>
  <c r="I382" i="92"/>
  <c r="G382" i="92"/>
  <c r="C382" i="92"/>
  <c r="R381" i="92"/>
  <c r="S381" i="92" s="1"/>
  <c r="Q381" i="92"/>
  <c r="O381" i="92"/>
  <c r="M381" i="92"/>
  <c r="K381" i="92"/>
  <c r="I381" i="92"/>
  <c r="G381" i="92"/>
  <c r="C381" i="92"/>
  <c r="R380" i="92"/>
  <c r="S380" i="92" s="1"/>
  <c r="Q380" i="92"/>
  <c r="O380" i="92"/>
  <c r="M380" i="92"/>
  <c r="K380" i="92"/>
  <c r="I380" i="92"/>
  <c r="G380" i="92"/>
  <c r="C380" i="92"/>
  <c r="R379" i="92"/>
  <c r="S379" i="92" s="1"/>
  <c r="Q379" i="92"/>
  <c r="O379" i="92"/>
  <c r="M379" i="92"/>
  <c r="K379" i="92"/>
  <c r="I379" i="92"/>
  <c r="G379" i="92"/>
  <c r="C379" i="92"/>
  <c r="R378" i="92"/>
  <c r="S378" i="92" s="1"/>
  <c r="Q378" i="92"/>
  <c r="O378" i="92"/>
  <c r="M378" i="92"/>
  <c r="K378" i="92"/>
  <c r="I378" i="92"/>
  <c r="G378" i="92"/>
  <c r="C378" i="92"/>
  <c r="R377" i="92"/>
  <c r="S377" i="92" s="1"/>
  <c r="Q377" i="92"/>
  <c r="O377" i="92"/>
  <c r="M377" i="92"/>
  <c r="K377" i="92"/>
  <c r="I377" i="92"/>
  <c r="G377" i="92"/>
  <c r="C377" i="92"/>
  <c r="R376" i="92"/>
  <c r="S376" i="92" s="1"/>
  <c r="Q376" i="92"/>
  <c r="O376" i="92"/>
  <c r="M376" i="92"/>
  <c r="K376" i="92"/>
  <c r="I376" i="92"/>
  <c r="G376" i="92"/>
  <c r="C376" i="92"/>
  <c r="R375" i="92"/>
  <c r="S375" i="92" s="1"/>
  <c r="Q375" i="92"/>
  <c r="O375" i="92"/>
  <c r="M375" i="92"/>
  <c r="K375" i="92"/>
  <c r="I375" i="92"/>
  <c r="G375" i="92"/>
  <c r="C375" i="92"/>
  <c r="R374" i="92"/>
  <c r="S374" i="92" s="1"/>
  <c r="Q374" i="92"/>
  <c r="O374" i="92"/>
  <c r="M374" i="92"/>
  <c r="K374" i="92"/>
  <c r="I374" i="92"/>
  <c r="G374" i="92"/>
  <c r="C374" i="92"/>
  <c r="R373" i="92"/>
  <c r="S373" i="92" s="1"/>
  <c r="Q373" i="92"/>
  <c r="O373" i="92"/>
  <c r="M373" i="92"/>
  <c r="K373" i="92"/>
  <c r="I373" i="92"/>
  <c r="G373" i="92"/>
  <c r="C373" i="92"/>
  <c r="R372" i="92"/>
  <c r="S372" i="92" s="1"/>
  <c r="Q372" i="92"/>
  <c r="O372" i="92"/>
  <c r="M372" i="92"/>
  <c r="K372" i="92"/>
  <c r="I372" i="92"/>
  <c r="G372" i="92"/>
  <c r="C372" i="92"/>
  <c r="R371" i="92"/>
  <c r="S371" i="92" s="1"/>
  <c r="Q371" i="92"/>
  <c r="O371" i="92"/>
  <c r="M371" i="92"/>
  <c r="K371" i="92"/>
  <c r="I371" i="92"/>
  <c r="G371" i="92"/>
  <c r="C371" i="92"/>
  <c r="R370" i="92"/>
  <c r="S370" i="92" s="1"/>
  <c r="Q370" i="92"/>
  <c r="O370" i="92"/>
  <c r="M370" i="92"/>
  <c r="K370" i="92"/>
  <c r="I370" i="92"/>
  <c r="G370" i="92"/>
  <c r="C370" i="92"/>
  <c r="R369" i="92"/>
  <c r="S369" i="92" s="1"/>
  <c r="Q369" i="92"/>
  <c r="O369" i="92"/>
  <c r="M369" i="92"/>
  <c r="K369" i="92"/>
  <c r="I369" i="92"/>
  <c r="G369" i="92"/>
  <c r="C369" i="92"/>
  <c r="R368" i="92"/>
  <c r="S368" i="92" s="1"/>
  <c r="Q368" i="92"/>
  <c r="O368" i="92"/>
  <c r="M368" i="92"/>
  <c r="K368" i="92"/>
  <c r="I368" i="92"/>
  <c r="G368" i="92"/>
  <c r="C368" i="92"/>
  <c r="R367" i="92"/>
  <c r="S367" i="92" s="1"/>
  <c r="Q367" i="92"/>
  <c r="O367" i="92"/>
  <c r="M367" i="92"/>
  <c r="K367" i="92"/>
  <c r="I367" i="92"/>
  <c r="G367" i="92"/>
  <c r="C367" i="92"/>
  <c r="R366" i="92"/>
  <c r="S366" i="92" s="1"/>
  <c r="Q366" i="92"/>
  <c r="O366" i="92"/>
  <c r="M366" i="92"/>
  <c r="K366" i="92"/>
  <c r="I366" i="92"/>
  <c r="G366" i="92"/>
  <c r="C366" i="92"/>
  <c r="R365" i="92"/>
  <c r="S365" i="92" s="1"/>
  <c r="Q365" i="92"/>
  <c r="O365" i="92"/>
  <c r="M365" i="92"/>
  <c r="K365" i="92"/>
  <c r="I365" i="92"/>
  <c r="G365" i="92"/>
  <c r="C365" i="92"/>
  <c r="R364" i="92"/>
  <c r="S364" i="92" s="1"/>
  <c r="Q364" i="92"/>
  <c r="O364" i="92"/>
  <c r="M364" i="92"/>
  <c r="K364" i="92"/>
  <c r="I364" i="92"/>
  <c r="G364" i="92"/>
  <c r="C364" i="92"/>
  <c r="R363" i="92"/>
  <c r="S363" i="92" s="1"/>
  <c r="Q363" i="92"/>
  <c r="O363" i="92"/>
  <c r="M363" i="92"/>
  <c r="K363" i="92"/>
  <c r="I363" i="92"/>
  <c r="G363" i="92"/>
  <c r="C363" i="92"/>
  <c r="R362" i="92"/>
  <c r="S362" i="92" s="1"/>
  <c r="Q362" i="92"/>
  <c r="O362" i="92"/>
  <c r="M362" i="92"/>
  <c r="K362" i="92"/>
  <c r="I362" i="92"/>
  <c r="G362" i="92"/>
  <c r="C362" i="92"/>
  <c r="R361" i="92"/>
  <c r="S361" i="92" s="1"/>
  <c r="Q361" i="92"/>
  <c r="O361" i="92"/>
  <c r="M361" i="92"/>
  <c r="K361" i="92"/>
  <c r="I361" i="92"/>
  <c r="G361" i="92"/>
  <c r="C361" i="92"/>
  <c r="R360" i="92"/>
  <c r="S360" i="92" s="1"/>
  <c r="Q360" i="92"/>
  <c r="O360" i="92"/>
  <c r="M360" i="92"/>
  <c r="K360" i="92"/>
  <c r="I360" i="92"/>
  <c r="G360" i="92"/>
  <c r="C360" i="92"/>
  <c r="R359" i="92"/>
  <c r="S359" i="92" s="1"/>
  <c r="Q359" i="92"/>
  <c r="O359" i="92"/>
  <c r="M359" i="92"/>
  <c r="K359" i="92"/>
  <c r="I359" i="92"/>
  <c r="G359" i="92"/>
  <c r="C359" i="92"/>
  <c r="R358" i="92"/>
  <c r="S358" i="92" s="1"/>
  <c r="Q358" i="92"/>
  <c r="O358" i="92"/>
  <c r="M358" i="92"/>
  <c r="K358" i="92"/>
  <c r="I358" i="92"/>
  <c r="G358" i="92"/>
  <c r="C358" i="92"/>
  <c r="R357" i="92"/>
  <c r="S357" i="92" s="1"/>
  <c r="Q357" i="92"/>
  <c r="O357" i="92"/>
  <c r="M357" i="92"/>
  <c r="K357" i="92"/>
  <c r="I357" i="92"/>
  <c r="G357" i="92"/>
  <c r="C357" i="92"/>
  <c r="R356" i="92"/>
  <c r="S356" i="92" s="1"/>
  <c r="Q356" i="92"/>
  <c r="O356" i="92"/>
  <c r="M356" i="92"/>
  <c r="K356" i="92"/>
  <c r="I356" i="92"/>
  <c r="G356" i="92"/>
  <c r="C356" i="92"/>
  <c r="R355" i="92"/>
  <c r="S355" i="92" s="1"/>
  <c r="Q355" i="92"/>
  <c r="O355" i="92"/>
  <c r="M355" i="92"/>
  <c r="K355" i="92"/>
  <c r="I355" i="92"/>
  <c r="G355" i="92"/>
  <c r="C355" i="92"/>
  <c r="R354" i="92"/>
  <c r="S354" i="92" s="1"/>
  <c r="Q354" i="92"/>
  <c r="O354" i="92"/>
  <c r="M354" i="92"/>
  <c r="K354" i="92"/>
  <c r="I354" i="92"/>
  <c r="G354" i="92"/>
  <c r="C354" i="92"/>
  <c r="R353" i="92"/>
  <c r="S353" i="92" s="1"/>
  <c r="Q353" i="92"/>
  <c r="O353" i="92"/>
  <c r="M353" i="92"/>
  <c r="K353" i="92"/>
  <c r="I353" i="92"/>
  <c r="G353" i="92"/>
  <c r="C353" i="92"/>
  <c r="R352" i="92"/>
  <c r="S352" i="92" s="1"/>
  <c r="Q352" i="92"/>
  <c r="O352" i="92"/>
  <c r="M352" i="92"/>
  <c r="K352" i="92"/>
  <c r="I352" i="92"/>
  <c r="G352" i="92"/>
  <c r="C352" i="92"/>
  <c r="R351" i="92"/>
  <c r="S351" i="92" s="1"/>
  <c r="Q351" i="92"/>
  <c r="O351" i="92"/>
  <c r="M351" i="92"/>
  <c r="K351" i="92"/>
  <c r="I351" i="92"/>
  <c r="G351" i="92"/>
  <c r="C351" i="92"/>
  <c r="R350" i="92"/>
  <c r="S350" i="92" s="1"/>
  <c r="Q350" i="92"/>
  <c r="O350" i="92"/>
  <c r="M350" i="92"/>
  <c r="K350" i="92"/>
  <c r="I350" i="92"/>
  <c r="G350" i="92"/>
  <c r="C350" i="92"/>
  <c r="R349" i="92"/>
  <c r="S349" i="92" s="1"/>
  <c r="Q349" i="92"/>
  <c r="O349" i="92"/>
  <c r="M349" i="92"/>
  <c r="K349" i="92"/>
  <c r="I349" i="92"/>
  <c r="G349" i="92"/>
  <c r="C349" i="92"/>
  <c r="R348" i="92"/>
  <c r="S348" i="92" s="1"/>
  <c r="Q348" i="92"/>
  <c r="O348" i="92"/>
  <c r="M348" i="92"/>
  <c r="K348" i="92"/>
  <c r="I348" i="92"/>
  <c r="G348" i="92"/>
  <c r="C348" i="92"/>
  <c r="R347" i="92"/>
  <c r="S347" i="92" s="1"/>
  <c r="Q347" i="92"/>
  <c r="O347" i="92"/>
  <c r="M347" i="92"/>
  <c r="K347" i="92"/>
  <c r="I347" i="92"/>
  <c r="G347" i="92"/>
  <c r="C347" i="92"/>
  <c r="R346" i="92"/>
  <c r="S346" i="92" s="1"/>
  <c r="Q346" i="92"/>
  <c r="O346" i="92"/>
  <c r="M346" i="92"/>
  <c r="K346" i="92"/>
  <c r="I346" i="92"/>
  <c r="G346" i="92"/>
  <c r="C346" i="92"/>
  <c r="R345" i="92"/>
  <c r="S345" i="92" s="1"/>
  <c r="Q345" i="92"/>
  <c r="O345" i="92"/>
  <c r="M345" i="92"/>
  <c r="K345" i="92"/>
  <c r="I345" i="92"/>
  <c r="G345" i="92"/>
  <c r="C345" i="92"/>
  <c r="R344" i="92"/>
  <c r="S344" i="92" s="1"/>
  <c r="Q344" i="92"/>
  <c r="O344" i="92"/>
  <c r="M344" i="92"/>
  <c r="K344" i="92"/>
  <c r="I344" i="92"/>
  <c r="G344" i="92"/>
  <c r="C344" i="92"/>
  <c r="R343" i="92"/>
  <c r="S343" i="92" s="1"/>
  <c r="Q343" i="92"/>
  <c r="O343" i="92"/>
  <c r="M343" i="92"/>
  <c r="K343" i="92"/>
  <c r="I343" i="92"/>
  <c r="G343" i="92"/>
  <c r="C343" i="92"/>
  <c r="R342" i="92"/>
  <c r="S342" i="92" s="1"/>
  <c r="Q342" i="92"/>
  <c r="O342" i="92"/>
  <c r="M342" i="92"/>
  <c r="K342" i="92"/>
  <c r="I342" i="92"/>
  <c r="G342" i="92"/>
  <c r="C342" i="92"/>
  <c r="R341" i="92"/>
  <c r="S341" i="92" s="1"/>
  <c r="Q341" i="92"/>
  <c r="O341" i="92"/>
  <c r="M341" i="92"/>
  <c r="K341" i="92"/>
  <c r="I341" i="92"/>
  <c r="G341" i="92"/>
  <c r="C341" i="92"/>
  <c r="R340" i="92"/>
  <c r="S340" i="92" s="1"/>
  <c r="Q340" i="92"/>
  <c r="O340" i="92"/>
  <c r="M340" i="92"/>
  <c r="K340" i="92"/>
  <c r="I340" i="92"/>
  <c r="G340" i="92"/>
  <c r="C340" i="92"/>
  <c r="R339" i="92"/>
  <c r="S339" i="92" s="1"/>
  <c r="Q339" i="92"/>
  <c r="O339" i="92"/>
  <c r="M339" i="92"/>
  <c r="K339" i="92"/>
  <c r="I339" i="92"/>
  <c r="G339" i="92"/>
  <c r="C339" i="92"/>
  <c r="R338" i="92"/>
  <c r="S338" i="92" s="1"/>
  <c r="Q338" i="92"/>
  <c r="O338" i="92"/>
  <c r="M338" i="92"/>
  <c r="K338" i="92"/>
  <c r="I338" i="92"/>
  <c r="G338" i="92"/>
  <c r="C338" i="92"/>
  <c r="R337" i="92"/>
  <c r="S337" i="92" s="1"/>
  <c r="Q337" i="92"/>
  <c r="O337" i="92"/>
  <c r="M337" i="92"/>
  <c r="K337" i="92"/>
  <c r="I337" i="92"/>
  <c r="G337" i="92"/>
  <c r="C337" i="92"/>
  <c r="R336" i="92"/>
  <c r="S336" i="92" s="1"/>
  <c r="Q336" i="92"/>
  <c r="O336" i="92"/>
  <c r="M336" i="92"/>
  <c r="K336" i="92"/>
  <c r="I336" i="92"/>
  <c r="G336" i="92"/>
  <c r="C336" i="92"/>
  <c r="R335" i="92"/>
  <c r="S335" i="92" s="1"/>
  <c r="Q335" i="92"/>
  <c r="O335" i="92"/>
  <c r="M335" i="92"/>
  <c r="K335" i="92"/>
  <c r="I335" i="92"/>
  <c r="G335" i="92"/>
  <c r="C335" i="92"/>
  <c r="R334" i="92"/>
  <c r="S334" i="92" s="1"/>
  <c r="Q334" i="92"/>
  <c r="O334" i="92"/>
  <c r="M334" i="92"/>
  <c r="K334" i="92"/>
  <c r="I334" i="92"/>
  <c r="G334" i="92"/>
  <c r="C334" i="92"/>
  <c r="R333" i="92"/>
  <c r="S333" i="92" s="1"/>
  <c r="Q333" i="92"/>
  <c r="O333" i="92"/>
  <c r="M333" i="92"/>
  <c r="K333" i="92"/>
  <c r="I333" i="92"/>
  <c r="G333" i="92"/>
  <c r="C333" i="92"/>
  <c r="R332" i="92"/>
  <c r="S332" i="92" s="1"/>
  <c r="Q332" i="92"/>
  <c r="O332" i="92"/>
  <c r="M332" i="92"/>
  <c r="K332" i="92"/>
  <c r="I332" i="92"/>
  <c r="G332" i="92"/>
  <c r="C332" i="92"/>
  <c r="R331" i="92"/>
  <c r="S331" i="92" s="1"/>
  <c r="Q331" i="92"/>
  <c r="O331" i="92"/>
  <c r="M331" i="92"/>
  <c r="K331" i="92"/>
  <c r="I331" i="92"/>
  <c r="G331" i="92"/>
  <c r="C331" i="92"/>
  <c r="R330" i="92"/>
  <c r="S330" i="92" s="1"/>
  <c r="Q330" i="92"/>
  <c r="O330" i="92"/>
  <c r="M330" i="92"/>
  <c r="K330" i="92"/>
  <c r="I330" i="92"/>
  <c r="G330" i="92"/>
  <c r="C330" i="92"/>
  <c r="R329" i="92"/>
  <c r="S329" i="92" s="1"/>
  <c r="Q329" i="92"/>
  <c r="O329" i="92"/>
  <c r="M329" i="92"/>
  <c r="K329" i="92"/>
  <c r="I329" i="92"/>
  <c r="G329" i="92"/>
  <c r="C329" i="92"/>
  <c r="R328" i="92"/>
  <c r="S328" i="92" s="1"/>
  <c r="Q328" i="92"/>
  <c r="O328" i="92"/>
  <c r="M328" i="92"/>
  <c r="K328" i="92"/>
  <c r="I328" i="92"/>
  <c r="G328" i="92"/>
  <c r="C328" i="92"/>
  <c r="R327" i="92"/>
  <c r="S327" i="92" s="1"/>
  <c r="Q327" i="92"/>
  <c r="O327" i="92"/>
  <c r="M327" i="92"/>
  <c r="K327" i="92"/>
  <c r="I327" i="92"/>
  <c r="G327" i="92"/>
  <c r="C327" i="92"/>
  <c r="R326" i="92"/>
  <c r="S326" i="92" s="1"/>
  <c r="Q326" i="92"/>
  <c r="O326" i="92"/>
  <c r="M326" i="92"/>
  <c r="K326" i="92"/>
  <c r="I326" i="92"/>
  <c r="G326" i="92"/>
  <c r="C326" i="92"/>
  <c r="R325" i="92"/>
  <c r="S325" i="92" s="1"/>
  <c r="Q325" i="92"/>
  <c r="O325" i="92"/>
  <c r="M325" i="92"/>
  <c r="K325" i="92"/>
  <c r="I325" i="92"/>
  <c r="G325" i="92"/>
  <c r="C325" i="92"/>
  <c r="R324" i="92"/>
  <c r="S324" i="92" s="1"/>
  <c r="Q324" i="92"/>
  <c r="O324" i="92"/>
  <c r="M324" i="92"/>
  <c r="K324" i="92"/>
  <c r="I324" i="92"/>
  <c r="G324" i="92"/>
  <c r="C324" i="92"/>
  <c r="R323" i="92"/>
  <c r="S323" i="92" s="1"/>
  <c r="Q323" i="92"/>
  <c r="O323" i="92"/>
  <c r="M323" i="92"/>
  <c r="K323" i="92"/>
  <c r="I323" i="92"/>
  <c r="G323" i="92"/>
  <c r="C323" i="92"/>
  <c r="R322" i="92"/>
  <c r="S322" i="92" s="1"/>
  <c r="Q322" i="92"/>
  <c r="O322" i="92"/>
  <c r="M322" i="92"/>
  <c r="K322" i="92"/>
  <c r="I322" i="92"/>
  <c r="G322" i="92"/>
  <c r="C322" i="92"/>
  <c r="R321" i="92"/>
  <c r="S321" i="92" s="1"/>
  <c r="Q321" i="92"/>
  <c r="O321" i="92"/>
  <c r="M321" i="92"/>
  <c r="K321" i="92"/>
  <c r="I321" i="92"/>
  <c r="G321" i="92"/>
  <c r="C321" i="92"/>
  <c r="R320" i="92"/>
  <c r="S320" i="92" s="1"/>
  <c r="Q320" i="92"/>
  <c r="O320" i="92"/>
  <c r="M320" i="92"/>
  <c r="K320" i="92"/>
  <c r="I320" i="92"/>
  <c r="G320" i="92"/>
  <c r="C320" i="92"/>
  <c r="S319" i="92"/>
  <c r="R319" i="92"/>
  <c r="Q319" i="92"/>
  <c r="O319" i="92"/>
  <c r="M319" i="92"/>
  <c r="K319" i="92"/>
  <c r="I319" i="92"/>
  <c r="G319" i="92"/>
  <c r="C319" i="92"/>
  <c r="R318" i="92"/>
  <c r="S318" i="92" s="1"/>
  <c r="Q318" i="92"/>
  <c r="O318" i="92"/>
  <c r="M318" i="92"/>
  <c r="K318" i="92"/>
  <c r="I318" i="92"/>
  <c r="G318" i="92"/>
  <c r="C318" i="92"/>
  <c r="R317" i="92"/>
  <c r="S317" i="92" s="1"/>
  <c r="Q317" i="92"/>
  <c r="O317" i="92"/>
  <c r="M317" i="92"/>
  <c r="K317" i="92"/>
  <c r="I317" i="92"/>
  <c r="G317" i="92"/>
  <c r="C317" i="92"/>
  <c r="R316" i="92"/>
  <c r="S316" i="92" s="1"/>
  <c r="Q316" i="92"/>
  <c r="O316" i="92"/>
  <c r="M316" i="92"/>
  <c r="K316" i="92"/>
  <c r="I316" i="92"/>
  <c r="G316" i="92"/>
  <c r="C316" i="92"/>
  <c r="R315" i="92"/>
  <c r="S315" i="92" s="1"/>
  <c r="Q315" i="92"/>
  <c r="O315" i="92"/>
  <c r="M315" i="92"/>
  <c r="K315" i="92"/>
  <c r="I315" i="92"/>
  <c r="G315" i="92"/>
  <c r="C315" i="92"/>
  <c r="R314" i="92"/>
  <c r="S314" i="92" s="1"/>
  <c r="Q314" i="92"/>
  <c r="O314" i="92"/>
  <c r="M314" i="92"/>
  <c r="K314" i="92"/>
  <c r="I314" i="92"/>
  <c r="G314" i="92"/>
  <c r="C314" i="92"/>
  <c r="R313" i="92"/>
  <c r="S313" i="92" s="1"/>
  <c r="Q313" i="92"/>
  <c r="O313" i="92"/>
  <c r="M313" i="92"/>
  <c r="K313" i="92"/>
  <c r="I313" i="92"/>
  <c r="G313" i="92"/>
  <c r="C313" i="92"/>
  <c r="R312" i="92"/>
  <c r="S312" i="92" s="1"/>
  <c r="Q312" i="92"/>
  <c r="O312" i="92"/>
  <c r="M312" i="92"/>
  <c r="K312" i="92"/>
  <c r="I312" i="92"/>
  <c r="G312" i="92"/>
  <c r="C312" i="92"/>
  <c r="R311" i="92"/>
  <c r="S311" i="92" s="1"/>
  <c r="Q311" i="92"/>
  <c r="O311" i="92"/>
  <c r="M311" i="92"/>
  <c r="K311" i="92"/>
  <c r="I311" i="92"/>
  <c r="G311" i="92"/>
  <c r="C311" i="92"/>
  <c r="R310" i="92"/>
  <c r="S310" i="92" s="1"/>
  <c r="Q310" i="92"/>
  <c r="O310" i="92"/>
  <c r="M310" i="92"/>
  <c r="K310" i="92"/>
  <c r="I310" i="92"/>
  <c r="G310" i="92"/>
  <c r="C310" i="92"/>
  <c r="R309" i="92"/>
  <c r="S309" i="92" s="1"/>
  <c r="Q309" i="92"/>
  <c r="O309" i="92"/>
  <c r="M309" i="92"/>
  <c r="K309" i="92"/>
  <c r="I309" i="92"/>
  <c r="G309" i="92"/>
  <c r="C309" i="92"/>
  <c r="R308" i="92"/>
  <c r="S308" i="92" s="1"/>
  <c r="Q308" i="92"/>
  <c r="O308" i="92"/>
  <c r="M308" i="92"/>
  <c r="K308" i="92"/>
  <c r="I308" i="92"/>
  <c r="G308" i="92"/>
  <c r="C308" i="92"/>
  <c r="R307" i="92"/>
  <c r="S307" i="92" s="1"/>
  <c r="Q307" i="92"/>
  <c r="O307" i="92"/>
  <c r="M307" i="92"/>
  <c r="K307" i="92"/>
  <c r="I307" i="92"/>
  <c r="G307" i="92"/>
  <c r="C307" i="92"/>
  <c r="R306" i="92"/>
  <c r="S306" i="92" s="1"/>
  <c r="Q306" i="92"/>
  <c r="O306" i="92"/>
  <c r="M306" i="92"/>
  <c r="K306" i="92"/>
  <c r="I306" i="92"/>
  <c r="G306" i="92"/>
  <c r="C306" i="92"/>
  <c r="R305" i="92"/>
  <c r="S305" i="92" s="1"/>
  <c r="Q305" i="92"/>
  <c r="O305" i="92"/>
  <c r="M305" i="92"/>
  <c r="K305" i="92"/>
  <c r="I305" i="92"/>
  <c r="G305" i="92"/>
  <c r="C305" i="92"/>
  <c r="R304" i="92"/>
  <c r="S304" i="92" s="1"/>
  <c r="Q304" i="92"/>
  <c r="O304" i="92"/>
  <c r="M304" i="92"/>
  <c r="K304" i="92"/>
  <c r="I304" i="92"/>
  <c r="G304" i="92"/>
  <c r="C304" i="92"/>
  <c r="R303" i="92"/>
  <c r="S303" i="92" s="1"/>
  <c r="Q303" i="92"/>
  <c r="O303" i="92"/>
  <c r="M303" i="92"/>
  <c r="K303" i="92"/>
  <c r="I303" i="92"/>
  <c r="G303" i="92"/>
  <c r="C303" i="92"/>
  <c r="R302" i="92"/>
  <c r="S302" i="92" s="1"/>
  <c r="Q302" i="92"/>
  <c r="O302" i="92"/>
  <c r="M302" i="92"/>
  <c r="K302" i="92"/>
  <c r="I302" i="92"/>
  <c r="G302" i="92"/>
  <c r="C302" i="92"/>
  <c r="R301" i="92"/>
  <c r="S301" i="92" s="1"/>
  <c r="Q301" i="92"/>
  <c r="O301" i="92"/>
  <c r="M301" i="92"/>
  <c r="K301" i="92"/>
  <c r="I301" i="92"/>
  <c r="G301" i="92"/>
  <c r="C301" i="92"/>
  <c r="R300" i="92"/>
  <c r="S300" i="92" s="1"/>
  <c r="Q300" i="92"/>
  <c r="O300" i="92"/>
  <c r="M300" i="92"/>
  <c r="K300" i="92"/>
  <c r="I300" i="92"/>
  <c r="G300" i="92"/>
  <c r="C300" i="92"/>
  <c r="R299" i="92"/>
  <c r="S299" i="92" s="1"/>
  <c r="Q299" i="92"/>
  <c r="O299" i="92"/>
  <c r="M299" i="92"/>
  <c r="K299" i="92"/>
  <c r="I299" i="92"/>
  <c r="G299" i="92"/>
  <c r="C299" i="92"/>
  <c r="R298" i="92"/>
  <c r="S298" i="92" s="1"/>
  <c r="Q298" i="92"/>
  <c r="O298" i="92"/>
  <c r="M298" i="92"/>
  <c r="K298" i="92"/>
  <c r="I298" i="92"/>
  <c r="G298" i="92"/>
  <c r="C298" i="92"/>
  <c r="R297" i="92"/>
  <c r="S297" i="92" s="1"/>
  <c r="Q297" i="92"/>
  <c r="O297" i="92"/>
  <c r="M297" i="92"/>
  <c r="K297" i="92"/>
  <c r="I297" i="92"/>
  <c r="G297" i="92"/>
  <c r="C297" i="92"/>
  <c r="R296" i="92"/>
  <c r="S296" i="92" s="1"/>
  <c r="Q296" i="92"/>
  <c r="O296" i="92"/>
  <c r="M296" i="92"/>
  <c r="K296" i="92"/>
  <c r="I296" i="92"/>
  <c r="G296" i="92"/>
  <c r="C296" i="92"/>
  <c r="R295" i="92"/>
  <c r="S295" i="92" s="1"/>
  <c r="Q295" i="92"/>
  <c r="O295" i="92"/>
  <c r="M295" i="92"/>
  <c r="K295" i="92"/>
  <c r="I295" i="92"/>
  <c r="G295" i="92"/>
  <c r="C295" i="92"/>
  <c r="R294" i="92"/>
  <c r="S294" i="92" s="1"/>
  <c r="Q294" i="92"/>
  <c r="O294" i="92"/>
  <c r="M294" i="92"/>
  <c r="K294" i="92"/>
  <c r="I294" i="92"/>
  <c r="G294" i="92"/>
  <c r="C294" i="92"/>
  <c r="R293" i="92"/>
  <c r="S293" i="92" s="1"/>
  <c r="Q293" i="92"/>
  <c r="O293" i="92"/>
  <c r="M293" i="92"/>
  <c r="K293" i="92"/>
  <c r="I293" i="92"/>
  <c r="G293" i="92"/>
  <c r="C293" i="92"/>
  <c r="R292" i="92"/>
  <c r="S292" i="92" s="1"/>
  <c r="Q292" i="92"/>
  <c r="O292" i="92"/>
  <c r="M292" i="92"/>
  <c r="K292" i="92"/>
  <c r="I292" i="92"/>
  <c r="G292" i="92"/>
  <c r="C292" i="92"/>
  <c r="R291" i="92"/>
  <c r="S291" i="92" s="1"/>
  <c r="Q291" i="92"/>
  <c r="O291" i="92"/>
  <c r="M291" i="92"/>
  <c r="K291" i="92"/>
  <c r="I291" i="92"/>
  <c r="G291" i="92"/>
  <c r="C291" i="92"/>
  <c r="R290" i="92"/>
  <c r="S290" i="92" s="1"/>
  <c r="Q290" i="92"/>
  <c r="O290" i="92"/>
  <c r="M290" i="92"/>
  <c r="K290" i="92"/>
  <c r="I290" i="92"/>
  <c r="G290" i="92"/>
  <c r="C290" i="92"/>
  <c r="R289" i="92"/>
  <c r="S289" i="92" s="1"/>
  <c r="Q289" i="92"/>
  <c r="O289" i="92"/>
  <c r="M289" i="92"/>
  <c r="K289" i="92"/>
  <c r="I289" i="92"/>
  <c r="G289" i="92"/>
  <c r="C289" i="92"/>
  <c r="R288" i="92"/>
  <c r="S288" i="92" s="1"/>
  <c r="Q288" i="92"/>
  <c r="O288" i="92"/>
  <c r="M288" i="92"/>
  <c r="K288" i="92"/>
  <c r="I288" i="92"/>
  <c r="G288" i="92"/>
  <c r="C288" i="92"/>
  <c r="R287" i="92"/>
  <c r="S287" i="92" s="1"/>
  <c r="Q287" i="92"/>
  <c r="O287" i="92"/>
  <c r="M287" i="92"/>
  <c r="K287" i="92"/>
  <c r="I287" i="92"/>
  <c r="G287" i="92"/>
  <c r="C287" i="92"/>
  <c r="R286" i="92"/>
  <c r="S286" i="92" s="1"/>
  <c r="Q286" i="92"/>
  <c r="O286" i="92"/>
  <c r="M286" i="92"/>
  <c r="K286" i="92"/>
  <c r="I286" i="92"/>
  <c r="G286" i="92"/>
  <c r="C286" i="92"/>
  <c r="R285" i="92"/>
  <c r="S285" i="92" s="1"/>
  <c r="Q285" i="92"/>
  <c r="O285" i="92"/>
  <c r="M285" i="92"/>
  <c r="K285" i="92"/>
  <c r="I285" i="92"/>
  <c r="G285" i="92"/>
  <c r="C285" i="92"/>
  <c r="R284" i="92"/>
  <c r="S284" i="92" s="1"/>
  <c r="Q284" i="92"/>
  <c r="O284" i="92"/>
  <c r="M284" i="92"/>
  <c r="K284" i="92"/>
  <c r="I284" i="92"/>
  <c r="G284" i="92"/>
  <c r="C284" i="92"/>
  <c r="S283" i="92"/>
  <c r="R283" i="92"/>
  <c r="Q283" i="92"/>
  <c r="O283" i="92"/>
  <c r="M283" i="92"/>
  <c r="K283" i="92"/>
  <c r="I283" i="92"/>
  <c r="G283" i="92"/>
  <c r="C283" i="92"/>
  <c r="R282" i="92"/>
  <c r="S282" i="92" s="1"/>
  <c r="Q282" i="92"/>
  <c r="O282" i="92"/>
  <c r="M282" i="92"/>
  <c r="K282" i="92"/>
  <c r="I282" i="92"/>
  <c r="G282" i="92"/>
  <c r="C282" i="92"/>
  <c r="R281" i="92"/>
  <c r="S281" i="92" s="1"/>
  <c r="Q281" i="92"/>
  <c r="O281" i="92"/>
  <c r="M281" i="92"/>
  <c r="K281" i="92"/>
  <c r="I281" i="92"/>
  <c r="G281" i="92"/>
  <c r="C281" i="92"/>
  <c r="R280" i="92"/>
  <c r="S280" i="92" s="1"/>
  <c r="Q280" i="92"/>
  <c r="O280" i="92"/>
  <c r="M280" i="92"/>
  <c r="K280" i="92"/>
  <c r="I280" i="92"/>
  <c r="G280" i="92"/>
  <c r="C280" i="92"/>
  <c r="R279" i="92"/>
  <c r="S279" i="92" s="1"/>
  <c r="Q279" i="92"/>
  <c r="O279" i="92"/>
  <c r="M279" i="92"/>
  <c r="K279" i="92"/>
  <c r="I279" i="92"/>
  <c r="G279" i="92"/>
  <c r="C279" i="92"/>
  <c r="R278" i="92"/>
  <c r="S278" i="92" s="1"/>
  <c r="Q278" i="92"/>
  <c r="O278" i="92"/>
  <c r="M278" i="92"/>
  <c r="K278" i="92"/>
  <c r="I278" i="92"/>
  <c r="G278" i="92"/>
  <c r="C278" i="92"/>
  <c r="R277" i="92"/>
  <c r="S277" i="92" s="1"/>
  <c r="Q277" i="92"/>
  <c r="O277" i="92"/>
  <c r="M277" i="92"/>
  <c r="K277" i="92"/>
  <c r="I277" i="92"/>
  <c r="G277" i="92"/>
  <c r="C277" i="92"/>
  <c r="R276" i="92"/>
  <c r="S276" i="92" s="1"/>
  <c r="Q276" i="92"/>
  <c r="O276" i="92"/>
  <c r="M276" i="92"/>
  <c r="K276" i="92"/>
  <c r="I276" i="92"/>
  <c r="G276" i="92"/>
  <c r="C276" i="92"/>
  <c r="R275" i="92"/>
  <c r="S275" i="92" s="1"/>
  <c r="Q275" i="92"/>
  <c r="O275" i="92"/>
  <c r="M275" i="92"/>
  <c r="K275" i="92"/>
  <c r="I275" i="92"/>
  <c r="G275" i="92"/>
  <c r="C275" i="92"/>
  <c r="R274" i="92"/>
  <c r="S274" i="92" s="1"/>
  <c r="Q274" i="92"/>
  <c r="O274" i="92"/>
  <c r="M274" i="92"/>
  <c r="K274" i="92"/>
  <c r="I274" i="92"/>
  <c r="G274" i="92"/>
  <c r="C274" i="92"/>
  <c r="R273" i="92"/>
  <c r="S273" i="92" s="1"/>
  <c r="Q273" i="92"/>
  <c r="O273" i="92"/>
  <c r="M273" i="92"/>
  <c r="K273" i="92"/>
  <c r="I273" i="92"/>
  <c r="G273" i="92"/>
  <c r="C273" i="92"/>
  <c r="R272" i="92"/>
  <c r="S272" i="92" s="1"/>
  <c r="Q272" i="92"/>
  <c r="O272" i="92"/>
  <c r="M272" i="92"/>
  <c r="K272" i="92"/>
  <c r="I272" i="92"/>
  <c r="G272" i="92"/>
  <c r="C272" i="92"/>
  <c r="R271" i="92"/>
  <c r="S271" i="92" s="1"/>
  <c r="Q271" i="92"/>
  <c r="O271" i="92"/>
  <c r="M271" i="92"/>
  <c r="K271" i="92"/>
  <c r="I271" i="92"/>
  <c r="G271" i="92"/>
  <c r="C271" i="92"/>
  <c r="R270" i="92"/>
  <c r="S270" i="92" s="1"/>
  <c r="Q270" i="92"/>
  <c r="O270" i="92"/>
  <c r="M270" i="92"/>
  <c r="K270" i="92"/>
  <c r="I270" i="92"/>
  <c r="G270" i="92"/>
  <c r="C270" i="92"/>
  <c r="R269" i="92"/>
  <c r="S269" i="92" s="1"/>
  <c r="Q269" i="92"/>
  <c r="O269" i="92"/>
  <c r="M269" i="92"/>
  <c r="K269" i="92"/>
  <c r="I269" i="92"/>
  <c r="G269" i="92"/>
  <c r="C269" i="92"/>
  <c r="R268" i="92"/>
  <c r="S268" i="92" s="1"/>
  <c r="Q268" i="92"/>
  <c r="O268" i="92"/>
  <c r="M268" i="92"/>
  <c r="K268" i="92"/>
  <c r="I268" i="92"/>
  <c r="G268" i="92"/>
  <c r="C268" i="92"/>
  <c r="R267" i="92"/>
  <c r="S267" i="92" s="1"/>
  <c r="Q267" i="92"/>
  <c r="O267" i="92"/>
  <c r="M267" i="92"/>
  <c r="K267" i="92"/>
  <c r="I267" i="92"/>
  <c r="G267" i="92"/>
  <c r="C267" i="92"/>
  <c r="R266" i="92"/>
  <c r="S266" i="92" s="1"/>
  <c r="Q266" i="92"/>
  <c r="O266" i="92"/>
  <c r="M266" i="92"/>
  <c r="K266" i="92"/>
  <c r="I266" i="92"/>
  <c r="G266" i="92"/>
  <c r="C266" i="92"/>
  <c r="R265" i="92"/>
  <c r="S265" i="92" s="1"/>
  <c r="Q265" i="92"/>
  <c r="O265" i="92"/>
  <c r="M265" i="92"/>
  <c r="K265" i="92"/>
  <c r="I265" i="92"/>
  <c r="G265" i="92"/>
  <c r="C265" i="92"/>
  <c r="R264" i="92"/>
  <c r="S264" i="92" s="1"/>
  <c r="Q264" i="92"/>
  <c r="O264" i="92"/>
  <c r="M264" i="92"/>
  <c r="K264" i="92"/>
  <c r="I264" i="92"/>
  <c r="G264" i="92"/>
  <c r="C264" i="92"/>
  <c r="R263" i="92"/>
  <c r="S263" i="92" s="1"/>
  <c r="Q263" i="92"/>
  <c r="O263" i="92"/>
  <c r="M263" i="92"/>
  <c r="K263" i="92"/>
  <c r="I263" i="92"/>
  <c r="G263" i="92"/>
  <c r="C263" i="92"/>
  <c r="R262" i="92"/>
  <c r="S262" i="92" s="1"/>
  <c r="Q262" i="92"/>
  <c r="O262" i="92"/>
  <c r="M262" i="92"/>
  <c r="K262" i="92"/>
  <c r="I262" i="92"/>
  <c r="G262" i="92"/>
  <c r="C262" i="92"/>
  <c r="R261" i="92"/>
  <c r="S261" i="92" s="1"/>
  <c r="Q261" i="92"/>
  <c r="O261" i="92"/>
  <c r="M261" i="92"/>
  <c r="K261" i="92"/>
  <c r="I261" i="92"/>
  <c r="G261" i="92"/>
  <c r="C261" i="92"/>
  <c r="R260" i="92"/>
  <c r="S260" i="92" s="1"/>
  <c r="Q260" i="92"/>
  <c r="O260" i="92"/>
  <c r="M260" i="92"/>
  <c r="K260" i="92"/>
  <c r="I260" i="92"/>
  <c r="G260" i="92"/>
  <c r="C260" i="92"/>
  <c r="R259" i="92"/>
  <c r="S259" i="92" s="1"/>
  <c r="Q259" i="92"/>
  <c r="O259" i="92"/>
  <c r="M259" i="92"/>
  <c r="K259" i="92"/>
  <c r="I259" i="92"/>
  <c r="G259" i="92"/>
  <c r="C259" i="92"/>
  <c r="R258" i="92"/>
  <c r="S258" i="92" s="1"/>
  <c r="Q258" i="92"/>
  <c r="O258" i="92"/>
  <c r="M258" i="92"/>
  <c r="K258" i="92"/>
  <c r="I258" i="92"/>
  <c r="G258" i="92"/>
  <c r="C258" i="92"/>
  <c r="R257" i="92"/>
  <c r="S257" i="92" s="1"/>
  <c r="Q257" i="92"/>
  <c r="O257" i="92"/>
  <c r="M257" i="92"/>
  <c r="K257" i="92"/>
  <c r="I257" i="92"/>
  <c r="G257" i="92"/>
  <c r="C257" i="92"/>
  <c r="R256" i="92"/>
  <c r="S256" i="92" s="1"/>
  <c r="Q256" i="92"/>
  <c r="O256" i="92"/>
  <c r="M256" i="92"/>
  <c r="K256" i="92"/>
  <c r="I256" i="92"/>
  <c r="G256" i="92"/>
  <c r="C256" i="92"/>
  <c r="R255" i="92"/>
  <c r="S255" i="92" s="1"/>
  <c r="Q255" i="92"/>
  <c r="O255" i="92"/>
  <c r="M255" i="92"/>
  <c r="K255" i="92"/>
  <c r="I255" i="92"/>
  <c r="G255" i="92"/>
  <c r="C255" i="92"/>
  <c r="R254" i="92"/>
  <c r="S254" i="92" s="1"/>
  <c r="Q254" i="92"/>
  <c r="O254" i="92"/>
  <c r="M254" i="92"/>
  <c r="K254" i="92"/>
  <c r="I254" i="92"/>
  <c r="G254" i="92"/>
  <c r="C254" i="92"/>
  <c r="R253" i="92"/>
  <c r="S253" i="92" s="1"/>
  <c r="Q253" i="92"/>
  <c r="O253" i="92"/>
  <c r="M253" i="92"/>
  <c r="K253" i="92"/>
  <c r="I253" i="92"/>
  <c r="G253" i="92"/>
  <c r="C253" i="92"/>
  <c r="R252" i="92"/>
  <c r="S252" i="92" s="1"/>
  <c r="Q252" i="92"/>
  <c r="O252" i="92"/>
  <c r="M252" i="92"/>
  <c r="K252" i="92"/>
  <c r="I252" i="92"/>
  <c r="G252" i="92"/>
  <c r="C252" i="92"/>
  <c r="R251" i="92"/>
  <c r="S251" i="92" s="1"/>
  <c r="Q251" i="92"/>
  <c r="O251" i="92"/>
  <c r="M251" i="92"/>
  <c r="K251" i="92"/>
  <c r="I251" i="92"/>
  <c r="G251" i="92"/>
  <c r="C251" i="92"/>
  <c r="R250" i="92"/>
  <c r="S250" i="92" s="1"/>
  <c r="Q250" i="92"/>
  <c r="O250" i="92"/>
  <c r="M250" i="92"/>
  <c r="K250" i="92"/>
  <c r="I250" i="92"/>
  <c r="G250" i="92"/>
  <c r="C250" i="92"/>
  <c r="R249" i="92"/>
  <c r="S249" i="92" s="1"/>
  <c r="Q249" i="92"/>
  <c r="O249" i="92"/>
  <c r="M249" i="92"/>
  <c r="K249" i="92"/>
  <c r="I249" i="92"/>
  <c r="G249" i="92"/>
  <c r="C249" i="92"/>
  <c r="R248" i="92"/>
  <c r="S248" i="92" s="1"/>
  <c r="Q248" i="92"/>
  <c r="O248" i="92"/>
  <c r="M248" i="92"/>
  <c r="K248" i="92"/>
  <c r="I248" i="92"/>
  <c r="G248" i="92"/>
  <c r="C248" i="92"/>
  <c r="S247" i="92"/>
  <c r="R247" i="92"/>
  <c r="Q247" i="92"/>
  <c r="O247" i="92"/>
  <c r="M247" i="92"/>
  <c r="K247" i="92"/>
  <c r="I247" i="92"/>
  <c r="G247" i="92"/>
  <c r="C247" i="92"/>
  <c r="R246" i="92"/>
  <c r="S246" i="92" s="1"/>
  <c r="Q246" i="92"/>
  <c r="O246" i="92"/>
  <c r="M246" i="92"/>
  <c r="K246" i="92"/>
  <c r="I246" i="92"/>
  <c r="G246" i="92"/>
  <c r="C246" i="92"/>
  <c r="R245" i="92"/>
  <c r="S245" i="92" s="1"/>
  <c r="Q245" i="92"/>
  <c r="O245" i="92"/>
  <c r="M245" i="92"/>
  <c r="K245" i="92"/>
  <c r="I245" i="92"/>
  <c r="G245" i="92"/>
  <c r="C245" i="92"/>
  <c r="R244" i="92"/>
  <c r="S244" i="92" s="1"/>
  <c r="Q244" i="92"/>
  <c r="O244" i="92"/>
  <c r="M244" i="92"/>
  <c r="K244" i="92"/>
  <c r="I244" i="92"/>
  <c r="G244" i="92"/>
  <c r="C244" i="92"/>
  <c r="R243" i="92"/>
  <c r="S243" i="92" s="1"/>
  <c r="Q243" i="92"/>
  <c r="O243" i="92"/>
  <c r="M243" i="92"/>
  <c r="K243" i="92"/>
  <c r="I243" i="92"/>
  <c r="G243" i="92"/>
  <c r="C243" i="92"/>
  <c r="R242" i="92"/>
  <c r="S242" i="92" s="1"/>
  <c r="Q242" i="92"/>
  <c r="O242" i="92"/>
  <c r="M242" i="92"/>
  <c r="K242" i="92"/>
  <c r="I242" i="92"/>
  <c r="G242" i="92"/>
  <c r="C242" i="92"/>
  <c r="R241" i="92"/>
  <c r="S241" i="92" s="1"/>
  <c r="Q241" i="92"/>
  <c r="O241" i="92"/>
  <c r="M241" i="92"/>
  <c r="K241" i="92"/>
  <c r="I241" i="92"/>
  <c r="G241" i="92"/>
  <c r="C241" i="92"/>
  <c r="R240" i="92"/>
  <c r="S240" i="92" s="1"/>
  <c r="Q240" i="92"/>
  <c r="O240" i="92"/>
  <c r="M240" i="92"/>
  <c r="K240" i="92"/>
  <c r="I240" i="92"/>
  <c r="G240" i="92"/>
  <c r="C240" i="92"/>
  <c r="R239" i="92"/>
  <c r="S239" i="92" s="1"/>
  <c r="Q239" i="92"/>
  <c r="O239" i="92"/>
  <c r="M239" i="92"/>
  <c r="K239" i="92"/>
  <c r="I239" i="92"/>
  <c r="G239" i="92"/>
  <c r="C239" i="92"/>
  <c r="R238" i="92"/>
  <c r="S238" i="92" s="1"/>
  <c r="Q238" i="92"/>
  <c r="O238" i="92"/>
  <c r="M238" i="92"/>
  <c r="K238" i="92"/>
  <c r="I238" i="92"/>
  <c r="G238" i="92"/>
  <c r="C238" i="92"/>
  <c r="R237" i="92"/>
  <c r="S237" i="92" s="1"/>
  <c r="Q237" i="92"/>
  <c r="O237" i="92"/>
  <c r="M237" i="92"/>
  <c r="K237" i="92"/>
  <c r="I237" i="92"/>
  <c r="G237" i="92"/>
  <c r="C237" i="92"/>
  <c r="R236" i="92"/>
  <c r="S236" i="92" s="1"/>
  <c r="Q236" i="92"/>
  <c r="O236" i="92"/>
  <c r="M236" i="92"/>
  <c r="K236" i="92"/>
  <c r="I236" i="92"/>
  <c r="G236" i="92"/>
  <c r="C236" i="92"/>
  <c r="R235" i="92"/>
  <c r="S235" i="92" s="1"/>
  <c r="Q235" i="92"/>
  <c r="O235" i="92"/>
  <c r="M235" i="92"/>
  <c r="K235" i="92"/>
  <c r="I235" i="92"/>
  <c r="G235" i="92"/>
  <c r="C235" i="92"/>
  <c r="R234" i="92"/>
  <c r="S234" i="92" s="1"/>
  <c r="Q234" i="92"/>
  <c r="O234" i="92"/>
  <c r="M234" i="92"/>
  <c r="K234" i="92"/>
  <c r="I234" i="92"/>
  <c r="G234" i="92"/>
  <c r="C234" i="92"/>
  <c r="R233" i="92"/>
  <c r="S233" i="92" s="1"/>
  <c r="Q233" i="92"/>
  <c r="O233" i="92"/>
  <c r="M233" i="92"/>
  <c r="K233" i="92"/>
  <c r="I233" i="92"/>
  <c r="G233" i="92"/>
  <c r="C233" i="92"/>
  <c r="R232" i="92"/>
  <c r="S232" i="92" s="1"/>
  <c r="Q232" i="92"/>
  <c r="O232" i="92"/>
  <c r="M232" i="92"/>
  <c r="K232" i="92"/>
  <c r="I232" i="92"/>
  <c r="G232" i="92"/>
  <c r="C232" i="92"/>
  <c r="R231" i="92"/>
  <c r="S231" i="92" s="1"/>
  <c r="Q231" i="92"/>
  <c r="O231" i="92"/>
  <c r="M231" i="92"/>
  <c r="K231" i="92"/>
  <c r="I231" i="92"/>
  <c r="G231" i="92"/>
  <c r="C231" i="92"/>
  <c r="R230" i="92"/>
  <c r="S230" i="92" s="1"/>
  <c r="Q230" i="92"/>
  <c r="O230" i="92"/>
  <c r="M230" i="92"/>
  <c r="K230" i="92"/>
  <c r="I230" i="92"/>
  <c r="G230" i="92"/>
  <c r="C230" i="92"/>
  <c r="R229" i="92"/>
  <c r="S229" i="92" s="1"/>
  <c r="Q229" i="92"/>
  <c r="O229" i="92"/>
  <c r="M229" i="92"/>
  <c r="K229" i="92"/>
  <c r="I229" i="92"/>
  <c r="G229" i="92"/>
  <c r="C229" i="92"/>
  <c r="R228" i="92"/>
  <c r="S228" i="92" s="1"/>
  <c r="Q228" i="92"/>
  <c r="O228" i="92"/>
  <c r="M228" i="92"/>
  <c r="K228" i="92"/>
  <c r="I228" i="92"/>
  <c r="G228" i="92"/>
  <c r="C228" i="92"/>
  <c r="R227" i="92"/>
  <c r="S227" i="92" s="1"/>
  <c r="Q227" i="92"/>
  <c r="O227" i="92"/>
  <c r="M227" i="92"/>
  <c r="K227" i="92"/>
  <c r="I227" i="92"/>
  <c r="G227" i="92"/>
  <c r="C227" i="92"/>
  <c r="R226" i="92"/>
  <c r="S226" i="92" s="1"/>
  <c r="Q226" i="92"/>
  <c r="O226" i="92"/>
  <c r="M226" i="92"/>
  <c r="K226" i="92"/>
  <c r="I226" i="92"/>
  <c r="G226" i="92"/>
  <c r="C226" i="92"/>
  <c r="R225" i="92"/>
  <c r="S225" i="92" s="1"/>
  <c r="Q225" i="92"/>
  <c r="O225" i="92"/>
  <c r="M225" i="92"/>
  <c r="K225" i="92"/>
  <c r="I225" i="92"/>
  <c r="G225" i="92"/>
  <c r="C225" i="92"/>
  <c r="R224" i="92"/>
  <c r="S224" i="92" s="1"/>
  <c r="Q224" i="92"/>
  <c r="O224" i="92"/>
  <c r="M224" i="92"/>
  <c r="K224" i="92"/>
  <c r="I224" i="92"/>
  <c r="G224" i="92"/>
  <c r="C224" i="92"/>
  <c r="R223" i="92"/>
  <c r="S223" i="92" s="1"/>
  <c r="Q223" i="92"/>
  <c r="O223" i="92"/>
  <c r="M223" i="92"/>
  <c r="K223" i="92"/>
  <c r="I223" i="92"/>
  <c r="G223" i="92"/>
  <c r="C223" i="92"/>
  <c r="R222" i="92"/>
  <c r="S222" i="92" s="1"/>
  <c r="Q222" i="92"/>
  <c r="O222" i="92"/>
  <c r="M222" i="92"/>
  <c r="K222" i="92"/>
  <c r="I222" i="92"/>
  <c r="G222" i="92"/>
  <c r="C222" i="92"/>
  <c r="R221" i="92"/>
  <c r="S221" i="92" s="1"/>
  <c r="Q221" i="92"/>
  <c r="O221" i="92"/>
  <c r="M221" i="92"/>
  <c r="K221" i="92"/>
  <c r="I221" i="92"/>
  <c r="G221" i="92"/>
  <c r="C221" i="92"/>
  <c r="R220" i="92"/>
  <c r="S220" i="92" s="1"/>
  <c r="Q220" i="92"/>
  <c r="O220" i="92"/>
  <c r="M220" i="92"/>
  <c r="K220" i="92"/>
  <c r="I220" i="92"/>
  <c r="G220" i="92"/>
  <c r="C220" i="92"/>
  <c r="R219" i="92"/>
  <c r="S219" i="92" s="1"/>
  <c r="Q219" i="92"/>
  <c r="O219" i="92"/>
  <c r="M219" i="92"/>
  <c r="K219" i="92"/>
  <c r="I219" i="92"/>
  <c r="G219" i="92"/>
  <c r="C219" i="92"/>
  <c r="R218" i="92"/>
  <c r="S218" i="92" s="1"/>
  <c r="Q218" i="92"/>
  <c r="O218" i="92"/>
  <c r="M218" i="92"/>
  <c r="K218" i="92"/>
  <c r="I218" i="92"/>
  <c r="G218" i="92"/>
  <c r="C218" i="92"/>
  <c r="R217" i="92"/>
  <c r="S217" i="92" s="1"/>
  <c r="Q217" i="92"/>
  <c r="O217" i="92"/>
  <c r="M217" i="92"/>
  <c r="K217" i="92"/>
  <c r="I217" i="92"/>
  <c r="G217" i="92"/>
  <c r="C217" i="92"/>
  <c r="R216" i="92"/>
  <c r="S216" i="92" s="1"/>
  <c r="Q216" i="92"/>
  <c r="O216" i="92"/>
  <c r="M216" i="92"/>
  <c r="K216" i="92"/>
  <c r="I216" i="92"/>
  <c r="G216" i="92"/>
  <c r="C216" i="92"/>
  <c r="S215" i="92"/>
  <c r="R215" i="92"/>
  <c r="Q215" i="92"/>
  <c r="O215" i="92"/>
  <c r="M215" i="92"/>
  <c r="K215" i="92"/>
  <c r="I215" i="92"/>
  <c r="G215" i="92"/>
  <c r="C215" i="92"/>
  <c r="R214" i="92"/>
  <c r="S214" i="92" s="1"/>
  <c r="Q214" i="92"/>
  <c r="O214" i="92"/>
  <c r="M214" i="92"/>
  <c r="K214" i="92"/>
  <c r="I214" i="92"/>
  <c r="G214" i="92"/>
  <c r="C214" i="92"/>
  <c r="R213" i="92"/>
  <c r="S213" i="92" s="1"/>
  <c r="Q213" i="92"/>
  <c r="O213" i="92"/>
  <c r="M213" i="92"/>
  <c r="K213" i="92"/>
  <c r="I213" i="92"/>
  <c r="G213" i="92"/>
  <c r="C213" i="92"/>
  <c r="R212" i="92"/>
  <c r="S212" i="92" s="1"/>
  <c r="Q212" i="92"/>
  <c r="O212" i="92"/>
  <c r="M212" i="92"/>
  <c r="K212" i="92"/>
  <c r="I212" i="92"/>
  <c r="G212" i="92"/>
  <c r="C212" i="92"/>
  <c r="R211" i="92"/>
  <c r="S211" i="92" s="1"/>
  <c r="Q211" i="92"/>
  <c r="O211" i="92"/>
  <c r="M211" i="92"/>
  <c r="K211" i="92"/>
  <c r="I211" i="92"/>
  <c r="G211" i="92"/>
  <c r="C211" i="92"/>
  <c r="R210" i="92"/>
  <c r="S210" i="92" s="1"/>
  <c r="Q210" i="92"/>
  <c r="O210" i="92"/>
  <c r="M210" i="92"/>
  <c r="K210" i="92"/>
  <c r="I210" i="92"/>
  <c r="G210" i="92"/>
  <c r="C210" i="92"/>
  <c r="R209" i="92"/>
  <c r="S209" i="92" s="1"/>
  <c r="Q209" i="92"/>
  <c r="O209" i="92"/>
  <c r="M209" i="92"/>
  <c r="K209" i="92"/>
  <c r="I209" i="92"/>
  <c r="G209" i="92"/>
  <c r="C209" i="92"/>
  <c r="R208" i="92"/>
  <c r="S208" i="92" s="1"/>
  <c r="Q208" i="92"/>
  <c r="O208" i="92"/>
  <c r="M208" i="92"/>
  <c r="K208" i="92"/>
  <c r="I208" i="92"/>
  <c r="G208" i="92"/>
  <c r="C208" i="92"/>
  <c r="Q207" i="92"/>
  <c r="O207" i="92"/>
  <c r="M207" i="92"/>
  <c r="K207" i="92"/>
  <c r="I207" i="92"/>
  <c r="G207" i="92"/>
  <c r="Q206" i="92"/>
  <c r="O206" i="92"/>
  <c r="M206" i="92"/>
  <c r="K206" i="92"/>
  <c r="I206" i="92"/>
  <c r="G206" i="92"/>
  <c r="Q205" i="92"/>
  <c r="O205" i="92"/>
  <c r="M205" i="92"/>
  <c r="K205" i="92"/>
  <c r="I205" i="92"/>
  <c r="G205" i="92"/>
  <c r="Q204" i="92"/>
  <c r="O204" i="92"/>
  <c r="M204" i="92"/>
  <c r="K204" i="92"/>
  <c r="I204" i="92"/>
  <c r="G204" i="92"/>
  <c r="Q203" i="92"/>
  <c r="O203" i="92"/>
  <c r="M203" i="92"/>
  <c r="K203" i="92"/>
  <c r="I203" i="92"/>
  <c r="G203" i="92"/>
  <c r="Q202" i="92"/>
  <c r="O202" i="92"/>
  <c r="M202" i="92"/>
  <c r="K202" i="92"/>
  <c r="I202" i="92"/>
  <c r="G202" i="92"/>
  <c r="Q201" i="92"/>
  <c r="O201" i="92"/>
  <c r="M201" i="92"/>
  <c r="K201" i="92"/>
  <c r="I201" i="92"/>
  <c r="G201" i="92"/>
  <c r="Q200" i="92"/>
  <c r="O200" i="92"/>
  <c r="M200" i="92"/>
  <c r="K200" i="92"/>
  <c r="I200" i="92"/>
  <c r="G200" i="92"/>
  <c r="Q199" i="92"/>
  <c r="O199" i="92"/>
  <c r="M199" i="92"/>
  <c r="K199" i="92"/>
  <c r="I199" i="92"/>
  <c r="G199" i="92"/>
  <c r="Q198" i="92"/>
  <c r="O198" i="92"/>
  <c r="M198" i="92"/>
  <c r="K198" i="92"/>
  <c r="I198" i="92"/>
  <c r="G198" i="92"/>
  <c r="Q197" i="92"/>
  <c r="O197" i="92"/>
  <c r="M197" i="92"/>
  <c r="K197" i="92"/>
  <c r="I197" i="92"/>
  <c r="G197" i="92"/>
  <c r="Q196" i="92"/>
  <c r="O196" i="92"/>
  <c r="M196" i="92"/>
  <c r="K196" i="92"/>
  <c r="I196" i="92"/>
  <c r="G196" i="92"/>
  <c r="Q195" i="92"/>
  <c r="O195" i="92"/>
  <c r="M195" i="92"/>
  <c r="K195" i="92"/>
  <c r="I195" i="92"/>
  <c r="G195" i="92"/>
  <c r="Q194" i="92"/>
  <c r="O194" i="92"/>
  <c r="M194" i="92"/>
  <c r="K194" i="92"/>
  <c r="I194" i="92"/>
  <c r="G194" i="92"/>
  <c r="Q193" i="92"/>
  <c r="O193" i="92"/>
  <c r="M193" i="92"/>
  <c r="K193" i="92"/>
  <c r="I193" i="92"/>
  <c r="G193" i="92"/>
  <c r="Q192" i="92"/>
  <c r="O192" i="92"/>
  <c r="M192" i="92"/>
  <c r="K192" i="92"/>
  <c r="I192" i="92"/>
  <c r="G192" i="92"/>
  <c r="Q191" i="92"/>
  <c r="O191" i="92"/>
  <c r="M191" i="92"/>
  <c r="K191" i="92"/>
  <c r="I191" i="92"/>
  <c r="G191" i="92"/>
  <c r="Q190" i="92"/>
  <c r="O190" i="92"/>
  <c r="M190" i="92"/>
  <c r="K190" i="92"/>
  <c r="I190" i="92"/>
  <c r="G190" i="92"/>
  <c r="Q189" i="92"/>
  <c r="O189" i="92"/>
  <c r="M189" i="92"/>
  <c r="K189" i="92"/>
  <c r="I189" i="92"/>
  <c r="G189" i="92"/>
  <c r="Q188" i="92"/>
  <c r="O188" i="92"/>
  <c r="M188" i="92"/>
  <c r="K188" i="92"/>
  <c r="I188" i="92"/>
  <c r="G188" i="92"/>
  <c r="Q187" i="92"/>
  <c r="O187" i="92"/>
  <c r="M187" i="92"/>
  <c r="K187" i="92"/>
  <c r="I187" i="92"/>
  <c r="G187" i="92"/>
  <c r="Q186" i="92"/>
  <c r="O186" i="92"/>
  <c r="M186" i="92"/>
  <c r="K186" i="92"/>
  <c r="I186" i="92"/>
  <c r="G186" i="92"/>
  <c r="Q185" i="92"/>
  <c r="O185" i="92"/>
  <c r="M185" i="92"/>
  <c r="K185" i="92"/>
  <c r="I185" i="92"/>
  <c r="G185" i="92"/>
  <c r="Q184" i="92"/>
  <c r="O184" i="92"/>
  <c r="M184" i="92"/>
  <c r="K184" i="92"/>
  <c r="I184" i="92"/>
  <c r="G184" i="92"/>
  <c r="Q183" i="92"/>
  <c r="O183" i="92"/>
  <c r="M183" i="92"/>
  <c r="K183" i="92"/>
  <c r="I183" i="92"/>
  <c r="G183" i="92"/>
  <c r="Q182" i="92"/>
  <c r="O182" i="92"/>
  <c r="M182" i="92"/>
  <c r="K182" i="92"/>
  <c r="I182" i="92"/>
  <c r="G182" i="92"/>
  <c r="Q181" i="92"/>
  <c r="O181" i="92"/>
  <c r="M181" i="92"/>
  <c r="K181" i="92"/>
  <c r="I181" i="92"/>
  <c r="G181" i="92"/>
  <c r="Q180" i="92"/>
  <c r="O180" i="92"/>
  <c r="M180" i="92"/>
  <c r="K180" i="92"/>
  <c r="I180" i="92"/>
  <c r="G180" i="92"/>
  <c r="Q179" i="92"/>
  <c r="O179" i="92"/>
  <c r="M179" i="92"/>
  <c r="K179" i="92"/>
  <c r="I179" i="92"/>
  <c r="G179" i="92"/>
  <c r="Q178" i="92"/>
  <c r="O178" i="92"/>
  <c r="M178" i="92"/>
  <c r="K178" i="92"/>
  <c r="I178" i="92"/>
  <c r="G178" i="92"/>
  <c r="Q177" i="92"/>
  <c r="O177" i="92"/>
  <c r="M177" i="92"/>
  <c r="K177" i="92"/>
  <c r="I177" i="92"/>
  <c r="G177" i="92"/>
  <c r="Q176" i="92"/>
  <c r="O176" i="92"/>
  <c r="M176" i="92"/>
  <c r="K176" i="92"/>
  <c r="I176" i="92"/>
  <c r="G176" i="92"/>
  <c r="Q175" i="92"/>
  <c r="O175" i="92"/>
  <c r="M175" i="92"/>
  <c r="K175" i="92"/>
  <c r="I175" i="92"/>
  <c r="G175" i="92"/>
  <c r="Q174" i="92"/>
  <c r="O174" i="92"/>
  <c r="M174" i="92"/>
  <c r="K174" i="92"/>
  <c r="I174" i="92"/>
  <c r="G174" i="92"/>
  <c r="Q173" i="92"/>
  <c r="O173" i="92"/>
  <c r="M173" i="92"/>
  <c r="K173" i="92"/>
  <c r="I173" i="92"/>
  <c r="G173" i="92"/>
  <c r="Q172" i="92"/>
  <c r="O172" i="92"/>
  <c r="M172" i="92"/>
  <c r="K172" i="92"/>
  <c r="I172" i="92"/>
  <c r="G172" i="92"/>
  <c r="Q171" i="92"/>
  <c r="O171" i="92"/>
  <c r="M171" i="92"/>
  <c r="K171" i="92"/>
  <c r="I171" i="92"/>
  <c r="G171" i="92"/>
  <c r="Q170" i="92"/>
  <c r="O170" i="92"/>
  <c r="M170" i="92"/>
  <c r="K170" i="92"/>
  <c r="I170" i="92"/>
  <c r="G170" i="92"/>
  <c r="Q169" i="92"/>
  <c r="O169" i="92"/>
  <c r="M169" i="92"/>
  <c r="K169" i="92"/>
  <c r="I169" i="92"/>
  <c r="G169" i="92"/>
  <c r="Q168" i="92"/>
  <c r="O168" i="92"/>
  <c r="M168" i="92"/>
  <c r="K168" i="92"/>
  <c r="I168" i="92"/>
  <c r="G168" i="92"/>
  <c r="Q167" i="92"/>
  <c r="O167" i="92"/>
  <c r="M167" i="92"/>
  <c r="K167" i="92"/>
  <c r="I167" i="92"/>
  <c r="G167" i="92"/>
  <c r="Q166" i="92"/>
  <c r="O166" i="92"/>
  <c r="M166" i="92"/>
  <c r="K166" i="92"/>
  <c r="I166" i="92"/>
  <c r="G166" i="92"/>
  <c r="Q165" i="92"/>
  <c r="O165" i="92"/>
  <c r="M165" i="92"/>
  <c r="K165" i="92"/>
  <c r="I165" i="92"/>
  <c r="G165" i="92"/>
  <c r="Q164" i="92"/>
  <c r="O164" i="92"/>
  <c r="M164" i="92"/>
  <c r="K164" i="92"/>
  <c r="I164" i="92"/>
  <c r="G164" i="92"/>
  <c r="Q163" i="92"/>
  <c r="O163" i="92"/>
  <c r="M163" i="92"/>
  <c r="K163" i="92"/>
  <c r="I163" i="92"/>
  <c r="G163" i="92"/>
  <c r="Q162" i="92"/>
  <c r="O162" i="92"/>
  <c r="M162" i="92"/>
  <c r="K162" i="92"/>
  <c r="I162" i="92"/>
  <c r="G162" i="92"/>
  <c r="Q161" i="92"/>
  <c r="O161" i="92"/>
  <c r="M161" i="92"/>
  <c r="K161" i="92"/>
  <c r="I161" i="92"/>
  <c r="G161" i="92"/>
  <c r="Q160" i="92"/>
  <c r="O160" i="92"/>
  <c r="M160" i="92"/>
  <c r="K160" i="92"/>
  <c r="I160" i="92"/>
  <c r="G160" i="92"/>
  <c r="Q159" i="92"/>
  <c r="O159" i="92"/>
  <c r="M159" i="92"/>
  <c r="K159" i="92"/>
  <c r="I159" i="92"/>
  <c r="G159" i="92"/>
  <c r="Q158" i="92"/>
  <c r="O158" i="92"/>
  <c r="M158" i="92"/>
  <c r="K158" i="92"/>
  <c r="I158" i="92"/>
  <c r="G158" i="92"/>
  <c r="Q157" i="92"/>
  <c r="O157" i="92"/>
  <c r="M157" i="92"/>
  <c r="K157" i="92"/>
  <c r="I157" i="92"/>
  <c r="G157" i="92"/>
  <c r="Q156" i="92"/>
  <c r="O156" i="92"/>
  <c r="M156" i="92"/>
  <c r="K156" i="92"/>
  <c r="I156" i="92"/>
  <c r="G156" i="92"/>
  <c r="Q155" i="92"/>
  <c r="O155" i="92"/>
  <c r="M155" i="92"/>
  <c r="K155" i="92"/>
  <c r="I155" i="92"/>
  <c r="G155" i="92"/>
  <c r="Q154" i="92"/>
  <c r="O154" i="92"/>
  <c r="M154" i="92"/>
  <c r="K154" i="92"/>
  <c r="I154" i="92"/>
  <c r="G154" i="92"/>
  <c r="Q153" i="92"/>
  <c r="O153" i="92"/>
  <c r="M153" i="92"/>
  <c r="K153" i="92"/>
  <c r="I153" i="92"/>
  <c r="G153" i="92"/>
  <c r="Q152" i="92"/>
  <c r="O152" i="92"/>
  <c r="M152" i="92"/>
  <c r="K152" i="92"/>
  <c r="I152" i="92"/>
  <c r="G152" i="92"/>
  <c r="Q151" i="92"/>
  <c r="O151" i="92"/>
  <c r="M151" i="92"/>
  <c r="K151" i="92"/>
  <c r="I151" i="92"/>
  <c r="G151" i="92"/>
  <c r="Q150" i="92"/>
  <c r="O150" i="92"/>
  <c r="M150" i="92"/>
  <c r="K150" i="92"/>
  <c r="I150" i="92"/>
  <c r="G150" i="92"/>
  <c r="Q149" i="92"/>
  <c r="O149" i="92"/>
  <c r="M149" i="92"/>
  <c r="K149" i="92"/>
  <c r="I149" i="92"/>
  <c r="G149" i="92"/>
  <c r="Q148" i="92"/>
  <c r="O148" i="92"/>
  <c r="M148" i="92"/>
  <c r="K148" i="92"/>
  <c r="I148" i="92"/>
  <c r="G148" i="92"/>
  <c r="Q147" i="92"/>
  <c r="O147" i="92"/>
  <c r="M147" i="92"/>
  <c r="K147" i="92"/>
  <c r="I147" i="92"/>
  <c r="G147" i="92"/>
  <c r="Q146" i="92"/>
  <c r="O146" i="92"/>
  <c r="M146" i="92"/>
  <c r="K146" i="92"/>
  <c r="I146" i="92"/>
  <c r="G146" i="92"/>
  <c r="Q145" i="92"/>
  <c r="O145" i="92"/>
  <c r="M145" i="92"/>
  <c r="K145" i="92"/>
  <c r="I145" i="92"/>
  <c r="G145" i="92"/>
  <c r="Q144" i="92"/>
  <c r="O144" i="92"/>
  <c r="M144" i="92"/>
  <c r="K144" i="92"/>
  <c r="I144" i="92"/>
  <c r="G144" i="92"/>
  <c r="Q143" i="92"/>
  <c r="O143" i="92"/>
  <c r="M143" i="92"/>
  <c r="K143" i="92"/>
  <c r="I143" i="92"/>
  <c r="G143" i="92"/>
  <c r="Q142" i="92"/>
  <c r="O142" i="92"/>
  <c r="M142" i="92"/>
  <c r="K142" i="92"/>
  <c r="I142" i="92"/>
  <c r="G142" i="92"/>
  <c r="Q141" i="92"/>
  <c r="O141" i="92"/>
  <c r="M141" i="92"/>
  <c r="K141" i="92"/>
  <c r="I141" i="92"/>
  <c r="G141" i="92"/>
  <c r="Q140" i="92"/>
  <c r="O140" i="92"/>
  <c r="M140" i="92"/>
  <c r="K140" i="92"/>
  <c r="I140" i="92"/>
  <c r="G140" i="92"/>
  <c r="Q139" i="92"/>
  <c r="O139" i="92"/>
  <c r="M139" i="92"/>
  <c r="K139" i="92"/>
  <c r="I139" i="92"/>
  <c r="G139" i="92"/>
  <c r="Q138" i="92"/>
  <c r="O138" i="92"/>
  <c r="M138" i="92"/>
  <c r="K138" i="92"/>
  <c r="I138" i="92"/>
  <c r="G138" i="92"/>
  <c r="Q137" i="92"/>
  <c r="O137" i="92"/>
  <c r="M137" i="92"/>
  <c r="K137" i="92"/>
  <c r="I137" i="92"/>
  <c r="G137" i="92"/>
  <c r="Q136" i="92"/>
  <c r="O136" i="92"/>
  <c r="M136" i="92"/>
  <c r="K136" i="92"/>
  <c r="I136" i="92"/>
  <c r="G136" i="92"/>
  <c r="Q135" i="92"/>
  <c r="O135" i="92"/>
  <c r="M135" i="92"/>
  <c r="K135" i="92"/>
  <c r="I135" i="92"/>
  <c r="G135" i="92"/>
  <c r="Q134" i="92"/>
  <c r="O134" i="92"/>
  <c r="M134" i="92"/>
  <c r="K134" i="92"/>
  <c r="I134" i="92"/>
  <c r="G134" i="92"/>
  <c r="Q133" i="92"/>
  <c r="O133" i="92"/>
  <c r="M133" i="92"/>
  <c r="K133" i="92"/>
  <c r="I133" i="92"/>
  <c r="G133" i="92"/>
  <c r="Q132" i="92"/>
  <c r="O132" i="92"/>
  <c r="M132" i="92"/>
  <c r="K132" i="92"/>
  <c r="I132" i="92"/>
  <c r="G132" i="92"/>
  <c r="Q131" i="92"/>
  <c r="O131" i="92"/>
  <c r="M131" i="92"/>
  <c r="K131" i="92"/>
  <c r="I131" i="92"/>
  <c r="G131" i="92"/>
  <c r="Q130" i="92"/>
  <c r="O130" i="92"/>
  <c r="M130" i="92"/>
  <c r="K130" i="92"/>
  <c r="I130" i="92"/>
  <c r="G130" i="92"/>
  <c r="Q129" i="92"/>
  <c r="O129" i="92"/>
  <c r="M129" i="92"/>
  <c r="K129" i="92"/>
  <c r="I129" i="92"/>
  <c r="G129" i="92"/>
  <c r="Q128" i="92"/>
  <c r="O128" i="92"/>
  <c r="M128" i="92"/>
  <c r="K128" i="92"/>
  <c r="I128" i="92"/>
  <c r="G128" i="92"/>
  <c r="Q127" i="92"/>
  <c r="O127" i="92"/>
  <c r="M127" i="92"/>
  <c r="K127" i="92"/>
  <c r="I127" i="92"/>
  <c r="G127" i="92"/>
  <c r="Q126" i="92"/>
  <c r="O126" i="92"/>
  <c r="M126" i="92"/>
  <c r="K126" i="92"/>
  <c r="I126" i="92"/>
  <c r="G126" i="92"/>
  <c r="Q125" i="92"/>
  <c r="O125" i="92"/>
  <c r="M125" i="92"/>
  <c r="K125" i="92"/>
  <c r="I125" i="92"/>
  <c r="G125" i="92"/>
  <c r="Q124" i="92"/>
  <c r="O124" i="92"/>
  <c r="M124" i="92"/>
  <c r="K124" i="92"/>
  <c r="I124" i="92"/>
  <c r="G124" i="92"/>
  <c r="Q123" i="92"/>
  <c r="O123" i="92"/>
  <c r="M123" i="92"/>
  <c r="K123" i="92"/>
  <c r="I123" i="92"/>
  <c r="G123" i="92"/>
  <c r="Q122" i="92"/>
  <c r="O122" i="92"/>
  <c r="M122" i="92"/>
  <c r="K122" i="92"/>
  <c r="I122" i="92"/>
  <c r="G122" i="92"/>
  <c r="Q121" i="92"/>
  <c r="O121" i="92"/>
  <c r="M121" i="92"/>
  <c r="K121" i="92"/>
  <c r="I121" i="92"/>
  <c r="G121" i="92"/>
  <c r="Q120" i="92"/>
  <c r="O120" i="92"/>
  <c r="M120" i="92"/>
  <c r="K120" i="92"/>
  <c r="I120" i="92"/>
  <c r="G120" i="92"/>
  <c r="Q119" i="92"/>
  <c r="O119" i="92"/>
  <c r="M119" i="92"/>
  <c r="K119" i="92"/>
  <c r="I119" i="92"/>
  <c r="G119" i="92"/>
  <c r="Q118" i="92"/>
  <c r="O118" i="92"/>
  <c r="M118" i="92"/>
  <c r="K118" i="92"/>
  <c r="I118" i="92"/>
  <c r="G118" i="92"/>
  <c r="Q117" i="92"/>
  <c r="O117" i="92"/>
  <c r="M117" i="92"/>
  <c r="K117" i="92"/>
  <c r="I117" i="92"/>
  <c r="G117" i="92"/>
  <c r="Q116" i="92"/>
  <c r="O116" i="92"/>
  <c r="M116" i="92"/>
  <c r="K116" i="92"/>
  <c r="I116" i="92"/>
  <c r="G116" i="92"/>
  <c r="Q115" i="92"/>
  <c r="O115" i="92"/>
  <c r="M115" i="92"/>
  <c r="K115" i="92"/>
  <c r="I115" i="92"/>
  <c r="G115" i="92"/>
  <c r="Q114" i="92"/>
  <c r="O114" i="92"/>
  <c r="M114" i="92"/>
  <c r="K114" i="92"/>
  <c r="I114" i="92"/>
  <c r="G114" i="92"/>
  <c r="Q113" i="92"/>
  <c r="O113" i="92"/>
  <c r="M113" i="92"/>
  <c r="K113" i="92"/>
  <c r="I113" i="92"/>
  <c r="G113" i="92"/>
  <c r="Q112" i="92"/>
  <c r="O112" i="92"/>
  <c r="M112" i="92"/>
  <c r="K112" i="92"/>
  <c r="I112" i="92"/>
  <c r="G112" i="92"/>
  <c r="Q111" i="92"/>
  <c r="O111" i="92"/>
  <c r="M111" i="92"/>
  <c r="K111" i="92"/>
  <c r="I111" i="92"/>
  <c r="G111" i="92"/>
  <c r="Q110" i="92"/>
  <c r="O110" i="92"/>
  <c r="M110" i="92"/>
  <c r="K110" i="92"/>
  <c r="I110" i="92"/>
  <c r="G110" i="92"/>
  <c r="Q109" i="92"/>
  <c r="O109" i="92"/>
  <c r="M109" i="92"/>
  <c r="K109" i="92"/>
  <c r="I109" i="92"/>
  <c r="G109" i="92"/>
  <c r="Q108" i="92"/>
  <c r="O108" i="92"/>
  <c r="M108" i="92"/>
  <c r="K108" i="92"/>
  <c r="I108" i="92"/>
  <c r="G108" i="92"/>
  <c r="Q107" i="92"/>
  <c r="O107" i="92"/>
  <c r="M107" i="92"/>
  <c r="K107" i="92"/>
  <c r="I107" i="92"/>
  <c r="G107" i="92"/>
  <c r="Q106" i="92"/>
  <c r="O106" i="92"/>
  <c r="M106" i="92"/>
  <c r="K106" i="92"/>
  <c r="I106" i="92"/>
  <c r="G106" i="92"/>
  <c r="Q105" i="92"/>
  <c r="O105" i="92"/>
  <c r="M105" i="92"/>
  <c r="K105" i="92"/>
  <c r="I105" i="92"/>
  <c r="G105" i="92"/>
  <c r="Q104" i="92"/>
  <c r="O104" i="92"/>
  <c r="M104" i="92"/>
  <c r="K104" i="92"/>
  <c r="I104" i="92"/>
  <c r="G104" i="92"/>
  <c r="Q103" i="92"/>
  <c r="O103" i="92"/>
  <c r="M103" i="92"/>
  <c r="K103" i="92"/>
  <c r="I103" i="92"/>
  <c r="G103" i="92"/>
  <c r="Q102" i="92"/>
  <c r="O102" i="92"/>
  <c r="M102" i="92"/>
  <c r="K102" i="92"/>
  <c r="I102" i="92"/>
  <c r="G102" i="92"/>
  <c r="Q101" i="92"/>
  <c r="O101" i="92"/>
  <c r="M101" i="92"/>
  <c r="K101" i="92"/>
  <c r="I101" i="92"/>
  <c r="G101" i="92"/>
  <c r="Q100" i="92"/>
  <c r="O100" i="92"/>
  <c r="M100" i="92"/>
  <c r="K100" i="92"/>
  <c r="I100" i="92"/>
  <c r="G100" i="92"/>
  <c r="Q99" i="92"/>
  <c r="O99" i="92"/>
  <c r="M99" i="92"/>
  <c r="K99" i="92"/>
  <c r="I99" i="92"/>
  <c r="G99" i="92"/>
  <c r="Q98" i="92"/>
  <c r="O98" i="92"/>
  <c r="M98" i="92"/>
  <c r="K98" i="92"/>
  <c r="I98" i="92"/>
  <c r="G98" i="92"/>
  <c r="Q97" i="92"/>
  <c r="O97" i="92"/>
  <c r="M97" i="92"/>
  <c r="K97" i="92"/>
  <c r="I97" i="92"/>
  <c r="G97" i="92"/>
  <c r="Q96" i="92"/>
  <c r="O96" i="92"/>
  <c r="M96" i="92"/>
  <c r="K96" i="92"/>
  <c r="I96" i="92"/>
  <c r="G96" i="92"/>
  <c r="Q95" i="92"/>
  <c r="O95" i="92"/>
  <c r="M95" i="92"/>
  <c r="K95" i="92"/>
  <c r="I95" i="92"/>
  <c r="G95" i="92"/>
  <c r="Q94" i="92"/>
  <c r="O94" i="92"/>
  <c r="M94" i="92"/>
  <c r="K94" i="92"/>
  <c r="I94" i="92"/>
  <c r="G94" i="92"/>
  <c r="Q93" i="92"/>
  <c r="O93" i="92"/>
  <c r="M93" i="92"/>
  <c r="K93" i="92"/>
  <c r="I93" i="92"/>
  <c r="G93" i="92"/>
  <c r="Q92" i="92"/>
  <c r="O92" i="92"/>
  <c r="M92" i="92"/>
  <c r="K92" i="92"/>
  <c r="I92" i="92"/>
  <c r="G92" i="92"/>
  <c r="Q91" i="92"/>
  <c r="O91" i="92"/>
  <c r="M91" i="92"/>
  <c r="K91" i="92"/>
  <c r="I91" i="92"/>
  <c r="G91" i="92"/>
  <c r="Q90" i="92"/>
  <c r="O90" i="92"/>
  <c r="M90" i="92"/>
  <c r="K90" i="92"/>
  <c r="I90" i="92"/>
  <c r="G90" i="92"/>
  <c r="Q89" i="92"/>
  <c r="O89" i="92"/>
  <c r="M89" i="92"/>
  <c r="K89" i="92"/>
  <c r="I89" i="92"/>
  <c r="G89" i="92"/>
  <c r="Q88" i="92"/>
  <c r="O88" i="92"/>
  <c r="M88" i="92"/>
  <c r="K88" i="92"/>
  <c r="I88" i="92"/>
  <c r="G88" i="92"/>
  <c r="Q87" i="92"/>
  <c r="O87" i="92"/>
  <c r="M87" i="92"/>
  <c r="K87" i="92"/>
  <c r="I87" i="92"/>
  <c r="G87" i="92"/>
  <c r="Q86" i="92"/>
  <c r="O86" i="92"/>
  <c r="M86" i="92"/>
  <c r="K86" i="92"/>
  <c r="I86" i="92"/>
  <c r="G86" i="92"/>
  <c r="Q85" i="92"/>
  <c r="O85" i="92"/>
  <c r="M85" i="92"/>
  <c r="K85" i="92"/>
  <c r="I85" i="92"/>
  <c r="G85" i="92"/>
  <c r="Q84" i="92"/>
  <c r="O84" i="92"/>
  <c r="M84" i="92"/>
  <c r="K84" i="92"/>
  <c r="I84" i="92"/>
  <c r="G84" i="92"/>
  <c r="Q83" i="92"/>
  <c r="O83" i="92"/>
  <c r="M83" i="92"/>
  <c r="K83" i="92"/>
  <c r="I83" i="92"/>
  <c r="G83" i="92"/>
  <c r="Q82" i="92"/>
  <c r="O82" i="92"/>
  <c r="M82" i="92"/>
  <c r="K82" i="92"/>
  <c r="I82" i="92"/>
  <c r="G82" i="92"/>
  <c r="Q81" i="92"/>
  <c r="O81" i="92"/>
  <c r="M81" i="92"/>
  <c r="K81" i="92"/>
  <c r="I81" i="92"/>
  <c r="G81" i="92"/>
  <c r="Q80" i="92"/>
  <c r="O80" i="92"/>
  <c r="M80" i="92"/>
  <c r="K80" i="92"/>
  <c r="I80" i="92"/>
  <c r="G80" i="92"/>
  <c r="Q79" i="92"/>
  <c r="O79" i="92"/>
  <c r="M79" i="92"/>
  <c r="K79" i="92"/>
  <c r="I79" i="92"/>
  <c r="G79" i="92"/>
  <c r="Q78" i="92"/>
  <c r="O78" i="92"/>
  <c r="M78" i="92"/>
  <c r="K78" i="92"/>
  <c r="I78" i="92"/>
  <c r="G78" i="92"/>
  <c r="Q77" i="92"/>
  <c r="O77" i="92"/>
  <c r="M77" i="92"/>
  <c r="K77" i="92"/>
  <c r="I77" i="92"/>
  <c r="G77" i="92"/>
  <c r="Q76" i="92"/>
  <c r="O76" i="92"/>
  <c r="M76" i="92"/>
  <c r="K76" i="92"/>
  <c r="I76" i="92"/>
  <c r="G76" i="92"/>
  <c r="Q75" i="92"/>
  <c r="O75" i="92"/>
  <c r="M75" i="92"/>
  <c r="K75" i="92"/>
  <c r="I75" i="92"/>
  <c r="G75" i="92"/>
  <c r="Q74" i="92"/>
  <c r="O74" i="92"/>
  <c r="M74" i="92"/>
  <c r="K74" i="92"/>
  <c r="I74" i="92"/>
  <c r="G74" i="92"/>
  <c r="Q73" i="92"/>
  <c r="O73" i="92"/>
  <c r="M73" i="92"/>
  <c r="K73" i="92"/>
  <c r="I73" i="92"/>
  <c r="G73" i="92"/>
  <c r="Q72" i="92"/>
  <c r="O72" i="92"/>
  <c r="M72" i="92"/>
  <c r="K72" i="92"/>
  <c r="I72" i="92"/>
  <c r="G72" i="92"/>
  <c r="Q71" i="92"/>
  <c r="O71" i="92"/>
  <c r="M71" i="92"/>
  <c r="K71" i="92"/>
  <c r="I71" i="92"/>
  <c r="G71" i="92"/>
  <c r="Q70" i="92"/>
  <c r="O70" i="92"/>
  <c r="M70" i="92"/>
  <c r="K70" i="92"/>
  <c r="I70" i="92"/>
  <c r="G70" i="92"/>
  <c r="Q69" i="92"/>
  <c r="O69" i="92"/>
  <c r="M69" i="92"/>
  <c r="K69" i="92"/>
  <c r="I69" i="92"/>
  <c r="G69" i="92"/>
  <c r="Q68" i="92"/>
  <c r="O68" i="92"/>
  <c r="M68" i="92"/>
  <c r="K68" i="92"/>
  <c r="I68" i="92"/>
  <c r="G68" i="92"/>
  <c r="Q67" i="92"/>
  <c r="O67" i="92"/>
  <c r="M67" i="92"/>
  <c r="K67" i="92"/>
  <c r="I67" i="92"/>
  <c r="G67" i="92"/>
  <c r="Q66" i="92"/>
  <c r="O66" i="92"/>
  <c r="M66" i="92"/>
  <c r="K66" i="92"/>
  <c r="I66" i="92"/>
  <c r="G66" i="92"/>
  <c r="Q65" i="92"/>
  <c r="O65" i="92"/>
  <c r="M65" i="92"/>
  <c r="K65" i="92"/>
  <c r="I65" i="92"/>
  <c r="G65" i="92"/>
  <c r="Q64" i="92"/>
  <c r="O64" i="92"/>
  <c r="M64" i="92"/>
  <c r="K64" i="92"/>
  <c r="I64" i="92"/>
  <c r="G64" i="92"/>
  <c r="Q63" i="92"/>
  <c r="O63" i="92"/>
  <c r="M63" i="92"/>
  <c r="K63" i="92"/>
  <c r="I63" i="92"/>
  <c r="G63" i="92"/>
  <c r="Q62" i="92"/>
  <c r="O62" i="92"/>
  <c r="M62" i="92"/>
  <c r="K62" i="92"/>
  <c r="I62" i="92"/>
  <c r="G62" i="92"/>
  <c r="Q61" i="92"/>
  <c r="O61" i="92"/>
  <c r="M61" i="92"/>
  <c r="K61" i="92"/>
  <c r="I61" i="92"/>
  <c r="G61" i="92"/>
  <c r="Q60" i="92"/>
  <c r="O60" i="92"/>
  <c r="M60" i="92"/>
  <c r="K60" i="92"/>
  <c r="I60" i="92"/>
  <c r="G60" i="92"/>
  <c r="Q59" i="92"/>
  <c r="O59" i="92"/>
  <c r="M59" i="92"/>
  <c r="K59" i="92"/>
  <c r="I59" i="92"/>
  <c r="G59" i="92"/>
  <c r="Q58" i="92"/>
  <c r="O58" i="92"/>
  <c r="M58" i="92"/>
  <c r="K58" i="92"/>
  <c r="I58" i="92"/>
  <c r="G58" i="92"/>
  <c r="Q57" i="92"/>
  <c r="O57" i="92"/>
  <c r="M57" i="92"/>
  <c r="K57" i="92"/>
  <c r="I57" i="92"/>
  <c r="G57" i="92"/>
  <c r="Q56" i="92"/>
  <c r="O56" i="92"/>
  <c r="M56" i="92"/>
  <c r="K56" i="92"/>
  <c r="I56" i="92"/>
  <c r="G56" i="92"/>
  <c r="Q55" i="92"/>
  <c r="O55" i="92"/>
  <c r="M55" i="92"/>
  <c r="K55" i="92"/>
  <c r="I55" i="92"/>
  <c r="G55" i="92"/>
  <c r="Q54" i="92"/>
  <c r="O54" i="92"/>
  <c r="M54" i="92"/>
  <c r="K54" i="92"/>
  <c r="I54" i="92"/>
  <c r="G54" i="92"/>
  <c r="Q53" i="92"/>
  <c r="O53" i="92"/>
  <c r="M53" i="92"/>
  <c r="K53" i="92"/>
  <c r="I53" i="92"/>
  <c r="G53" i="92"/>
  <c r="Q52" i="92"/>
  <c r="O52" i="92"/>
  <c r="M52" i="92"/>
  <c r="K52" i="92"/>
  <c r="I52" i="92"/>
  <c r="G52" i="92"/>
  <c r="Q51" i="92"/>
  <c r="O51" i="92"/>
  <c r="M51" i="92"/>
  <c r="K51" i="92"/>
  <c r="I51" i="92"/>
  <c r="G51" i="92"/>
  <c r="Q50" i="92"/>
  <c r="O50" i="92"/>
  <c r="M50" i="92"/>
  <c r="K50" i="92"/>
  <c r="I50" i="92"/>
  <c r="G50" i="92"/>
  <c r="Q49" i="92"/>
  <c r="O49" i="92"/>
  <c r="M49" i="92"/>
  <c r="K49" i="92"/>
  <c r="I49" i="92"/>
  <c r="G49" i="92"/>
  <c r="Q48" i="92"/>
  <c r="O48" i="92"/>
  <c r="M48" i="92"/>
  <c r="K48" i="92"/>
  <c r="I48" i="92"/>
  <c r="G48" i="92"/>
  <c r="Q47" i="92"/>
  <c r="O47" i="92"/>
  <c r="M47" i="92"/>
  <c r="K47" i="92"/>
  <c r="I47" i="92"/>
  <c r="G47" i="92"/>
  <c r="Q46" i="92"/>
  <c r="O46" i="92"/>
  <c r="M46" i="92"/>
  <c r="K46" i="92"/>
  <c r="I46" i="92"/>
  <c r="G46" i="92"/>
  <c r="Q45" i="92"/>
  <c r="O45" i="92"/>
  <c r="M45" i="92"/>
  <c r="K45" i="92"/>
  <c r="I45" i="92"/>
  <c r="G45" i="92"/>
  <c r="Q44" i="92"/>
  <c r="O44" i="92"/>
  <c r="M44" i="92"/>
  <c r="K44" i="92"/>
  <c r="I44" i="92"/>
  <c r="G44" i="92"/>
  <c r="Q43" i="92"/>
  <c r="O43" i="92"/>
  <c r="M43" i="92"/>
  <c r="K43" i="92"/>
  <c r="I43" i="92"/>
  <c r="G43" i="92"/>
  <c r="Q42" i="92"/>
  <c r="O42" i="92"/>
  <c r="M42" i="92"/>
  <c r="K42" i="92"/>
  <c r="I42" i="92"/>
  <c r="G42" i="92"/>
  <c r="Q41" i="92"/>
  <c r="O41" i="92"/>
  <c r="M41" i="92"/>
  <c r="K41" i="92"/>
  <c r="I41" i="92"/>
  <c r="G41" i="92"/>
  <c r="Q40" i="92"/>
  <c r="O40" i="92"/>
  <c r="M40" i="92"/>
  <c r="K40" i="92"/>
  <c r="I40" i="92"/>
  <c r="G40" i="92"/>
  <c r="Q39" i="92"/>
  <c r="O39" i="92"/>
  <c r="M39" i="92"/>
  <c r="K39" i="92"/>
  <c r="I39" i="92"/>
  <c r="G39" i="92"/>
  <c r="Q38" i="92"/>
  <c r="O38" i="92"/>
  <c r="M38" i="92"/>
  <c r="K38" i="92"/>
  <c r="I38" i="92"/>
  <c r="G38" i="92"/>
  <c r="Q37" i="92"/>
  <c r="O37" i="92"/>
  <c r="M37" i="92"/>
  <c r="K37" i="92"/>
  <c r="I37" i="92"/>
  <c r="G37" i="92"/>
  <c r="Q36" i="92"/>
  <c r="O36" i="92"/>
  <c r="M36" i="92"/>
  <c r="K36" i="92"/>
  <c r="I36" i="92"/>
  <c r="G36" i="92"/>
  <c r="Q35" i="92"/>
  <c r="O35" i="92"/>
  <c r="M35" i="92"/>
  <c r="K35" i="92"/>
  <c r="I35" i="92"/>
  <c r="G35" i="92"/>
  <c r="Q34" i="92"/>
  <c r="O34" i="92"/>
  <c r="M34" i="92"/>
  <c r="K34" i="92"/>
  <c r="I34" i="92"/>
  <c r="G34" i="92"/>
  <c r="Q33" i="92"/>
  <c r="O33" i="92"/>
  <c r="M33" i="92"/>
  <c r="K33" i="92"/>
  <c r="I33" i="92"/>
  <c r="G33" i="92"/>
  <c r="Q32" i="92"/>
  <c r="O32" i="92"/>
  <c r="M32" i="92"/>
  <c r="K32" i="92"/>
  <c r="I32" i="92"/>
  <c r="G32" i="92"/>
  <c r="Q31" i="92"/>
  <c r="O31" i="92"/>
  <c r="M31" i="92"/>
  <c r="K31" i="92"/>
  <c r="I31" i="92"/>
  <c r="G31" i="92"/>
  <c r="Q30" i="92"/>
  <c r="O30" i="92"/>
  <c r="M30" i="92"/>
  <c r="K30" i="92"/>
  <c r="I30" i="92"/>
  <c r="G30" i="92"/>
  <c r="Q29" i="92"/>
  <c r="O29" i="92"/>
  <c r="M29" i="92"/>
  <c r="K29" i="92"/>
  <c r="I29" i="92"/>
  <c r="G29" i="92"/>
  <c r="Q28" i="92"/>
  <c r="O28" i="92"/>
  <c r="M28" i="92"/>
  <c r="K28" i="92"/>
  <c r="I28" i="92"/>
  <c r="G28" i="92"/>
  <c r="Q27" i="92"/>
  <c r="O27" i="92"/>
  <c r="M27" i="92"/>
  <c r="K27" i="92"/>
  <c r="I27" i="92"/>
  <c r="G27" i="92"/>
  <c r="Q26" i="92"/>
  <c r="O26" i="92"/>
  <c r="M26" i="92"/>
  <c r="K26" i="92"/>
  <c r="I26" i="92"/>
  <c r="G26" i="92"/>
  <c r="Q25" i="92"/>
  <c r="O25" i="92"/>
  <c r="M25" i="92"/>
  <c r="K25" i="92"/>
  <c r="I25" i="92"/>
  <c r="G25" i="92"/>
  <c r="B22" i="92"/>
  <c r="P23" i="92"/>
  <c r="N23" i="92"/>
  <c r="L23" i="92"/>
  <c r="J23" i="92"/>
  <c r="H23" i="92"/>
  <c r="F23" i="92"/>
  <c r="F12" i="92"/>
  <c r="G12" i="92" s="1"/>
  <c r="H12" i="92" s="1"/>
  <c r="I12" i="92" s="1"/>
  <c r="J12" i="92" s="1"/>
  <c r="K12" i="92" s="1"/>
  <c r="L12" i="92" s="1"/>
  <c r="M12" i="92" s="1"/>
  <c r="N12" i="92" s="1"/>
  <c r="O12" i="92" s="1"/>
  <c r="P12" i="92" s="1"/>
  <c r="Q12" i="92" s="1"/>
  <c r="R12" i="92" s="1"/>
  <c r="S12" i="92" s="1"/>
  <c r="D12" i="92"/>
  <c r="E12" i="92" s="1"/>
  <c r="F10" i="92"/>
  <c r="G10" i="92" s="1"/>
  <c r="H10" i="92" s="1"/>
  <c r="I10" i="92" s="1"/>
  <c r="J10" i="92" s="1"/>
  <c r="K10" i="92" s="1"/>
  <c r="L10" i="92" s="1"/>
  <c r="M10" i="92" s="1"/>
  <c r="N10" i="92" s="1"/>
  <c r="O10" i="92" s="1"/>
  <c r="P10" i="92" s="1"/>
  <c r="Q10" i="92" s="1"/>
  <c r="R10" i="92" s="1"/>
  <c r="S10" i="92" s="1"/>
  <c r="D10" i="92"/>
  <c r="E10" i="92" s="1"/>
  <c r="F8" i="92"/>
  <c r="G8" i="92" s="1"/>
  <c r="H8" i="92" s="1"/>
  <c r="I8" i="92" s="1"/>
  <c r="J8" i="92" s="1"/>
  <c r="K8" i="92" s="1"/>
  <c r="L8" i="92" s="1"/>
  <c r="M8" i="92" s="1"/>
  <c r="N8" i="92" s="1"/>
  <c r="O8" i="92" s="1"/>
  <c r="P8" i="92" s="1"/>
  <c r="Q8" i="92" s="1"/>
  <c r="R8" i="92" s="1"/>
  <c r="S8" i="92" s="1"/>
  <c r="D8" i="92"/>
  <c r="E8" i="92" s="1"/>
  <c r="E6" i="92"/>
  <c r="F6" i="92" s="1"/>
  <c r="G6" i="92" s="1"/>
  <c r="H6" i="92" s="1"/>
  <c r="I6" i="92" s="1"/>
  <c r="J6" i="92" s="1"/>
  <c r="K6" i="92" s="1"/>
  <c r="L6" i="92" s="1"/>
  <c r="M6" i="92" s="1"/>
  <c r="N6" i="92" s="1"/>
  <c r="O6" i="92" s="1"/>
  <c r="P6" i="92" s="1"/>
  <c r="Q6" i="92" s="1"/>
  <c r="R6" i="92" s="1"/>
  <c r="S6" i="92" s="1"/>
  <c r="D6" i="92"/>
  <c r="B5" i="92"/>
  <c r="S2" i="92"/>
  <c r="R2" i="92"/>
  <c r="Q2" i="92"/>
  <c r="P2" i="92"/>
  <c r="O2" i="92"/>
  <c r="N2" i="92"/>
  <c r="M2" i="92"/>
  <c r="L2" i="92"/>
  <c r="K2" i="92"/>
  <c r="J2" i="92"/>
  <c r="I2" i="92"/>
  <c r="H2" i="92"/>
  <c r="G2" i="92"/>
  <c r="F2" i="92"/>
  <c r="E2" i="92"/>
  <c r="D2" i="92"/>
  <c r="C2" i="92"/>
  <c r="Q72" i="91"/>
  <c r="Q59" i="91"/>
  <c r="K59" i="91"/>
  <c r="P74" i="91" s="1"/>
  <c r="F59" i="91"/>
  <c r="Q58" i="91"/>
  <c r="Q51" i="91"/>
  <c r="J50" i="91"/>
  <c r="J51" i="91" s="1"/>
  <c r="M47" i="91"/>
  <c r="D46" i="91"/>
  <c r="F34" i="91"/>
  <c r="F62" i="91" s="1"/>
  <c r="F33" i="91"/>
  <c r="F61" i="91" s="1"/>
  <c r="F32" i="91"/>
  <c r="F60" i="91" s="1"/>
  <c r="F31" i="91"/>
  <c r="F28" i="91"/>
  <c r="C28" i="91"/>
  <c r="F23" i="91"/>
  <c r="D24" i="91" s="1"/>
  <c r="D23" i="91"/>
  <c r="D22" i="91"/>
  <c r="F21" i="91"/>
  <c r="M20" i="91"/>
  <c r="F20" i="91"/>
  <c r="M19" i="91"/>
  <c r="M18" i="91"/>
  <c r="F18" i="91"/>
  <c r="M17" i="91"/>
  <c r="F17" i="91"/>
  <c r="F15" i="91"/>
  <c r="G1" i="91"/>
  <c r="C48" i="90"/>
  <c r="G41" i="90"/>
  <c r="F38" i="90"/>
  <c r="E37" i="90"/>
  <c r="F36" i="90"/>
  <c r="F35" i="90"/>
  <c r="F30" i="90"/>
  <c r="F48" i="90" s="1"/>
  <c r="C30" i="90"/>
  <c r="G22" i="90"/>
  <c r="F21" i="90"/>
  <c r="F40" i="90" s="1"/>
  <c r="F20" i="90"/>
  <c r="F39" i="90" s="1"/>
  <c r="E19" i="90"/>
  <c r="C19" i="90"/>
  <c r="E10" i="90"/>
  <c r="E9" i="90"/>
  <c r="F7" i="90"/>
  <c r="H1" i="90"/>
  <c r="G1" i="90"/>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L4" i="89"/>
  <c r="K4" i="89"/>
  <c r="A2" i="89"/>
  <c r="H1" i="89"/>
  <c r="M13" i="3"/>
  <c r="G21" i="6" s="1"/>
  <c r="G20" i="6"/>
  <c r="K13" i="3"/>
  <c r="I13" i="3"/>
  <c r="F20" i="92"/>
  <c r="C34" i="90"/>
  <c r="D10" i="90"/>
  <c r="E2" i="90"/>
  <c r="C36" i="90"/>
  <c r="D35" i="89"/>
  <c r="D34" i="89"/>
  <c r="E524" i="92" l="1"/>
  <c r="E523" i="92"/>
  <c r="E522" i="92"/>
  <c r="E521" i="92"/>
  <c r="E520" i="92"/>
  <c r="E519" i="92"/>
  <c r="E518" i="92"/>
  <c r="E517" i="92"/>
  <c r="E516" i="92"/>
  <c r="E515" i="92"/>
  <c r="E514" i="92"/>
  <c r="E513" i="92"/>
  <c r="E512" i="92"/>
  <c r="E511" i="92"/>
  <c r="E510" i="92"/>
  <c r="E509" i="92"/>
  <c r="E508" i="92"/>
  <c r="E507" i="92"/>
  <c r="E506" i="92"/>
  <c r="E505" i="92"/>
  <c r="E504" i="92"/>
  <c r="E503" i="92"/>
  <c r="E502" i="92"/>
  <c r="E501" i="92"/>
  <c r="E500" i="92"/>
  <c r="E499" i="92"/>
  <c r="E498" i="92"/>
  <c r="E497" i="92"/>
  <c r="E496" i="92"/>
  <c r="E495" i="92"/>
  <c r="E494" i="92"/>
  <c r="E493" i="92"/>
  <c r="E492" i="92"/>
  <c r="E491" i="92"/>
  <c r="E490" i="92"/>
  <c r="E489" i="92"/>
  <c r="E488" i="92"/>
  <c r="E487" i="92"/>
  <c r="E486" i="92"/>
  <c r="E485" i="92"/>
  <c r="E484" i="92"/>
  <c r="E483" i="92"/>
  <c r="E482" i="92"/>
  <c r="E481" i="92"/>
  <c r="E480" i="92"/>
  <c r="E479" i="92"/>
  <c r="E478" i="92"/>
  <c r="E477" i="92"/>
  <c r="E476" i="92"/>
  <c r="E475" i="92"/>
  <c r="E474" i="92"/>
  <c r="E473" i="92"/>
  <c r="E472" i="92"/>
  <c r="E471" i="92"/>
  <c r="E470" i="92"/>
  <c r="E469" i="92"/>
  <c r="E468" i="92"/>
  <c r="E467" i="92"/>
  <c r="E466" i="92"/>
  <c r="E465" i="92"/>
  <c r="E464" i="92"/>
  <c r="E463" i="92"/>
  <c r="E462" i="92"/>
  <c r="E461" i="92"/>
  <c r="E460" i="92"/>
  <c r="E459" i="92"/>
  <c r="E458" i="92"/>
  <c r="E457" i="92"/>
  <c r="E456" i="92"/>
  <c r="E455" i="92"/>
  <c r="E454" i="92"/>
  <c r="E453" i="92"/>
  <c r="E452" i="92"/>
  <c r="E451" i="92"/>
  <c r="E450" i="92"/>
  <c r="E449" i="92"/>
  <c r="E448" i="92"/>
  <c r="E447" i="92"/>
  <c r="E446" i="92"/>
  <c r="E445" i="92"/>
  <c r="E444" i="92"/>
  <c r="E443" i="92"/>
  <c r="E442" i="92"/>
  <c r="E441" i="92"/>
  <c r="E440" i="92"/>
  <c r="E439" i="92"/>
  <c r="E438" i="92"/>
  <c r="E437" i="92"/>
  <c r="E436" i="92"/>
  <c r="E435" i="92"/>
  <c r="E434" i="92"/>
  <c r="E433" i="92"/>
  <c r="E432" i="92"/>
  <c r="E431" i="92"/>
  <c r="E430" i="92"/>
  <c r="E429" i="92"/>
  <c r="E428" i="92"/>
  <c r="E427" i="92"/>
  <c r="E426" i="92"/>
  <c r="E425" i="92"/>
  <c r="E424" i="92"/>
  <c r="E423" i="92"/>
  <c r="E422" i="92"/>
  <c r="E421" i="92"/>
  <c r="E420" i="92"/>
  <c r="E419" i="92"/>
  <c r="E418" i="92"/>
  <c r="E417" i="92"/>
  <c r="E416" i="92"/>
  <c r="E415" i="92"/>
  <c r="E414" i="92"/>
  <c r="E413" i="92"/>
  <c r="E412" i="92"/>
  <c r="E411" i="92"/>
  <c r="E410" i="92"/>
  <c r="E409" i="92"/>
  <c r="E408" i="92"/>
  <c r="E407" i="92"/>
  <c r="E406" i="92"/>
  <c r="E405" i="92"/>
  <c r="E404" i="92"/>
  <c r="E403" i="92"/>
  <c r="E402" i="92"/>
  <c r="E401" i="92"/>
  <c r="E400" i="92"/>
  <c r="E399" i="92"/>
  <c r="E398" i="92"/>
  <c r="E397" i="92"/>
  <c r="E396" i="92"/>
  <c r="E395" i="92"/>
  <c r="E394" i="92"/>
  <c r="E393" i="92"/>
  <c r="E392" i="92"/>
  <c r="E391" i="92"/>
  <c r="E390" i="92"/>
  <c r="E389" i="92"/>
  <c r="E388" i="92"/>
  <c r="E387" i="92"/>
  <c r="E386" i="92"/>
  <c r="E385" i="92"/>
  <c r="E384" i="92"/>
  <c r="E383" i="92"/>
  <c r="E382" i="92"/>
  <c r="E381" i="92"/>
  <c r="E380" i="92"/>
  <c r="E379" i="92"/>
  <c r="E378" i="92"/>
  <c r="E377" i="92"/>
  <c r="E376" i="92"/>
  <c r="E375" i="92"/>
  <c r="E374" i="92"/>
  <c r="E373" i="92"/>
  <c r="E372" i="92"/>
  <c r="E371" i="92"/>
  <c r="E370" i="92"/>
  <c r="E369" i="92"/>
  <c r="E368" i="92"/>
  <c r="E367" i="92"/>
  <c r="E366" i="92"/>
  <c r="E365" i="92"/>
  <c r="E364" i="92"/>
  <c r="E363" i="92"/>
  <c r="E362" i="92"/>
  <c r="E361" i="92"/>
  <c r="E360" i="92"/>
  <c r="E359" i="92"/>
  <c r="E358" i="92"/>
  <c r="E357" i="92"/>
  <c r="E356" i="92"/>
  <c r="E355" i="92"/>
  <c r="E354" i="92"/>
  <c r="E353" i="92"/>
  <c r="E352" i="92"/>
  <c r="E351" i="92"/>
  <c r="E350" i="92"/>
  <c r="E349" i="92"/>
  <c r="E348" i="92"/>
  <c r="E347" i="92"/>
  <c r="E346" i="92"/>
  <c r="E345" i="92"/>
  <c r="E344" i="92"/>
  <c r="E343" i="92"/>
  <c r="E342" i="92"/>
  <c r="E341" i="92"/>
  <c r="E340" i="92"/>
  <c r="E339" i="92"/>
  <c r="E338" i="92"/>
  <c r="E337" i="92"/>
  <c r="E336" i="92"/>
  <c r="E335" i="92"/>
  <c r="E334" i="92"/>
  <c r="E333" i="92"/>
  <c r="E332" i="92"/>
  <c r="E331" i="92"/>
  <c r="E330" i="92"/>
  <c r="E329" i="92"/>
  <c r="E328" i="92"/>
  <c r="E327" i="92"/>
  <c r="E326" i="92"/>
  <c r="E325" i="92"/>
  <c r="E324" i="92"/>
  <c r="E323" i="92"/>
  <c r="E322" i="92"/>
  <c r="E321" i="92"/>
  <c r="E320" i="92"/>
  <c r="E319" i="92"/>
  <c r="E318" i="92"/>
  <c r="E317" i="92"/>
  <c r="E316" i="92"/>
  <c r="E315" i="92"/>
  <c r="E314" i="92"/>
  <c r="E313" i="92"/>
  <c r="E312" i="92"/>
  <c r="E311" i="92"/>
  <c r="E310" i="92"/>
  <c r="E309" i="92"/>
  <c r="E308" i="92"/>
  <c r="E307" i="92"/>
  <c r="E306" i="92"/>
  <c r="E305" i="92"/>
  <c r="E304" i="92"/>
  <c r="E303" i="92"/>
  <c r="E302" i="92"/>
  <c r="E301" i="92"/>
  <c r="E300" i="92"/>
  <c r="E299" i="92"/>
  <c r="E298" i="92"/>
  <c r="E297" i="92"/>
  <c r="E296" i="92"/>
  <c r="E295" i="92"/>
  <c r="E294" i="92"/>
  <c r="E293" i="92"/>
  <c r="E292" i="92"/>
  <c r="E291" i="92"/>
  <c r="E290" i="92"/>
  <c r="E289" i="92"/>
  <c r="E288" i="92"/>
  <c r="E287" i="92"/>
  <c r="E286" i="92"/>
  <c r="E285" i="92"/>
  <c r="E284" i="92"/>
  <c r="E283" i="92"/>
  <c r="E282" i="92"/>
  <c r="E281" i="92"/>
  <c r="E280" i="92"/>
  <c r="E279" i="92"/>
  <c r="E278" i="92"/>
  <c r="E277" i="92"/>
  <c r="E276" i="92"/>
  <c r="E275" i="92"/>
  <c r="E274" i="92"/>
  <c r="E273" i="92"/>
  <c r="E272" i="92"/>
  <c r="E271" i="92"/>
  <c r="E270" i="92"/>
  <c r="E269" i="92"/>
  <c r="E268" i="92"/>
  <c r="E267" i="92"/>
  <c r="E266" i="92"/>
  <c r="E265" i="92"/>
  <c r="E264" i="92"/>
  <c r="E263" i="92"/>
  <c r="E262" i="92"/>
  <c r="E261" i="92"/>
  <c r="E260" i="92"/>
  <c r="E259" i="92"/>
  <c r="E258" i="92"/>
  <c r="E257" i="92"/>
  <c r="E256" i="92"/>
  <c r="E255" i="92"/>
  <c r="E254" i="92"/>
  <c r="E253" i="92"/>
  <c r="E252" i="92"/>
  <c r="E251" i="92"/>
  <c r="E250" i="92"/>
  <c r="E249" i="92"/>
  <c r="E248" i="92"/>
  <c r="E247" i="92"/>
  <c r="E246" i="92"/>
  <c r="E245" i="92"/>
  <c r="E244" i="92"/>
  <c r="E243" i="92"/>
  <c r="E242" i="92"/>
  <c r="E241" i="92"/>
  <c r="E240" i="92"/>
  <c r="E239" i="92"/>
  <c r="E238" i="92"/>
  <c r="E237" i="92"/>
  <c r="E236" i="92"/>
  <c r="E235" i="92"/>
  <c r="E234" i="92"/>
  <c r="E233" i="92"/>
  <c r="E232" i="92"/>
  <c r="E231" i="92"/>
  <c r="E230" i="92"/>
  <c r="E229" i="92"/>
  <c r="E228" i="92"/>
  <c r="E227" i="92"/>
  <c r="E226" i="92"/>
  <c r="E225" i="92"/>
  <c r="E224" i="92"/>
  <c r="E223" i="92"/>
  <c r="E222" i="92"/>
  <c r="E221" i="92"/>
  <c r="E220" i="92"/>
  <c r="E219" i="92"/>
  <c r="E218" i="92"/>
  <c r="E217" i="92"/>
  <c r="E216" i="92"/>
  <c r="E215" i="92"/>
  <c r="E214" i="92"/>
  <c r="E213" i="92"/>
  <c r="E212" i="92"/>
  <c r="E211" i="92"/>
  <c r="E210" i="92"/>
  <c r="E209" i="92"/>
  <c r="E208" i="92"/>
  <c r="E207" i="92"/>
  <c r="E206" i="92"/>
  <c r="E205" i="92"/>
  <c r="E204" i="92"/>
  <c r="E203" i="92"/>
  <c r="E202" i="92"/>
  <c r="E201" i="92"/>
  <c r="E200" i="92"/>
  <c r="E199" i="92"/>
  <c r="E198" i="92"/>
  <c r="E197" i="92"/>
  <c r="E196" i="92"/>
  <c r="E195" i="92"/>
  <c r="E194" i="92"/>
  <c r="E193" i="92"/>
  <c r="E192" i="92"/>
  <c r="E191" i="92"/>
  <c r="E190" i="92"/>
  <c r="E189" i="92"/>
  <c r="E188" i="92"/>
  <c r="E187" i="92"/>
  <c r="E186" i="92"/>
  <c r="E185" i="92"/>
  <c r="E184" i="92"/>
  <c r="E183" i="92"/>
  <c r="E182" i="92"/>
  <c r="E181" i="92"/>
  <c r="E180" i="92"/>
  <c r="E179" i="92"/>
  <c r="E178" i="92"/>
  <c r="E177" i="92"/>
  <c r="E176" i="92"/>
  <c r="E175" i="92"/>
  <c r="E174" i="92"/>
  <c r="E173" i="92"/>
  <c r="E172" i="92"/>
  <c r="E171" i="92"/>
  <c r="E170" i="92"/>
  <c r="E169" i="92"/>
  <c r="E168" i="92"/>
  <c r="E167" i="92"/>
  <c r="E166" i="92"/>
  <c r="E165" i="92"/>
  <c r="E164" i="92"/>
  <c r="E163" i="92"/>
  <c r="E162" i="92"/>
  <c r="E161" i="92"/>
  <c r="E160" i="92"/>
  <c r="E159" i="92"/>
  <c r="E158" i="92"/>
  <c r="E157" i="92"/>
  <c r="E156" i="92"/>
  <c r="E155" i="92"/>
  <c r="E154" i="92"/>
  <c r="E153" i="92"/>
  <c r="E152" i="92"/>
  <c r="E151" i="92"/>
  <c r="E150" i="92"/>
  <c r="E149" i="92"/>
  <c r="E148" i="92"/>
  <c r="E147" i="92"/>
  <c r="E146" i="92"/>
  <c r="E145" i="92"/>
  <c r="E144" i="92"/>
  <c r="E143" i="92"/>
  <c r="E142" i="92"/>
  <c r="E141" i="92"/>
  <c r="E140" i="92"/>
  <c r="E139" i="92"/>
  <c r="E138" i="92"/>
  <c r="E137" i="92"/>
  <c r="E136" i="92"/>
  <c r="E135" i="92"/>
  <c r="E134" i="92"/>
  <c r="E133" i="92"/>
  <c r="E132" i="92"/>
  <c r="E131" i="92"/>
  <c r="E130" i="92"/>
  <c r="E129" i="92"/>
  <c r="E128" i="92"/>
  <c r="E127" i="92"/>
  <c r="E126" i="92"/>
  <c r="E125" i="92"/>
  <c r="E124" i="92"/>
  <c r="E123" i="92"/>
  <c r="E122" i="92"/>
  <c r="E121" i="92"/>
  <c r="E120" i="92"/>
  <c r="E119" i="92"/>
  <c r="E118" i="92"/>
  <c r="E117" i="92"/>
  <c r="E116" i="92"/>
  <c r="E115" i="92"/>
  <c r="E114" i="92"/>
  <c r="E113" i="92"/>
  <c r="E112" i="92"/>
  <c r="E111" i="92"/>
  <c r="E110" i="92"/>
  <c r="E109" i="92"/>
  <c r="E108" i="92"/>
  <c r="E107" i="92"/>
  <c r="E106" i="92"/>
  <c r="E105" i="92"/>
  <c r="E104" i="92"/>
  <c r="E103" i="92"/>
  <c r="E102" i="92"/>
  <c r="E26" i="92"/>
  <c r="E28" i="92"/>
  <c r="E30" i="92"/>
  <c r="E32" i="92"/>
  <c r="E34" i="92"/>
  <c r="E36" i="92"/>
  <c r="E38" i="92"/>
  <c r="E41" i="92"/>
  <c r="E43" i="92"/>
  <c r="E45" i="92"/>
  <c r="E47" i="92"/>
  <c r="E49" i="92"/>
  <c r="E51" i="92"/>
  <c r="E53" i="92"/>
  <c r="E55" i="92"/>
  <c r="E57" i="92"/>
  <c r="E59" i="92"/>
  <c r="E61" i="92"/>
  <c r="E63" i="92"/>
  <c r="E65" i="92"/>
  <c r="E67" i="92"/>
  <c r="E69" i="92"/>
  <c r="E71" i="92"/>
  <c r="E73" i="92"/>
  <c r="E75" i="92"/>
  <c r="E77" i="92"/>
  <c r="E80" i="92"/>
  <c r="E82" i="92"/>
  <c r="E84" i="92"/>
  <c r="E86" i="92"/>
  <c r="E88" i="92"/>
  <c r="E90" i="92"/>
  <c r="E92" i="92"/>
  <c r="E94" i="92"/>
  <c r="E96" i="92"/>
  <c r="E98" i="92"/>
  <c r="E100" i="92"/>
  <c r="E101" i="92"/>
  <c r="D23" i="92"/>
  <c r="E25" i="92"/>
  <c r="E27" i="92"/>
  <c r="E29" i="92"/>
  <c r="E31" i="92"/>
  <c r="E33" i="92"/>
  <c r="E35" i="92"/>
  <c r="E37" i="92"/>
  <c r="E39" i="92"/>
  <c r="E40" i="92"/>
  <c r="E42" i="92"/>
  <c r="E44" i="92"/>
  <c r="E46" i="92"/>
  <c r="E48" i="92"/>
  <c r="E50" i="92"/>
  <c r="E52" i="92"/>
  <c r="E54" i="92"/>
  <c r="E56" i="92"/>
  <c r="E58" i="92"/>
  <c r="E60" i="92"/>
  <c r="E62" i="92"/>
  <c r="E64" i="92"/>
  <c r="E66" i="92"/>
  <c r="E68" i="92"/>
  <c r="E70" i="92"/>
  <c r="E72" i="92"/>
  <c r="E74" i="92"/>
  <c r="E76" i="92"/>
  <c r="E78" i="92"/>
  <c r="E79" i="92"/>
  <c r="E81" i="92"/>
  <c r="E83" i="92"/>
  <c r="E85" i="92"/>
  <c r="E87" i="92"/>
  <c r="E89" i="92"/>
  <c r="E91" i="92"/>
  <c r="E93" i="92"/>
  <c r="E95" i="92"/>
  <c r="E97" i="92"/>
  <c r="E99" i="92"/>
  <c r="C25" i="92"/>
  <c r="C26" i="92"/>
  <c r="C27" i="92"/>
  <c r="C28" i="92"/>
  <c r="C29" i="92"/>
  <c r="C30" i="92"/>
  <c r="C31" i="92"/>
  <c r="C32" i="92"/>
  <c r="C33" i="92"/>
  <c r="C34" i="92"/>
  <c r="C35" i="92"/>
  <c r="C36" i="92"/>
  <c r="C37" i="92"/>
  <c r="C38" i="92"/>
  <c r="C39" i="92"/>
  <c r="C40" i="92"/>
  <c r="C41" i="92"/>
  <c r="C42" i="92"/>
  <c r="C43" i="92"/>
  <c r="C44" i="92"/>
  <c r="C45" i="92"/>
  <c r="C46" i="92"/>
  <c r="C47" i="92"/>
  <c r="C48" i="92"/>
  <c r="C49" i="92"/>
  <c r="C50" i="92"/>
  <c r="C51" i="92"/>
  <c r="C52" i="92"/>
  <c r="C53" i="92"/>
  <c r="C54" i="92"/>
  <c r="C55" i="92"/>
  <c r="C56" i="92"/>
  <c r="C57" i="92"/>
  <c r="C58" i="92"/>
  <c r="C59" i="92"/>
  <c r="C60" i="92"/>
  <c r="C61" i="92"/>
  <c r="C62" i="92"/>
  <c r="C63" i="92"/>
  <c r="C64" i="92"/>
  <c r="C65" i="92"/>
  <c r="C66" i="92"/>
  <c r="C67" i="92"/>
  <c r="C68" i="92"/>
  <c r="C69" i="92"/>
  <c r="C70" i="92"/>
  <c r="C71" i="92"/>
  <c r="C72" i="92"/>
  <c r="C73" i="92"/>
  <c r="C74" i="92"/>
  <c r="C75" i="92"/>
  <c r="C76" i="92"/>
  <c r="C77" i="92"/>
  <c r="C78" i="92"/>
  <c r="C79" i="92"/>
  <c r="C80" i="92"/>
  <c r="C81" i="92"/>
  <c r="C82" i="92"/>
  <c r="C83" i="92"/>
  <c r="C84" i="92"/>
  <c r="C85" i="92"/>
  <c r="C86" i="92"/>
  <c r="C87" i="92"/>
  <c r="C88" i="92"/>
  <c r="C89" i="92"/>
  <c r="C90" i="92"/>
  <c r="C91" i="92"/>
  <c r="C92" i="92"/>
  <c r="C93" i="92"/>
  <c r="C94" i="92"/>
  <c r="C95" i="92"/>
  <c r="C96" i="92"/>
  <c r="C97" i="92"/>
  <c r="C98" i="92"/>
  <c r="C99" i="92"/>
  <c r="C100" i="92"/>
  <c r="C101" i="92"/>
  <c r="C102" i="92"/>
  <c r="C103" i="92"/>
  <c r="C104" i="92"/>
  <c r="C105" i="92"/>
  <c r="C106" i="92"/>
  <c r="C107" i="92"/>
  <c r="C108" i="92"/>
  <c r="C109" i="92"/>
  <c r="C110" i="92"/>
  <c r="C111" i="92"/>
  <c r="C112" i="92"/>
  <c r="C113" i="92"/>
  <c r="C114" i="92"/>
  <c r="C115" i="92"/>
  <c r="C116" i="92"/>
  <c r="C117" i="92"/>
  <c r="C118" i="92"/>
  <c r="C119" i="92"/>
  <c r="C120" i="92"/>
  <c r="C121" i="92"/>
  <c r="C122" i="92"/>
  <c r="C123" i="92"/>
  <c r="C124" i="92"/>
  <c r="C125" i="92"/>
  <c r="C126" i="92"/>
  <c r="C127" i="92"/>
  <c r="C128" i="92"/>
  <c r="C129" i="92"/>
  <c r="C130" i="92"/>
  <c r="C131" i="92"/>
  <c r="C132" i="92"/>
  <c r="C133" i="92"/>
  <c r="C134" i="92"/>
  <c r="C135" i="92"/>
  <c r="C136" i="92"/>
  <c r="C137" i="92"/>
  <c r="C138" i="92"/>
  <c r="C139" i="92"/>
  <c r="C140" i="92"/>
  <c r="C141" i="92"/>
  <c r="C142" i="92"/>
  <c r="C143" i="92"/>
  <c r="C144" i="92"/>
  <c r="C145" i="92"/>
  <c r="C146" i="92"/>
  <c r="C147" i="92"/>
  <c r="C148" i="92"/>
  <c r="C149" i="92"/>
  <c r="C150" i="92"/>
  <c r="C151" i="92"/>
  <c r="C152" i="92"/>
  <c r="C153" i="92"/>
  <c r="C154" i="92"/>
  <c r="C155" i="92"/>
  <c r="C156" i="92"/>
  <c r="C157" i="92"/>
  <c r="C158" i="92"/>
  <c r="C159" i="92"/>
  <c r="C160" i="92"/>
  <c r="C161" i="92"/>
  <c r="C162" i="92"/>
  <c r="C163" i="92"/>
  <c r="C164" i="92"/>
  <c r="C165" i="92"/>
  <c r="C166" i="92"/>
  <c r="C167" i="92"/>
  <c r="C168" i="92"/>
  <c r="C169" i="92"/>
  <c r="C170" i="92"/>
  <c r="C171" i="92"/>
  <c r="C172" i="92"/>
  <c r="C173" i="92"/>
  <c r="C174" i="92"/>
  <c r="C175" i="92"/>
  <c r="C176" i="92"/>
  <c r="C177" i="92"/>
  <c r="C178" i="92"/>
  <c r="C179" i="92"/>
  <c r="C180" i="92"/>
  <c r="C181" i="92"/>
  <c r="C182" i="92"/>
  <c r="C183" i="92"/>
  <c r="C184" i="92"/>
  <c r="C185" i="92"/>
  <c r="C186" i="92"/>
  <c r="C187" i="92"/>
  <c r="C188" i="92"/>
  <c r="C189" i="92"/>
  <c r="C190" i="92"/>
  <c r="C191" i="92"/>
  <c r="C192" i="92"/>
  <c r="C193" i="92"/>
  <c r="C194" i="92"/>
  <c r="C195" i="92"/>
  <c r="C196" i="92"/>
  <c r="C197" i="92"/>
  <c r="C198" i="92"/>
  <c r="C199" i="92"/>
  <c r="C200" i="92"/>
  <c r="C201" i="92"/>
  <c r="C202" i="92"/>
  <c r="C203" i="92"/>
  <c r="C204" i="92"/>
  <c r="C205" i="92"/>
  <c r="C206" i="92"/>
  <c r="C207" i="92"/>
  <c r="P61" i="91"/>
  <c r="C10" i="90"/>
  <c r="C35" i="90"/>
  <c r="C38" i="90"/>
  <c r="C40" i="90"/>
  <c r="C21" i="90"/>
  <c r="K120" i="89"/>
  <c r="D121" i="89"/>
  <c r="C74" i="89"/>
  <c r="C92" i="89"/>
  <c r="C94" i="89"/>
  <c r="H109" i="89"/>
  <c r="A25" i="88"/>
  <c r="B25" i="88"/>
  <c r="A26" i="88"/>
  <c r="B26" i="88"/>
  <c r="A27" i="88"/>
  <c r="B27" i="88"/>
  <c r="A28" i="88"/>
  <c r="B28" i="88"/>
  <c r="A29" i="88"/>
  <c r="B2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A48" i="88"/>
  <c r="B48" i="88"/>
  <c r="A49" i="88"/>
  <c r="B49" i="88"/>
  <c r="A50" i="88"/>
  <c r="B50" i="88"/>
  <c r="A51" i="88"/>
  <c r="B51" i="88"/>
  <c r="A52" i="88"/>
  <c r="B52" i="88"/>
  <c r="A53" i="88"/>
  <c r="B53" i="88"/>
  <c r="A54" i="88"/>
  <c r="B54" i="88"/>
  <c r="A55" i="88"/>
  <c r="B55" i="88"/>
  <c r="A56" i="88"/>
  <c r="B56" i="88"/>
  <c r="A57" i="88"/>
  <c r="B57" i="88"/>
  <c r="A58" i="88"/>
  <c r="B58"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A79" i="88"/>
  <c r="B79" i="88"/>
  <c r="A80" i="88"/>
  <c r="B80" i="88"/>
  <c r="A81" i="88"/>
  <c r="B81" i="88"/>
  <c r="A82" i="88"/>
  <c r="B82" i="88"/>
  <c r="A83" i="88"/>
  <c r="B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100" i="88"/>
  <c r="B100" i="88"/>
  <c r="A101" i="88"/>
  <c r="B101" i="88"/>
  <c r="A102" i="88"/>
  <c r="B102" i="88"/>
  <c r="A103" i="88"/>
  <c r="B103" i="88"/>
  <c r="A104" i="88"/>
  <c r="B104" i="88"/>
  <c r="A105" i="88"/>
  <c r="B105" i="88"/>
  <c r="A106" i="88"/>
  <c r="B106" i="88"/>
  <c r="A107" i="88"/>
  <c r="B107" i="88"/>
  <c r="A108" i="88"/>
  <c r="B108" i="88"/>
  <c r="A109" i="88"/>
  <c r="B109" i="88"/>
  <c r="A110" i="88"/>
  <c r="B110" i="88"/>
  <c r="A111" i="88"/>
  <c r="B111" i="88"/>
  <c r="A112" i="88"/>
  <c r="B112" i="88"/>
  <c r="A113" i="88"/>
  <c r="B113" i="88"/>
  <c r="A114" i="88"/>
  <c r="B114" i="88"/>
  <c r="A115" i="88"/>
  <c r="B115" i="88"/>
  <c r="A116" i="88"/>
  <c r="B116" i="88"/>
  <c r="A117" i="88"/>
  <c r="B117" i="88"/>
  <c r="A118" i="88"/>
  <c r="B118" i="88"/>
  <c r="A119" i="88"/>
  <c r="B119" i="88"/>
  <c r="A120" i="88"/>
  <c r="B120" i="88"/>
  <c r="A121" i="88"/>
  <c r="B121" i="88"/>
  <c r="A122" i="88"/>
  <c r="B122" i="88"/>
  <c r="A123" i="88"/>
  <c r="B123" i="88"/>
  <c r="A124" i="88"/>
  <c r="B124" i="88"/>
  <c r="A125" i="88"/>
  <c r="B125" i="88"/>
  <c r="A126" i="88"/>
  <c r="B126" i="88"/>
  <c r="A127" i="88"/>
  <c r="B127" i="88"/>
  <c r="A128" i="88"/>
  <c r="B128" i="88"/>
  <c r="A129" i="88"/>
  <c r="B129" i="88"/>
  <c r="A130" i="88"/>
  <c r="B130" i="88"/>
  <c r="A131" i="88"/>
  <c r="B131" i="88"/>
  <c r="A132" i="88"/>
  <c r="B132" i="88"/>
  <c r="A133" i="88"/>
  <c r="B133" i="88"/>
  <c r="A134" i="88"/>
  <c r="B134" i="88"/>
  <c r="A135" i="88"/>
  <c r="B135" i="88"/>
  <c r="A136" i="88"/>
  <c r="B136" i="88"/>
  <c r="A137" i="88"/>
  <c r="B137" i="88"/>
  <c r="A138" i="88"/>
  <c r="B138" i="88"/>
  <c r="A139" i="88"/>
  <c r="B139" i="88"/>
  <c r="A140" i="88"/>
  <c r="B140" i="88"/>
  <c r="A141" i="88"/>
  <c r="B141" i="88"/>
  <c r="A142" i="88"/>
  <c r="B142" i="88"/>
  <c r="A143" i="88"/>
  <c r="B143" i="88"/>
  <c r="A144" i="88"/>
  <c r="B144" i="88"/>
  <c r="A145" i="88"/>
  <c r="B145" i="88"/>
  <c r="A146" i="88"/>
  <c r="B146" i="88"/>
  <c r="A147" i="88"/>
  <c r="B147" i="88"/>
  <c r="A148" i="88"/>
  <c r="B148" i="88"/>
  <c r="A149" i="88"/>
  <c r="B149" i="88"/>
  <c r="A150" i="88"/>
  <c r="B150" i="88"/>
  <c r="A151" i="88"/>
  <c r="B151" i="88"/>
  <c r="A152" i="88"/>
  <c r="B152" i="88"/>
  <c r="A153" i="88"/>
  <c r="B153" i="88"/>
  <c r="A154" i="88"/>
  <c r="B154" i="88"/>
  <c r="A155" i="88"/>
  <c r="B155" i="88"/>
  <c r="A156" i="88"/>
  <c r="B156" i="88"/>
  <c r="A157" i="88"/>
  <c r="B157" i="88"/>
  <c r="A158" i="88"/>
  <c r="B158" i="88"/>
  <c r="A159" i="88"/>
  <c r="B159" i="88"/>
  <c r="A160" i="88"/>
  <c r="B160" i="88"/>
  <c r="A161" i="88"/>
  <c r="B161" i="88"/>
  <c r="A162" i="88"/>
  <c r="B162" i="88"/>
  <c r="A163" i="88"/>
  <c r="B163" i="88"/>
  <c r="A164" i="88"/>
  <c r="B164" i="88"/>
  <c r="A165" i="88"/>
  <c r="B165" i="88"/>
  <c r="A166" i="88"/>
  <c r="B166" i="88"/>
  <c r="A167" i="88"/>
  <c r="B167" i="88"/>
  <c r="A168" i="88"/>
  <c r="B168" i="88"/>
  <c r="A169" i="88"/>
  <c r="B169" i="88"/>
  <c r="A170" i="88"/>
  <c r="B170" i="88"/>
  <c r="A171" i="88"/>
  <c r="B171" i="88"/>
  <c r="A172" i="88"/>
  <c r="B172" i="88"/>
  <c r="A173" i="88"/>
  <c r="B173" i="88"/>
  <c r="A174" i="88"/>
  <c r="B174" i="88"/>
  <c r="A175" i="88"/>
  <c r="B175" i="88"/>
  <c r="A176" i="88"/>
  <c r="B176" i="88"/>
  <c r="A177" i="88"/>
  <c r="B177" i="88"/>
  <c r="B24" i="88"/>
  <c r="A24" i="88"/>
  <c r="R524" i="88"/>
  <c r="S524" i="88" s="1"/>
  <c r="O524" i="88"/>
  <c r="M524" i="88"/>
  <c r="K524" i="88"/>
  <c r="I524" i="88"/>
  <c r="G524" i="88"/>
  <c r="C524" i="88"/>
  <c r="R523" i="88"/>
  <c r="S523" i="88" s="1"/>
  <c r="O523" i="88"/>
  <c r="M523" i="88"/>
  <c r="K523" i="88"/>
  <c r="I523" i="88"/>
  <c r="G523" i="88"/>
  <c r="C523" i="88"/>
  <c r="R522" i="88"/>
  <c r="S522" i="88" s="1"/>
  <c r="O522" i="88"/>
  <c r="M522" i="88"/>
  <c r="K522" i="88"/>
  <c r="I522" i="88"/>
  <c r="G522" i="88"/>
  <c r="C522" i="88"/>
  <c r="R521" i="88"/>
  <c r="S521" i="88" s="1"/>
  <c r="O521" i="88"/>
  <c r="M521" i="88"/>
  <c r="K521" i="88"/>
  <c r="I521" i="88"/>
  <c r="G521" i="88"/>
  <c r="C521" i="88"/>
  <c r="R520" i="88"/>
  <c r="S520" i="88" s="1"/>
  <c r="O520" i="88"/>
  <c r="M520" i="88"/>
  <c r="K520" i="88"/>
  <c r="I520" i="88"/>
  <c r="G520" i="88"/>
  <c r="C520" i="88"/>
  <c r="R519" i="88"/>
  <c r="S519" i="88" s="1"/>
  <c r="O519" i="88"/>
  <c r="M519" i="88"/>
  <c r="K519" i="88"/>
  <c r="I519" i="88"/>
  <c r="G519" i="88"/>
  <c r="C519" i="88"/>
  <c r="R518" i="88"/>
  <c r="S518" i="88" s="1"/>
  <c r="O518" i="88"/>
  <c r="M518" i="88"/>
  <c r="K518" i="88"/>
  <c r="I518" i="88"/>
  <c r="G518" i="88"/>
  <c r="C518" i="88"/>
  <c r="R517" i="88"/>
  <c r="S517" i="88" s="1"/>
  <c r="O517" i="88"/>
  <c r="M517" i="88"/>
  <c r="K517" i="88"/>
  <c r="I517" i="88"/>
  <c r="G517" i="88"/>
  <c r="C517" i="88"/>
  <c r="R516" i="88"/>
  <c r="S516" i="88" s="1"/>
  <c r="O516" i="88"/>
  <c r="M516" i="88"/>
  <c r="K516" i="88"/>
  <c r="I516" i="88"/>
  <c r="G516" i="88"/>
  <c r="C516" i="88"/>
  <c r="R515" i="88"/>
  <c r="S515" i="88" s="1"/>
  <c r="O515" i="88"/>
  <c r="M515" i="88"/>
  <c r="K515" i="88"/>
  <c r="I515" i="88"/>
  <c r="G515" i="88"/>
  <c r="C515" i="88"/>
  <c r="R514" i="88"/>
  <c r="S514" i="88" s="1"/>
  <c r="O514" i="88"/>
  <c r="M514" i="88"/>
  <c r="K514" i="88"/>
  <c r="I514" i="88"/>
  <c r="G514" i="88"/>
  <c r="C514" i="88"/>
  <c r="R513" i="88"/>
  <c r="S513" i="88" s="1"/>
  <c r="O513" i="88"/>
  <c r="M513" i="88"/>
  <c r="K513" i="88"/>
  <c r="I513" i="88"/>
  <c r="G513" i="88"/>
  <c r="C513" i="88"/>
  <c r="R512" i="88"/>
  <c r="S512" i="88" s="1"/>
  <c r="O512" i="88"/>
  <c r="M512" i="88"/>
  <c r="K512" i="88"/>
  <c r="I512" i="88"/>
  <c r="G512" i="88"/>
  <c r="C512" i="88"/>
  <c r="R511" i="88"/>
  <c r="S511" i="88" s="1"/>
  <c r="O511" i="88"/>
  <c r="M511" i="88"/>
  <c r="K511" i="88"/>
  <c r="I511" i="88"/>
  <c r="G511" i="88"/>
  <c r="C511" i="88"/>
  <c r="R510" i="88"/>
  <c r="S510" i="88" s="1"/>
  <c r="O510" i="88"/>
  <c r="M510" i="88"/>
  <c r="K510" i="88"/>
  <c r="I510" i="88"/>
  <c r="G510" i="88"/>
  <c r="C510" i="88"/>
  <c r="R509" i="88"/>
  <c r="S509" i="88" s="1"/>
  <c r="O509" i="88"/>
  <c r="M509" i="88"/>
  <c r="K509" i="88"/>
  <c r="I509" i="88"/>
  <c r="G509" i="88"/>
  <c r="C509" i="88"/>
  <c r="R508" i="88"/>
  <c r="S508" i="88" s="1"/>
  <c r="O508" i="88"/>
  <c r="M508" i="88"/>
  <c r="K508" i="88"/>
  <c r="I508" i="88"/>
  <c r="G508" i="88"/>
  <c r="C508" i="88"/>
  <c r="R507" i="88"/>
  <c r="S507" i="88" s="1"/>
  <c r="O507" i="88"/>
  <c r="M507" i="88"/>
  <c r="K507" i="88"/>
  <c r="I507" i="88"/>
  <c r="G507" i="88"/>
  <c r="C507" i="88"/>
  <c r="R506" i="88"/>
  <c r="S506" i="88" s="1"/>
  <c r="O506" i="88"/>
  <c r="M506" i="88"/>
  <c r="K506" i="88"/>
  <c r="I506" i="88"/>
  <c r="G506" i="88"/>
  <c r="C506" i="88"/>
  <c r="R505" i="88"/>
  <c r="S505" i="88" s="1"/>
  <c r="O505" i="88"/>
  <c r="M505" i="88"/>
  <c r="K505" i="88"/>
  <c r="I505" i="88"/>
  <c r="G505" i="88"/>
  <c r="C505" i="88"/>
  <c r="R504" i="88"/>
  <c r="S504" i="88" s="1"/>
  <c r="O504" i="88"/>
  <c r="M504" i="88"/>
  <c r="K504" i="88"/>
  <c r="I504" i="88"/>
  <c r="G504" i="88"/>
  <c r="C504" i="88"/>
  <c r="R503" i="88"/>
  <c r="S503" i="88" s="1"/>
  <c r="O503" i="88"/>
  <c r="M503" i="88"/>
  <c r="K503" i="88"/>
  <c r="I503" i="88"/>
  <c r="G503" i="88"/>
  <c r="C503" i="88"/>
  <c r="R502" i="88"/>
  <c r="S502" i="88" s="1"/>
  <c r="O502" i="88"/>
  <c r="M502" i="88"/>
  <c r="K502" i="88"/>
  <c r="I502" i="88"/>
  <c r="G502" i="88"/>
  <c r="C502" i="88"/>
  <c r="R501" i="88"/>
  <c r="S501" i="88" s="1"/>
  <c r="O501" i="88"/>
  <c r="M501" i="88"/>
  <c r="K501" i="88"/>
  <c r="I501" i="88"/>
  <c r="G501" i="88"/>
  <c r="C501" i="88"/>
  <c r="R500" i="88"/>
  <c r="S500" i="88" s="1"/>
  <c r="O500" i="88"/>
  <c r="M500" i="88"/>
  <c r="K500" i="88"/>
  <c r="I500" i="88"/>
  <c r="G500" i="88"/>
  <c r="C500" i="88"/>
  <c r="R499" i="88"/>
  <c r="S499" i="88" s="1"/>
  <c r="O499" i="88"/>
  <c r="M499" i="88"/>
  <c r="K499" i="88"/>
  <c r="I499" i="88"/>
  <c r="G499" i="88"/>
  <c r="C499" i="88"/>
  <c r="R498" i="88"/>
  <c r="S498" i="88" s="1"/>
  <c r="O498" i="88"/>
  <c r="M498" i="88"/>
  <c r="K498" i="88"/>
  <c r="I498" i="88"/>
  <c r="G498" i="88"/>
  <c r="C498" i="88"/>
  <c r="R497" i="88"/>
  <c r="S497" i="88" s="1"/>
  <c r="O497" i="88"/>
  <c r="M497" i="88"/>
  <c r="K497" i="88"/>
  <c r="I497" i="88"/>
  <c r="G497" i="88"/>
  <c r="C497" i="88"/>
  <c r="R496" i="88"/>
  <c r="S496" i="88" s="1"/>
  <c r="O496" i="88"/>
  <c r="M496" i="88"/>
  <c r="K496" i="88"/>
  <c r="I496" i="88"/>
  <c r="G496" i="88"/>
  <c r="C496" i="88"/>
  <c r="R495" i="88"/>
  <c r="S495" i="88" s="1"/>
  <c r="O495" i="88"/>
  <c r="M495" i="88"/>
  <c r="K495" i="88"/>
  <c r="I495" i="88"/>
  <c r="G495" i="88"/>
  <c r="C495" i="88"/>
  <c r="R494" i="88"/>
  <c r="S494" i="88" s="1"/>
  <c r="O494" i="88"/>
  <c r="M494" i="88"/>
  <c r="K494" i="88"/>
  <c r="I494" i="88"/>
  <c r="G494" i="88"/>
  <c r="C494" i="88"/>
  <c r="R493" i="88"/>
  <c r="S493" i="88" s="1"/>
  <c r="O493" i="88"/>
  <c r="M493" i="88"/>
  <c r="K493" i="88"/>
  <c r="I493" i="88"/>
  <c r="G493" i="88"/>
  <c r="C493" i="88"/>
  <c r="R492" i="88"/>
  <c r="S492" i="88" s="1"/>
  <c r="O492" i="88"/>
  <c r="M492" i="88"/>
  <c r="K492" i="88"/>
  <c r="I492" i="88"/>
  <c r="G492" i="88"/>
  <c r="C492" i="88"/>
  <c r="R491" i="88"/>
  <c r="S491" i="88" s="1"/>
  <c r="O491" i="88"/>
  <c r="M491" i="88"/>
  <c r="K491" i="88"/>
  <c r="I491" i="88"/>
  <c r="G491" i="88"/>
  <c r="C491" i="88"/>
  <c r="R490" i="88"/>
  <c r="S490" i="88" s="1"/>
  <c r="O490" i="88"/>
  <c r="M490" i="88"/>
  <c r="K490" i="88"/>
  <c r="I490" i="88"/>
  <c r="G490" i="88"/>
  <c r="C490" i="88"/>
  <c r="R489" i="88"/>
  <c r="S489" i="88" s="1"/>
  <c r="O489" i="88"/>
  <c r="M489" i="88"/>
  <c r="K489" i="88"/>
  <c r="I489" i="88"/>
  <c r="G489" i="88"/>
  <c r="C489" i="88"/>
  <c r="R488" i="88"/>
  <c r="S488" i="88" s="1"/>
  <c r="O488" i="88"/>
  <c r="M488" i="88"/>
  <c r="K488" i="88"/>
  <c r="I488" i="88"/>
  <c r="G488" i="88"/>
  <c r="C488" i="88"/>
  <c r="R487" i="88"/>
  <c r="S487" i="88" s="1"/>
  <c r="O487" i="88"/>
  <c r="M487" i="88"/>
  <c r="K487" i="88"/>
  <c r="I487" i="88"/>
  <c r="G487" i="88"/>
  <c r="C487" i="88"/>
  <c r="R486" i="88"/>
  <c r="S486" i="88" s="1"/>
  <c r="O486" i="88"/>
  <c r="M486" i="88"/>
  <c r="K486" i="88"/>
  <c r="I486" i="88"/>
  <c r="G486" i="88"/>
  <c r="C486" i="88"/>
  <c r="R485" i="88"/>
  <c r="S485" i="88" s="1"/>
  <c r="O485" i="88"/>
  <c r="M485" i="88"/>
  <c r="K485" i="88"/>
  <c r="I485" i="88"/>
  <c r="G485" i="88"/>
  <c r="C485" i="88"/>
  <c r="O484" i="88"/>
  <c r="M484" i="88"/>
  <c r="K484" i="88"/>
  <c r="I484" i="88"/>
  <c r="G484" i="88"/>
  <c r="C484" i="88"/>
  <c r="O483" i="88"/>
  <c r="M483" i="88"/>
  <c r="K483" i="88"/>
  <c r="I483" i="88"/>
  <c r="G483" i="88"/>
  <c r="C483" i="88"/>
  <c r="O482" i="88"/>
  <c r="M482" i="88"/>
  <c r="K482" i="88"/>
  <c r="I482" i="88"/>
  <c r="G482" i="88"/>
  <c r="C482" i="88"/>
  <c r="O481" i="88"/>
  <c r="M481" i="88"/>
  <c r="K481" i="88"/>
  <c r="I481" i="88"/>
  <c r="G481" i="88"/>
  <c r="C481" i="88"/>
  <c r="O480" i="88"/>
  <c r="M480" i="88"/>
  <c r="K480" i="88"/>
  <c r="I480" i="88"/>
  <c r="G480" i="88"/>
  <c r="C480" i="88"/>
  <c r="O479" i="88"/>
  <c r="M479" i="88"/>
  <c r="K479" i="88"/>
  <c r="I479" i="88"/>
  <c r="G479" i="88"/>
  <c r="C479" i="88"/>
  <c r="O478" i="88"/>
  <c r="M478" i="88"/>
  <c r="K478" i="88"/>
  <c r="I478" i="88"/>
  <c r="G478" i="88"/>
  <c r="C478" i="88"/>
  <c r="O477" i="88"/>
  <c r="M477" i="88"/>
  <c r="K477" i="88"/>
  <c r="I477" i="88"/>
  <c r="G477" i="88"/>
  <c r="C477" i="88"/>
  <c r="O476" i="88"/>
  <c r="M476" i="88"/>
  <c r="K476" i="88"/>
  <c r="I476" i="88"/>
  <c r="G476" i="88"/>
  <c r="C476" i="88"/>
  <c r="O475" i="88"/>
  <c r="M475" i="88"/>
  <c r="K475" i="88"/>
  <c r="I475" i="88"/>
  <c r="G475" i="88"/>
  <c r="C475" i="88"/>
  <c r="O474" i="88"/>
  <c r="M474" i="88"/>
  <c r="K474" i="88"/>
  <c r="I474" i="88"/>
  <c r="G474" i="88"/>
  <c r="C474" i="88"/>
  <c r="O473" i="88"/>
  <c r="M473" i="88"/>
  <c r="K473" i="88"/>
  <c r="I473" i="88"/>
  <c r="G473" i="88"/>
  <c r="C473" i="88"/>
  <c r="O472" i="88"/>
  <c r="M472" i="88"/>
  <c r="K472" i="88"/>
  <c r="I472" i="88"/>
  <c r="G472" i="88"/>
  <c r="C472" i="88"/>
  <c r="O471" i="88"/>
  <c r="M471" i="88"/>
  <c r="K471" i="88"/>
  <c r="I471" i="88"/>
  <c r="G471" i="88"/>
  <c r="C471" i="88"/>
  <c r="O470" i="88"/>
  <c r="M470" i="88"/>
  <c r="K470" i="88"/>
  <c r="I470" i="88"/>
  <c r="G470" i="88"/>
  <c r="C470" i="88"/>
  <c r="O469" i="88"/>
  <c r="M469" i="88"/>
  <c r="K469" i="88"/>
  <c r="I469" i="88"/>
  <c r="G469" i="88"/>
  <c r="C469" i="88"/>
  <c r="O468" i="88"/>
  <c r="M468" i="88"/>
  <c r="K468" i="88"/>
  <c r="I468" i="88"/>
  <c r="G468" i="88"/>
  <c r="C468" i="88"/>
  <c r="O467" i="88"/>
  <c r="M467" i="88"/>
  <c r="K467" i="88"/>
  <c r="I467" i="88"/>
  <c r="G467" i="88"/>
  <c r="C467" i="88"/>
  <c r="O466" i="88"/>
  <c r="M466" i="88"/>
  <c r="K466" i="88"/>
  <c r="I466" i="88"/>
  <c r="G466" i="88"/>
  <c r="C466" i="88"/>
  <c r="O465" i="88"/>
  <c r="M465" i="88"/>
  <c r="K465" i="88"/>
  <c r="I465" i="88"/>
  <c r="G465" i="88"/>
  <c r="C465" i="88"/>
  <c r="O464" i="88"/>
  <c r="M464" i="88"/>
  <c r="K464" i="88"/>
  <c r="I464" i="88"/>
  <c r="G464" i="88"/>
  <c r="C464" i="88"/>
  <c r="O463" i="88"/>
  <c r="M463" i="88"/>
  <c r="K463" i="88"/>
  <c r="I463" i="88"/>
  <c r="G463" i="88"/>
  <c r="C463" i="88"/>
  <c r="O462" i="88"/>
  <c r="M462" i="88"/>
  <c r="K462" i="88"/>
  <c r="I462" i="88"/>
  <c r="G462" i="88"/>
  <c r="C462" i="88"/>
  <c r="O461" i="88"/>
  <c r="M461" i="88"/>
  <c r="K461" i="88"/>
  <c r="I461" i="88"/>
  <c r="G461" i="88"/>
  <c r="C461" i="88"/>
  <c r="O460" i="88"/>
  <c r="M460" i="88"/>
  <c r="K460" i="88"/>
  <c r="I460" i="88"/>
  <c r="G460" i="88"/>
  <c r="C460" i="88"/>
  <c r="O459" i="88"/>
  <c r="M459" i="88"/>
  <c r="K459" i="88"/>
  <c r="I459" i="88"/>
  <c r="G459" i="88"/>
  <c r="C459" i="88"/>
  <c r="O458" i="88"/>
  <c r="M458" i="88"/>
  <c r="K458" i="88"/>
  <c r="I458" i="88"/>
  <c r="G458" i="88"/>
  <c r="C458" i="88"/>
  <c r="O457" i="88"/>
  <c r="M457" i="88"/>
  <c r="K457" i="88"/>
  <c r="I457" i="88"/>
  <c r="G457" i="88"/>
  <c r="C457" i="88"/>
  <c r="O456" i="88"/>
  <c r="M456" i="88"/>
  <c r="K456" i="88"/>
  <c r="I456" i="88"/>
  <c r="G456" i="88"/>
  <c r="C456" i="88"/>
  <c r="O455" i="88"/>
  <c r="M455" i="88"/>
  <c r="K455" i="88"/>
  <c r="I455" i="88"/>
  <c r="G455" i="88"/>
  <c r="C455" i="88"/>
  <c r="O454" i="88"/>
  <c r="M454" i="88"/>
  <c r="K454" i="88"/>
  <c r="I454" i="88"/>
  <c r="G454" i="88"/>
  <c r="C454" i="88"/>
  <c r="O453" i="88"/>
  <c r="M453" i="88"/>
  <c r="K453" i="88"/>
  <c r="I453" i="88"/>
  <c r="G453" i="88"/>
  <c r="C453" i="88"/>
  <c r="O452" i="88"/>
  <c r="M452" i="88"/>
  <c r="K452" i="88"/>
  <c r="I452" i="88"/>
  <c r="G452" i="88"/>
  <c r="C452" i="88"/>
  <c r="O451" i="88"/>
  <c r="M451" i="88"/>
  <c r="K451" i="88"/>
  <c r="I451" i="88"/>
  <c r="G451" i="88"/>
  <c r="C451" i="88"/>
  <c r="O450" i="88"/>
  <c r="M450" i="88"/>
  <c r="K450" i="88"/>
  <c r="I450" i="88"/>
  <c r="G450" i="88"/>
  <c r="C450" i="88"/>
  <c r="O449" i="88"/>
  <c r="M449" i="88"/>
  <c r="K449" i="88"/>
  <c r="I449" i="88"/>
  <c r="G449" i="88"/>
  <c r="C449" i="88"/>
  <c r="O448" i="88"/>
  <c r="M448" i="88"/>
  <c r="K448" i="88"/>
  <c r="I448" i="88"/>
  <c r="G448" i="88"/>
  <c r="C448" i="88"/>
  <c r="O447" i="88"/>
  <c r="M447" i="88"/>
  <c r="K447" i="88"/>
  <c r="I447" i="88"/>
  <c r="G447" i="88"/>
  <c r="C447" i="88"/>
  <c r="O446" i="88"/>
  <c r="M446" i="88"/>
  <c r="K446" i="88"/>
  <c r="I446" i="88"/>
  <c r="G446" i="88"/>
  <c r="C446" i="88"/>
  <c r="O445" i="88"/>
  <c r="M445" i="88"/>
  <c r="K445" i="88"/>
  <c r="I445" i="88"/>
  <c r="G445" i="88"/>
  <c r="C445" i="88"/>
  <c r="O444" i="88"/>
  <c r="M444" i="88"/>
  <c r="K444" i="88"/>
  <c r="I444" i="88"/>
  <c r="G444" i="88"/>
  <c r="C444" i="88"/>
  <c r="O443" i="88"/>
  <c r="M443" i="88"/>
  <c r="K443" i="88"/>
  <c r="I443" i="88"/>
  <c r="G443" i="88"/>
  <c r="C443" i="88"/>
  <c r="O442" i="88"/>
  <c r="M442" i="88"/>
  <c r="K442" i="88"/>
  <c r="I442" i="88"/>
  <c r="G442" i="88"/>
  <c r="C442" i="88"/>
  <c r="O441" i="88"/>
  <c r="M441" i="88"/>
  <c r="K441" i="88"/>
  <c r="I441" i="88"/>
  <c r="G441" i="88"/>
  <c r="C441" i="88"/>
  <c r="O440" i="88"/>
  <c r="M440" i="88"/>
  <c r="K440" i="88"/>
  <c r="I440" i="88"/>
  <c r="G440" i="88"/>
  <c r="C440" i="88"/>
  <c r="O439" i="88"/>
  <c r="M439" i="88"/>
  <c r="K439" i="88"/>
  <c r="I439" i="88"/>
  <c r="G439" i="88"/>
  <c r="C439" i="88"/>
  <c r="O438" i="88"/>
  <c r="M438" i="88"/>
  <c r="K438" i="88"/>
  <c r="I438" i="88"/>
  <c r="G438" i="88"/>
  <c r="C438" i="88"/>
  <c r="O437" i="88"/>
  <c r="M437" i="88"/>
  <c r="K437" i="88"/>
  <c r="I437" i="88"/>
  <c r="G437" i="88"/>
  <c r="C437" i="88"/>
  <c r="O436" i="88"/>
  <c r="M436" i="88"/>
  <c r="K436" i="88"/>
  <c r="I436" i="88"/>
  <c r="G436" i="88"/>
  <c r="C436" i="88"/>
  <c r="O435" i="88"/>
  <c r="M435" i="88"/>
  <c r="K435" i="88"/>
  <c r="I435" i="88"/>
  <c r="G435" i="88"/>
  <c r="C435" i="88"/>
  <c r="O434" i="88"/>
  <c r="M434" i="88"/>
  <c r="K434" i="88"/>
  <c r="I434" i="88"/>
  <c r="G434" i="88"/>
  <c r="C434" i="88"/>
  <c r="O433" i="88"/>
  <c r="M433" i="88"/>
  <c r="K433" i="88"/>
  <c r="I433" i="88"/>
  <c r="G433" i="88"/>
  <c r="C433" i="88"/>
  <c r="O432" i="88"/>
  <c r="M432" i="88"/>
  <c r="K432" i="88"/>
  <c r="I432" i="88"/>
  <c r="G432" i="88"/>
  <c r="C432" i="88"/>
  <c r="O431" i="88"/>
  <c r="M431" i="88"/>
  <c r="K431" i="88"/>
  <c r="I431" i="88"/>
  <c r="G431" i="88"/>
  <c r="C431" i="88"/>
  <c r="O430" i="88"/>
  <c r="M430" i="88"/>
  <c r="K430" i="88"/>
  <c r="I430" i="88"/>
  <c r="G430" i="88"/>
  <c r="C430" i="88"/>
  <c r="O429" i="88"/>
  <c r="M429" i="88"/>
  <c r="K429" i="88"/>
  <c r="I429" i="88"/>
  <c r="G429" i="88"/>
  <c r="C429" i="88"/>
  <c r="O428" i="88"/>
  <c r="M428" i="88"/>
  <c r="K428" i="88"/>
  <c r="I428" i="88"/>
  <c r="G428" i="88"/>
  <c r="C428" i="88"/>
  <c r="O427" i="88"/>
  <c r="M427" i="88"/>
  <c r="K427" i="88"/>
  <c r="I427" i="88"/>
  <c r="G427" i="88"/>
  <c r="C427" i="88"/>
  <c r="O426" i="88"/>
  <c r="M426" i="88"/>
  <c r="K426" i="88"/>
  <c r="I426" i="88"/>
  <c r="G426" i="88"/>
  <c r="C426" i="88"/>
  <c r="O425" i="88"/>
  <c r="M425" i="88"/>
  <c r="K425" i="88"/>
  <c r="I425" i="88"/>
  <c r="G425" i="88"/>
  <c r="C425" i="88"/>
  <c r="O424" i="88"/>
  <c r="M424" i="88"/>
  <c r="K424" i="88"/>
  <c r="I424" i="88"/>
  <c r="G424" i="88"/>
  <c r="C424" i="88"/>
  <c r="O423" i="88"/>
  <c r="M423" i="88"/>
  <c r="K423" i="88"/>
  <c r="I423" i="88"/>
  <c r="G423" i="88"/>
  <c r="C423" i="88"/>
  <c r="O422" i="88"/>
  <c r="M422" i="88"/>
  <c r="K422" i="88"/>
  <c r="I422" i="88"/>
  <c r="G422" i="88"/>
  <c r="C422" i="88"/>
  <c r="O421" i="88"/>
  <c r="M421" i="88"/>
  <c r="K421" i="88"/>
  <c r="I421" i="88"/>
  <c r="G421" i="88"/>
  <c r="C421" i="88"/>
  <c r="O420" i="88"/>
  <c r="M420" i="88"/>
  <c r="K420" i="88"/>
  <c r="I420" i="88"/>
  <c r="G420" i="88"/>
  <c r="C420" i="88"/>
  <c r="O419" i="88"/>
  <c r="M419" i="88"/>
  <c r="K419" i="88"/>
  <c r="I419" i="88"/>
  <c r="G419" i="88"/>
  <c r="C419" i="88"/>
  <c r="O418" i="88"/>
  <c r="M418" i="88"/>
  <c r="K418" i="88"/>
  <c r="I418" i="88"/>
  <c r="G418" i="88"/>
  <c r="C418" i="88"/>
  <c r="O417" i="88"/>
  <c r="M417" i="88"/>
  <c r="K417" i="88"/>
  <c r="I417" i="88"/>
  <c r="G417" i="88"/>
  <c r="C417" i="88"/>
  <c r="O416" i="88"/>
  <c r="M416" i="88"/>
  <c r="K416" i="88"/>
  <c r="I416" i="88"/>
  <c r="G416" i="88"/>
  <c r="C416" i="88"/>
  <c r="O415" i="88"/>
  <c r="M415" i="88"/>
  <c r="K415" i="88"/>
  <c r="I415" i="88"/>
  <c r="G415" i="88"/>
  <c r="C415" i="88"/>
  <c r="O414" i="88"/>
  <c r="M414" i="88"/>
  <c r="K414" i="88"/>
  <c r="I414" i="88"/>
  <c r="G414" i="88"/>
  <c r="C414" i="88"/>
  <c r="O413" i="88"/>
  <c r="M413" i="88"/>
  <c r="K413" i="88"/>
  <c r="I413" i="88"/>
  <c r="G413" i="88"/>
  <c r="C413" i="88"/>
  <c r="O412" i="88"/>
  <c r="M412" i="88"/>
  <c r="K412" i="88"/>
  <c r="I412" i="88"/>
  <c r="G412" i="88"/>
  <c r="C412" i="88"/>
  <c r="O411" i="88"/>
  <c r="M411" i="88"/>
  <c r="K411" i="88"/>
  <c r="I411" i="88"/>
  <c r="G411" i="88"/>
  <c r="C411" i="88"/>
  <c r="O410" i="88"/>
  <c r="M410" i="88"/>
  <c r="K410" i="88"/>
  <c r="I410" i="88"/>
  <c r="G410" i="88"/>
  <c r="C410" i="88"/>
  <c r="O409" i="88"/>
  <c r="M409" i="88"/>
  <c r="K409" i="88"/>
  <c r="I409" i="88"/>
  <c r="G409" i="88"/>
  <c r="C409" i="88"/>
  <c r="O408" i="88"/>
  <c r="M408" i="88"/>
  <c r="K408" i="88"/>
  <c r="I408" i="88"/>
  <c r="G408" i="88"/>
  <c r="C408" i="88"/>
  <c r="O407" i="88"/>
  <c r="M407" i="88"/>
  <c r="K407" i="88"/>
  <c r="I407" i="88"/>
  <c r="G407" i="88"/>
  <c r="C407" i="88"/>
  <c r="O406" i="88"/>
  <c r="M406" i="88"/>
  <c r="K406" i="88"/>
  <c r="I406" i="88"/>
  <c r="G406" i="88"/>
  <c r="C406" i="88"/>
  <c r="O405" i="88"/>
  <c r="M405" i="88"/>
  <c r="K405" i="88"/>
  <c r="I405" i="88"/>
  <c r="G405" i="88"/>
  <c r="C405" i="88"/>
  <c r="O404" i="88"/>
  <c r="M404" i="88"/>
  <c r="K404" i="88"/>
  <c r="I404" i="88"/>
  <c r="G404" i="88"/>
  <c r="C404" i="88"/>
  <c r="O403" i="88"/>
  <c r="M403" i="88"/>
  <c r="K403" i="88"/>
  <c r="I403" i="88"/>
  <c r="G403" i="88"/>
  <c r="C403" i="88"/>
  <c r="O402" i="88"/>
  <c r="M402" i="88"/>
  <c r="K402" i="88"/>
  <c r="I402" i="88"/>
  <c r="G402" i="88"/>
  <c r="C402" i="88"/>
  <c r="O401" i="88"/>
  <c r="M401" i="88"/>
  <c r="K401" i="88"/>
  <c r="I401" i="88"/>
  <c r="G401" i="88"/>
  <c r="C401" i="88"/>
  <c r="O400" i="88"/>
  <c r="M400" i="88"/>
  <c r="K400" i="88"/>
  <c r="I400" i="88"/>
  <c r="G400" i="88"/>
  <c r="C400" i="88"/>
  <c r="O399" i="88"/>
  <c r="M399" i="88"/>
  <c r="K399" i="88"/>
  <c r="I399" i="88"/>
  <c r="G399" i="88"/>
  <c r="C399" i="88"/>
  <c r="O398" i="88"/>
  <c r="M398" i="88"/>
  <c r="K398" i="88"/>
  <c r="I398" i="88"/>
  <c r="G398" i="88"/>
  <c r="C398" i="88"/>
  <c r="O397" i="88"/>
  <c r="M397" i="88"/>
  <c r="K397" i="88"/>
  <c r="I397" i="88"/>
  <c r="G397" i="88"/>
  <c r="C397" i="88"/>
  <c r="O396" i="88"/>
  <c r="M396" i="88"/>
  <c r="K396" i="88"/>
  <c r="I396" i="88"/>
  <c r="G396" i="88"/>
  <c r="C396" i="88"/>
  <c r="O395" i="88"/>
  <c r="M395" i="88"/>
  <c r="K395" i="88"/>
  <c r="I395" i="88"/>
  <c r="G395" i="88"/>
  <c r="C395" i="88"/>
  <c r="O394" i="88"/>
  <c r="M394" i="88"/>
  <c r="K394" i="88"/>
  <c r="I394" i="88"/>
  <c r="G394" i="88"/>
  <c r="C394" i="88"/>
  <c r="O393" i="88"/>
  <c r="M393" i="88"/>
  <c r="K393" i="88"/>
  <c r="I393" i="88"/>
  <c r="G393" i="88"/>
  <c r="C393" i="88"/>
  <c r="O392" i="88"/>
  <c r="M392" i="88"/>
  <c r="K392" i="88"/>
  <c r="I392" i="88"/>
  <c r="G392" i="88"/>
  <c r="C392" i="88"/>
  <c r="O391" i="88"/>
  <c r="M391" i="88"/>
  <c r="K391" i="88"/>
  <c r="I391" i="88"/>
  <c r="G391" i="88"/>
  <c r="C391" i="88"/>
  <c r="O390" i="88"/>
  <c r="M390" i="88"/>
  <c r="K390" i="88"/>
  <c r="I390" i="88"/>
  <c r="G390" i="88"/>
  <c r="C390" i="88"/>
  <c r="O389" i="88"/>
  <c r="M389" i="88"/>
  <c r="K389" i="88"/>
  <c r="I389" i="88"/>
  <c r="G389" i="88"/>
  <c r="C389" i="88"/>
  <c r="O388" i="88"/>
  <c r="M388" i="88"/>
  <c r="K388" i="88"/>
  <c r="I388" i="88"/>
  <c r="G388" i="88"/>
  <c r="C388" i="88"/>
  <c r="O387" i="88"/>
  <c r="M387" i="88"/>
  <c r="K387" i="88"/>
  <c r="I387" i="88"/>
  <c r="G387" i="88"/>
  <c r="C387" i="88"/>
  <c r="O386" i="88"/>
  <c r="M386" i="88"/>
  <c r="K386" i="88"/>
  <c r="I386" i="88"/>
  <c r="G386" i="88"/>
  <c r="C386" i="88"/>
  <c r="O385" i="88"/>
  <c r="M385" i="88"/>
  <c r="K385" i="88"/>
  <c r="I385" i="88"/>
  <c r="G385" i="88"/>
  <c r="C385" i="88"/>
  <c r="O384" i="88"/>
  <c r="M384" i="88"/>
  <c r="K384" i="88"/>
  <c r="I384" i="88"/>
  <c r="G384" i="88"/>
  <c r="C384" i="88"/>
  <c r="O383" i="88"/>
  <c r="M383" i="88"/>
  <c r="K383" i="88"/>
  <c r="I383" i="88"/>
  <c r="G383" i="88"/>
  <c r="C383" i="88"/>
  <c r="O382" i="88"/>
  <c r="M382" i="88"/>
  <c r="K382" i="88"/>
  <c r="I382" i="88"/>
  <c r="G382" i="88"/>
  <c r="C382" i="88"/>
  <c r="O381" i="88"/>
  <c r="M381" i="88"/>
  <c r="K381" i="88"/>
  <c r="I381" i="88"/>
  <c r="G381" i="88"/>
  <c r="C381" i="88"/>
  <c r="O380" i="88"/>
  <c r="M380" i="88"/>
  <c r="K380" i="88"/>
  <c r="I380" i="88"/>
  <c r="G380" i="88"/>
  <c r="C380" i="88"/>
  <c r="O379" i="88"/>
  <c r="M379" i="88"/>
  <c r="K379" i="88"/>
  <c r="I379" i="88"/>
  <c r="G379" i="88"/>
  <c r="C379" i="88"/>
  <c r="O378" i="88"/>
  <c r="M378" i="88"/>
  <c r="K378" i="88"/>
  <c r="I378" i="88"/>
  <c r="G378" i="88"/>
  <c r="C378" i="88"/>
  <c r="O377" i="88"/>
  <c r="M377" i="88"/>
  <c r="K377" i="88"/>
  <c r="I377" i="88"/>
  <c r="G377" i="88"/>
  <c r="C377" i="88"/>
  <c r="O376" i="88"/>
  <c r="M376" i="88"/>
  <c r="K376" i="88"/>
  <c r="I376" i="88"/>
  <c r="G376" i="88"/>
  <c r="C376" i="88"/>
  <c r="O375" i="88"/>
  <c r="M375" i="88"/>
  <c r="K375" i="88"/>
  <c r="I375" i="88"/>
  <c r="G375" i="88"/>
  <c r="C375" i="88"/>
  <c r="O374" i="88"/>
  <c r="M374" i="88"/>
  <c r="K374" i="88"/>
  <c r="I374" i="88"/>
  <c r="G374" i="88"/>
  <c r="C374" i="88"/>
  <c r="O373" i="88"/>
  <c r="M373" i="88"/>
  <c r="K373" i="88"/>
  <c r="I373" i="88"/>
  <c r="G373" i="88"/>
  <c r="C373" i="88"/>
  <c r="O372" i="88"/>
  <c r="M372" i="88"/>
  <c r="K372" i="88"/>
  <c r="I372" i="88"/>
  <c r="G372" i="88"/>
  <c r="C372" i="88"/>
  <c r="O371" i="88"/>
  <c r="M371" i="88"/>
  <c r="K371" i="88"/>
  <c r="I371" i="88"/>
  <c r="G371" i="88"/>
  <c r="C371" i="88"/>
  <c r="O370" i="88"/>
  <c r="M370" i="88"/>
  <c r="K370" i="88"/>
  <c r="I370" i="88"/>
  <c r="G370" i="88"/>
  <c r="C370" i="88"/>
  <c r="O369" i="88"/>
  <c r="M369" i="88"/>
  <c r="K369" i="88"/>
  <c r="I369" i="88"/>
  <c r="G369" i="88"/>
  <c r="C369" i="88"/>
  <c r="O368" i="88"/>
  <c r="M368" i="88"/>
  <c r="K368" i="88"/>
  <c r="I368" i="88"/>
  <c r="G368" i="88"/>
  <c r="C368" i="88"/>
  <c r="O367" i="88"/>
  <c r="M367" i="88"/>
  <c r="K367" i="88"/>
  <c r="I367" i="88"/>
  <c r="G367" i="88"/>
  <c r="C367" i="88"/>
  <c r="O366" i="88"/>
  <c r="M366" i="88"/>
  <c r="K366" i="88"/>
  <c r="I366" i="88"/>
  <c r="G366" i="88"/>
  <c r="C366" i="88"/>
  <c r="O365" i="88"/>
  <c r="M365" i="88"/>
  <c r="K365" i="88"/>
  <c r="I365" i="88"/>
  <c r="G365" i="88"/>
  <c r="C365" i="88"/>
  <c r="O364" i="88"/>
  <c r="M364" i="88"/>
  <c r="K364" i="88"/>
  <c r="I364" i="88"/>
  <c r="G364" i="88"/>
  <c r="C364" i="88"/>
  <c r="O363" i="88"/>
  <c r="M363" i="88"/>
  <c r="K363" i="88"/>
  <c r="I363" i="88"/>
  <c r="G363" i="88"/>
  <c r="C363" i="88"/>
  <c r="O362" i="88"/>
  <c r="M362" i="88"/>
  <c r="K362" i="88"/>
  <c r="I362" i="88"/>
  <c r="G362" i="88"/>
  <c r="C362" i="88"/>
  <c r="O361" i="88"/>
  <c r="M361" i="88"/>
  <c r="K361" i="88"/>
  <c r="I361" i="88"/>
  <c r="G361" i="88"/>
  <c r="C361" i="88"/>
  <c r="O360" i="88"/>
  <c r="M360" i="88"/>
  <c r="K360" i="88"/>
  <c r="I360" i="88"/>
  <c r="G360" i="88"/>
  <c r="C360" i="88"/>
  <c r="O359" i="88"/>
  <c r="M359" i="88"/>
  <c r="K359" i="88"/>
  <c r="I359" i="88"/>
  <c r="G359" i="88"/>
  <c r="C359" i="88"/>
  <c r="O358" i="88"/>
  <c r="M358" i="88"/>
  <c r="K358" i="88"/>
  <c r="I358" i="88"/>
  <c r="G358" i="88"/>
  <c r="C358" i="88"/>
  <c r="O357" i="88"/>
  <c r="M357" i="88"/>
  <c r="K357" i="88"/>
  <c r="I357" i="88"/>
  <c r="G357" i="88"/>
  <c r="C357" i="88"/>
  <c r="O356" i="88"/>
  <c r="M356" i="88"/>
  <c r="K356" i="88"/>
  <c r="I356" i="88"/>
  <c r="G356" i="88"/>
  <c r="C356" i="88"/>
  <c r="O355" i="88"/>
  <c r="M355" i="88"/>
  <c r="K355" i="88"/>
  <c r="I355" i="88"/>
  <c r="G355" i="88"/>
  <c r="C355" i="88"/>
  <c r="O354" i="88"/>
  <c r="M354" i="88"/>
  <c r="K354" i="88"/>
  <c r="I354" i="88"/>
  <c r="G354" i="88"/>
  <c r="C354" i="88"/>
  <c r="O353" i="88"/>
  <c r="M353" i="88"/>
  <c r="K353" i="88"/>
  <c r="I353" i="88"/>
  <c r="G353" i="88"/>
  <c r="C353" i="88"/>
  <c r="O352" i="88"/>
  <c r="M352" i="88"/>
  <c r="K352" i="88"/>
  <c r="I352" i="88"/>
  <c r="G352" i="88"/>
  <c r="C352" i="88"/>
  <c r="O351" i="88"/>
  <c r="M351" i="88"/>
  <c r="K351" i="88"/>
  <c r="I351" i="88"/>
  <c r="G351" i="88"/>
  <c r="C351" i="88"/>
  <c r="O350" i="88"/>
  <c r="M350" i="88"/>
  <c r="K350" i="88"/>
  <c r="I350" i="88"/>
  <c r="G350" i="88"/>
  <c r="C350" i="88"/>
  <c r="O349" i="88"/>
  <c r="M349" i="88"/>
  <c r="K349" i="88"/>
  <c r="I349" i="88"/>
  <c r="G349" i="88"/>
  <c r="C349" i="88"/>
  <c r="O348" i="88"/>
  <c r="M348" i="88"/>
  <c r="K348" i="88"/>
  <c r="I348" i="88"/>
  <c r="G348" i="88"/>
  <c r="C348" i="88"/>
  <c r="O347" i="88"/>
  <c r="M347" i="88"/>
  <c r="K347" i="88"/>
  <c r="I347" i="88"/>
  <c r="G347" i="88"/>
  <c r="C347" i="88"/>
  <c r="O346" i="88"/>
  <c r="M346" i="88"/>
  <c r="K346" i="88"/>
  <c r="I346" i="88"/>
  <c r="G346" i="88"/>
  <c r="C346" i="88"/>
  <c r="O345" i="88"/>
  <c r="M345" i="88"/>
  <c r="K345" i="88"/>
  <c r="I345" i="88"/>
  <c r="G345" i="88"/>
  <c r="C345" i="88"/>
  <c r="O344" i="88"/>
  <c r="M344" i="88"/>
  <c r="K344" i="88"/>
  <c r="I344" i="88"/>
  <c r="G344" i="88"/>
  <c r="C344" i="88"/>
  <c r="O343" i="88"/>
  <c r="M343" i="88"/>
  <c r="K343" i="88"/>
  <c r="I343" i="88"/>
  <c r="G343" i="88"/>
  <c r="C343" i="88"/>
  <c r="O342" i="88"/>
  <c r="M342" i="88"/>
  <c r="K342" i="88"/>
  <c r="I342" i="88"/>
  <c r="G342" i="88"/>
  <c r="C342" i="88"/>
  <c r="O341" i="88"/>
  <c r="M341" i="88"/>
  <c r="K341" i="88"/>
  <c r="I341" i="88"/>
  <c r="G341" i="88"/>
  <c r="C341" i="88"/>
  <c r="O340" i="88"/>
  <c r="M340" i="88"/>
  <c r="K340" i="88"/>
  <c r="I340" i="88"/>
  <c r="G340" i="88"/>
  <c r="C340" i="88"/>
  <c r="O339" i="88"/>
  <c r="M339" i="88"/>
  <c r="K339" i="88"/>
  <c r="I339" i="88"/>
  <c r="G339" i="88"/>
  <c r="C339" i="88"/>
  <c r="O338" i="88"/>
  <c r="M338" i="88"/>
  <c r="K338" i="88"/>
  <c r="I338" i="88"/>
  <c r="G338" i="88"/>
  <c r="C338" i="88"/>
  <c r="O337" i="88"/>
  <c r="M337" i="88"/>
  <c r="K337" i="88"/>
  <c r="I337" i="88"/>
  <c r="G337" i="88"/>
  <c r="C337" i="88"/>
  <c r="O336" i="88"/>
  <c r="M336" i="88"/>
  <c r="K336" i="88"/>
  <c r="I336" i="88"/>
  <c r="G336" i="88"/>
  <c r="C336" i="88"/>
  <c r="O335" i="88"/>
  <c r="M335" i="88"/>
  <c r="K335" i="88"/>
  <c r="I335" i="88"/>
  <c r="G335" i="88"/>
  <c r="C335" i="88"/>
  <c r="O334" i="88"/>
  <c r="M334" i="88"/>
  <c r="K334" i="88"/>
  <c r="I334" i="88"/>
  <c r="G334" i="88"/>
  <c r="C334" i="88"/>
  <c r="O333" i="88"/>
  <c r="M333" i="88"/>
  <c r="K333" i="88"/>
  <c r="I333" i="88"/>
  <c r="G333" i="88"/>
  <c r="C333" i="88"/>
  <c r="O332" i="88"/>
  <c r="M332" i="88"/>
  <c r="K332" i="88"/>
  <c r="I332" i="88"/>
  <c r="G332" i="88"/>
  <c r="C332" i="88"/>
  <c r="O331" i="88"/>
  <c r="M331" i="88"/>
  <c r="K331" i="88"/>
  <c r="I331" i="88"/>
  <c r="G331" i="88"/>
  <c r="C331" i="88"/>
  <c r="O330" i="88"/>
  <c r="M330" i="88"/>
  <c r="K330" i="88"/>
  <c r="I330" i="88"/>
  <c r="G330" i="88"/>
  <c r="C330" i="88"/>
  <c r="O329" i="88"/>
  <c r="M329" i="88"/>
  <c r="K329" i="88"/>
  <c r="I329" i="88"/>
  <c r="G329" i="88"/>
  <c r="C329" i="88"/>
  <c r="O328" i="88"/>
  <c r="M328" i="88"/>
  <c r="K328" i="88"/>
  <c r="I328" i="88"/>
  <c r="G328" i="88"/>
  <c r="C328" i="88"/>
  <c r="O327" i="88"/>
  <c r="M327" i="88"/>
  <c r="K327" i="88"/>
  <c r="I327" i="88"/>
  <c r="G327" i="88"/>
  <c r="C327" i="88"/>
  <c r="O326" i="88"/>
  <c r="M326" i="88"/>
  <c r="K326" i="88"/>
  <c r="I326" i="88"/>
  <c r="G326" i="88"/>
  <c r="C326" i="88"/>
  <c r="O325" i="88"/>
  <c r="M325" i="88"/>
  <c r="K325" i="88"/>
  <c r="I325" i="88"/>
  <c r="G325" i="88"/>
  <c r="O324" i="88"/>
  <c r="M324" i="88"/>
  <c r="K324" i="88"/>
  <c r="I324" i="88"/>
  <c r="G324" i="88"/>
  <c r="O323" i="88"/>
  <c r="M323" i="88"/>
  <c r="K323" i="88"/>
  <c r="I323" i="88"/>
  <c r="G323" i="88"/>
  <c r="O322" i="88"/>
  <c r="M322" i="88"/>
  <c r="K322" i="88"/>
  <c r="I322" i="88"/>
  <c r="G322" i="88"/>
  <c r="O321" i="88"/>
  <c r="M321" i="88"/>
  <c r="K321" i="88"/>
  <c r="I321" i="88"/>
  <c r="G321" i="88"/>
  <c r="O320" i="88"/>
  <c r="M320" i="88"/>
  <c r="K320" i="88"/>
  <c r="I320" i="88"/>
  <c r="G320" i="88"/>
  <c r="O319" i="88"/>
  <c r="M319" i="88"/>
  <c r="K319" i="88"/>
  <c r="I319" i="88"/>
  <c r="G319" i="88"/>
  <c r="O318" i="88"/>
  <c r="M318" i="88"/>
  <c r="K318" i="88"/>
  <c r="I318" i="88"/>
  <c r="G318" i="88"/>
  <c r="O317" i="88"/>
  <c r="M317" i="88"/>
  <c r="K317" i="88"/>
  <c r="I317" i="88"/>
  <c r="G317" i="88"/>
  <c r="O316" i="88"/>
  <c r="M316" i="88"/>
  <c r="K316" i="88"/>
  <c r="I316" i="88"/>
  <c r="G316" i="88"/>
  <c r="O315" i="88"/>
  <c r="M315" i="88"/>
  <c r="K315" i="88"/>
  <c r="I315" i="88"/>
  <c r="G315" i="88"/>
  <c r="O314" i="88"/>
  <c r="M314" i="88"/>
  <c r="K314" i="88"/>
  <c r="I314" i="88"/>
  <c r="G314" i="88"/>
  <c r="O313" i="88"/>
  <c r="M313" i="88"/>
  <c r="K313" i="88"/>
  <c r="I313" i="88"/>
  <c r="G313" i="88"/>
  <c r="O312" i="88"/>
  <c r="M312" i="88"/>
  <c r="K312" i="88"/>
  <c r="I312" i="88"/>
  <c r="G312" i="88"/>
  <c r="O311" i="88"/>
  <c r="M311" i="88"/>
  <c r="K311" i="88"/>
  <c r="I311" i="88"/>
  <c r="G311" i="88"/>
  <c r="O310" i="88"/>
  <c r="M310" i="88"/>
  <c r="K310" i="88"/>
  <c r="I310" i="88"/>
  <c r="G310" i="88"/>
  <c r="O309" i="88"/>
  <c r="M309" i="88"/>
  <c r="K309" i="88"/>
  <c r="I309" i="88"/>
  <c r="G309" i="88"/>
  <c r="O308" i="88"/>
  <c r="M308" i="88"/>
  <c r="K308" i="88"/>
  <c r="I308" i="88"/>
  <c r="G308" i="88"/>
  <c r="O307" i="88"/>
  <c r="M307" i="88"/>
  <c r="K307" i="88"/>
  <c r="I307" i="88"/>
  <c r="G307" i="88"/>
  <c r="O306" i="88"/>
  <c r="M306" i="88"/>
  <c r="K306" i="88"/>
  <c r="I306" i="88"/>
  <c r="G306" i="88"/>
  <c r="O305" i="88"/>
  <c r="M305" i="88"/>
  <c r="K305" i="88"/>
  <c r="I305" i="88"/>
  <c r="G305" i="88"/>
  <c r="O304" i="88"/>
  <c r="M304" i="88"/>
  <c r="K304" i="88"/>
  <c r="I304" i="88"/>
  <c r="G304" i="88"/>
  <c r="O303" i="88"/>
  <c r="M303" i="88"/>
  <c r="K303" i="88"/>
  <c r="I303" i="88"/>
  <c r="G303" i="88"/>
  <c r="O302" i="88"/>
  <c r="M302" i="88"/>
  <c r="K302" i="88"/>
  <c r="I302" i="88"/>
  <c r="G302" i="88"/>
  <c r="O301" i="88"/>
  <c r="M301" i="88"/>
  <c r="K301" i="88"/>
  <c r="I301" i="88"/>
  <c r="G301" i="88"/>
  <c r="O300" i="88"/>
  <c r="M300" i="88"/>
  <c r="K300" i="88"/>
  <c r="I300" i="88"/>
  <c r="G300" i="88"/>
  <c r="O299" i="88"/>
  <c r="M299" i="88"/>
  <c r="K299" i="88"/>
  <c r="I299" i="88"/>
  <c r="G299" i="88"/>
  <c r="O298" i="88"/>
  <c r="M298" i="88"/>
  <c r="K298" i="88"/>
  <c r="I298" i="88"/>
  <c r="G298" i="88"/>
  <c r="O297" i="88"/>
  <c r="M297" i="88"/>
  <c r="K297" i="88"/>
  <c r="I297" i="88"/>
  <c r="G297" i="88"/>
  <c r="O296" i="88"/>
  <c r="M296" i="88"/>
  <c r="K296" i="88"/>
  <c r="I296" i="88"/>
  <c r="G296" i="88"/>
  <c r="O295" i="88"/>
  <c r="M295" i="88"/>
  <c r="K295" i="88"/>
  <c r="I295" i="88"/>
  <c r="G295" i="88"/>
  <c r="O294" i="88"/>
  <c r="M294" i="88"/>
  <c r="K294" i="88"/>
  <c r="I294" i="88"/>
  <c r="G294" i="88"/>
  <c r="O293" i="88"/>
  <c r="M293" i="88"/>
  <c r="K293" i="88"/>
  <c r="I293" i="88"/>
  <c r="G293" i="88"/>
  <c r="O292" i="88"/>
  <c r="M292" i="88"/>
  <c r="K292" i="88"/>
  <c r="I292" i="88"/>
  <c r="G292" i="88"/>
  <c r="O291" i="88"/>
  <c r="M291" i="88"/>
  <c r="K291" i="88"/>
  <c r="I291" i="88"/>
  <c r="G291" i="88"/>
  <c r="O290" i="88"/>
  <c r="M290" i="88"/>
  <c r="K290" i="88"/>
  <c r="I290" i="88"/>
  <c r="G290" i="88"/>
  <c r="O289" i="88"/>
  <c r="M289" i="88"/>
  <c r="K289" i="88"/>
  <c r="I289" i="88"/>
  <c r="G289" i="88"/>
  <c r="O288" i="88"/>
  <c r="M288" i="88"/>
  <c r="K288" i="88"/>
  <c r="I288" i="88"/>
  <c r="G288" i="88"/>
  <c r="O287" i="88"/>
  <c r="M287" i="88"/>
  <c r="K287" i="88"/>
  <c r="I287" i="88"/>
  <c r="G287" i="88"/>
  <c r="O286" i="88"/>
  <c r="M286" i="88"/>
  <c r="K286" i="88"/>
  <c r="I286" i="88"/>
  <c r="G286" i="88"/>
  <c r="O285" i="88"/>
  <c r="M285" i="88"/>
  <c r="K285" i="88"/>
  <c r="I285" i="88"/>
  <c r="G285" i="88"/>
  <c r="O284" i="88"/>
  <c r="M284" i="88"/>
  <c r="K284" i="88"/>
  <c r="I284" i="88"/>
  <c r="G284" i="88"/>
  <c r="O283" i="88"/>
  <c r="M283" i="88"/>
  <c r="K283" i="88"/>
  <c r="I283" i="88"/>
  <c r="G283" i="88"/>
  <c r="O282" i="88"/>
  <c r="M282" i="88"/>
  <c r="K282" i="88"/>
  <c r="I282" i="88"/>
  <c r="G282" i="88"/>
  <c r="O281" i="88"/>
  <c r="M281" i="88"/>
  <c r="K281" i="88"/>
  <c r="I281" i="88"/>
  <c r="G281" i="88"/>
  <c r="O280" i="88"/>
  <c r="M280" i="88"/>
  <c r="K280" i="88"/>
  <c r="I280" i="88"/>
  <c r="G280" i="88"/>
  <c r="O279" i="88"/>
  <c r="M279" i="88"/>
  <c r="K279" i="88"/>
  <c r="I279" i="88"/>
  <c r="G279" i="88"/>
  <c r="O278" i="88"/>
  <c r="M278" i="88"/>
  <c r="K278" i="88"/>
  <c r="I278" i="88"/>
  <c r="G278" i="88"/>
  <c r="O277" i="88"/>
  <c r="M277" i="88"/>
  <c r="K277" i="88"/>
  <c r="I277" i="88"/>
  <c r="G277" i="88"/>
  <c r="O276" i="88"/>
  <c r="M276" i="88"/>
  <c r="K276" i="88"/>
  <c r="I276" i="88"/>
  <c r="G276" i="88"/>
  <c r="O275" i="88"/>
  <c r="M275" i="88"/>
  <c r="K275" i="88"/>
  <c r="I275" i="88"/>
  <c r="G275" i="88"/>
  <c r="O274" i="88"/>
  <c r="M274" i="88"/>
  <c r="K274" i="88"/>
  <c r="I274" i="88"/>
  <c r="G274" i="88"/>
  <c r="O273" i="88"/>
  <c r="M273" i="88"/>
  <c r="K273" i="88"/>
  <c r="I273" i="88"/>
  <c r="G273" i="88"/>
  <c r="O272" i="88"/>
  <c r="M272" i="88"/>
  <c r="K272" i="88"/>
  <c r="I272" i="88"/>
  <c r="G272" i="88"/>
  <c r="O271" i="88"/>
  <c r="M271" i="88"/>
  <c r="K271" i="88"/>
  <c r="I271" i="88"/>
  <c r="G271" i="88"/>
  <c r="O270" i="88"/>
  <c r="M270" i="88"/>
  <c r="K270" i="88"/>
  <c r="I270" i="88"/>
  <c r="G270" i="88"/>
  <c r="O269" i="88"/>
  <c r="M269" i="88"/>
  <c r="K269" i="88"/>
  <c r="I269" i="88"/>
  <c r="G269" i="88"/>
  <c r="O268" i="88"/>
  <c r="M268" i="88"/>
  <c r="K268" i="88"/>
  <c r="I268" i="88"/>
  <c r="G268" i="88"/>
  <c r="O267" i="88"/>
  <c r="M267" i="88"/>
  <c r="K267" i="88"/>
  <c r="I267" i="88"/>
  <c r="G267" i="88"/>
  <c r="O266" i="88"/>
  <c r="M266" i="88"/>
  <c r="K266" i="88"/>
  <c r="I266" i="88"/>
  <c r="G266" i="88"/>
  <c r="O265" i="88"/>
  <c r="M265" i="88"/>
  <c r="K265" i="88"/>
  <c r="I265" i="88"/>
  <c r="G265" i="88"/>
  <c r="O264" i="88"/>
  <c r="M264" i="88"/>
  <c r="K264" i="88"/>
  <c r="I264" i="88"/>
  <c r="G264" i="88"/>
  <c r="O263" i="88"/>
  <c r="M263" i="88"/>
  <c r="K263" i="88"/>
  <c r="I263" i="88"/>
  <c r="G263" i="88"/>
  <c r="O262" i="88"/>
  <c r="M262" i="88"/>
  <c r="K262" i="88"/>
  <c r="I262" i="88"/>
  <c r="G262" i="88"/>
  <c r="O261" i="88"/>
  <c r="M261" i="88"/>
  <c r="K261" i="88"/>
  <c r="I261" i="88"/>
  <c r="G261" i="88"/>
  <c r="O260" i="88"/>
  <c r="M260" i="88"/>
  <c r="K260" i="88"/>
  <c r="I260" i="88"/>
  <c r="G260" i="88"/>
  <c r="O259" i="88"/>
  <c r="M259" i="88"/>
  <c r="K259" i="88"/>
  <c r="I259" i="88"/>
  <c r="G259" i="88"/>
  <c r="O258" i="88"/>
  <c r="M258" i="88"/>
  <c r="K258" i="88"/>
  <c r="I258" i="88"/>
  <c r="G258" i="88"/>
  <c r="O257" i="88"/>
  <c r="M257" i="88"/>
  <c r="K257" i="88"/>
  <c r="I257" i="88"/>
  <c r="G257" i="88"/>
  <c r="O256" i="88"/>
  <c r="M256" i="88"/>
  <c r="K256" i="88"/>
  <c r="I256" i="88"/>
  <c r="G256" i="88"/>
  <c r="O255" i="88"/>
  <c r="M255" i="88"/>
  <c r="K255" i="88"/>
  <c r="I255" i="88"/>
  <c r="G255" i="88"/>
  <c r="O254" i="88"/>
  <c r="M254" i="88"/>
  <c r="K254" i="88"/>
  <c r="I254" i="88"/>
  <c r="G254" i="88"/>
  <c r="O253" i="88"/>
  <c r="M253" i="88"/>
  <c r="K253" i="88"/>
  <c r="I253" i="88"/>
  <c r="G253" i="88"/>
  <c r="O252" i="88"/>
  <c r="M252" i="88"/>
  <c r="K252" i="88"/>
  <c r="I252" i="88"/>
  <c r="G252" i="88"/>
  <c r="O251" i="88"/>
  <c r="M251" i="88"/>
  <c r="K251" i="88"/>
  <c r="I251" i="88"/>
  <c r="G251" i="88"/>
  <c r="O250" i="88"/>
  <c r="M250" i="88"/>
  <c r="K250" i="88"/>
  <c r="I250" i="88"/>
  <c r="G250" i="88"/>
  <c r="O249" i="88"/>
  <c r="M249" i="88"/>
  <c r="K249" i="88"/>
  <c r="I249" i="88"/>
  <c r="G249" i="88"/>
  <c r="O248" i="88"/>
  <c r="M248" i="88"/>
  <c r="K248" i="88"/>
  <c r="I248" i="88"/>
  <c r="G248" i="88"/>
  <c r="O247" i="88"/>
  <c r="M247" i="88"/>
  <c r="K247" i="88"/>
  <c r="I247" i="88"/>
  <c r="G247" i="88"/>
  <c r="O246" i="88"/>
  <c r="M246" i="88"/>
  <c r="K246" i="88"/>
  <c r="I246" i="88"/>
  <c r="G246" i="88"/>
  <c r="O245" i="88"/>
  <c r="M245" i="88"/>
  <c r="K245" i="88"/>
  <c r="I245" i="88"/>
  <c r="G245" i="88"/>
  <c r="O244" i="88"/>
  <c r="M244" i="88"/>
  <c r="K244" i="88"/>
  <c r="I244" i="88"/>
  <c r="G244" i="88"/>
  <c r="O243" i="88"/>
  <c r="M243" i="88"/>
  <c r="K243" i="88"/>
  <c r="I243" i="88"/>
  <c r="G243" i="88"/>
  <c r="O242" i="88"/>
  <c r="M242" i="88"/>
  <c r="K242" i="88"/>
  <c r="I242" i="88"/>
  <c r="G242" i="88"/>
  <c r="O241" i="88"/>
  <c r="M241" i="88"/>
  <c r="K241" i="88"/>
  <c r="I241" i="88"/>
  <c r="G241" i="88"/>
  <c r="O240" i="88"/>
  <c r="M240" i="88"/>
  <c r="K240" i="88"/>
  <c r="I240" i="88"/>
  <c r="G240" i="88"/>
  <c r="O239" i="88"/>
  <c r="M239" i="88"/>
  <c r="K239" i="88"/>
  <c r="I239" i="88"/>
  <c r="G239" i="88"/>
  <c r="O238" i="88"/>
  <c r="M238" i="88"/>
  <c r="K238" i="88"/>
  <c r="I238" i="88"/>
  <c r="G238" i="88"/>
  <c r="O237" i="88"/>
  <c r="M237" i="88"/>
  <c r="K237" i="88"/>
  <c r="I237" i="88"/>
  <c r="G237" i="88"/>
  <c r="O236" i="88"/>
  <c r="M236" i="88"/>
  <c r="K236" i="88"/>
  <c r="I236" i="88"/>
  <c r="G236" i="88"/>
  <c r="O235" i="88"/>
  <c r="M235" i="88"/>
  <c r="K235" i="88"/>
  <c r="I235" i="88"/>
  <c r="G235" i="88"/>
  <c r="O234" i="88"/>
  <c r="M234" i="88"/>
  <c r="K234" i="88"/>
  <c r="I234" i="88"/>
  <c r="G234" i="88"/>
  <c r="O233" i="88"/>
  <c r="M233" i="88"/>
  <c r="K233" i="88"/>
  <c r="I233" i="88"/>
  <c r="G233" i="88"/>
  <c r="O232" i="88"/>
  <c r="M232" i="88"/>
  <c r="K232" i="88"/>
  <c r="I232" i="88"/>
  <c r="G232" i="88"/>
  <c r="O231" i="88"/>
  <c r="M231" i="88"/>
  <c r="K231" i="88"/>
  <c r="I231" i="88"/>
  <c r="G231" i="88"/>
  <c r="O230" i="88"/>
  <c r="M230" i="88"/>
  <c r="K230" i="88"/>
  <c r="I230" i="88"/>
  <c r="G230" i="88"/>
  <c r="O229" i="88"/>
  <c r="M229" i="88"/>
  <c r="K229" i="88"/>
  <c r="I229" i="88"/>
  <c r="G229" i="88"/>
  <c r="O228" i="88"/>
  <c r="M228" i="88"/>
  <c r="K228" i="88"/>
  <c r="I228" i="88"/>
  <c r="G228" i="88"/>
  <c r="O227" i="88"/>
  <c r="M227" i="88"/>
  <c r="K227" i="88"/>
  <c r="I227" i="88"/>
  <c r="G227" i="88"/>
  <c r="O226" i="88"/>
  <c r="M226" i="88"/>
  <c r="K226" i="88"/>
  <c r="I226" i="88"/>
  <c r="G226" i="88"/>
  <c r="O225" i="88"/>
  <c r="M225" i="88"/>
  <c r="K225" i="88"/>
  <c r="I225" i="88"/>
  <c r="G225" i="88"/>
  <c r="O224" i="88"/>
  <c r="M224" i="88"/>
  <c r="K224" i="88"/>
  <c r="I224" i="88"/>
  <c r="G224" i="88"/>
  <c r="O223" i="88"/>
  <c r="M223" i="88"/>
  <c r="K223" i="88"/>
  <c r="I223" i="88"/>
  <c r="G223" i="88"/>
  <c r="O222" i="88"/>
  <c r="M222" i="88"/>
  <c r="K222" i="88"/>
  <c r="I222" i="88"/>
  <c r="G222" i="88"/>
  <c r="O221" i="88"/>
  <c r="M221" i="88"/>
  <c r="K221" i="88"/>
  <c r="I221" i="88"/>
  <c r="G221" i="88"/>
  <c r="O220" i="88"/>
  <c r="M220" i="88"/>
  <c r="K220" i="88"/>
  <c r="I220" i="88"/>
  <c r="G220" i="88"/>
  <c r="O219" i="88"/>
  <c r="M219" i="88"/>
  <c r="K219" i="88"/>
  <c r="I219" i="88"/>
  <c r="G219" i="88"/>
  <c r="O218" i="88"/>
  <c r="M218" i="88"/>
  <c r="K218" i="88"/>
  <c r="I218" i="88"/>
  <c r="G218" i="88"/>
  <c r="O217" i="88"/>
  <c r="M217" i="88"/>
  <c r="K217" i="88"/>
  <c r="I217" i="88"/>
  <c r="G217" i="88"/>
  <c r="O216" i="88"/>
  <c r="M216" i="88"/>
  <c r="K216" i="88"/>
  <c r="I216" i="88"/>
  <c r="G216" i="88"/>
  <c r="O215" i="88"/>
  <c r="M215" i="88"/>
  <c r="K215" i="88"/>
  <c r="I215" i="88"/>
  <c r="G215" i="88"/>
  <c r="O214" i="88"/>
  <c r="M214" i="88"/>
  <c r="K214" i="88"/>
  <c r="I214" i="88"/>
  <c r="G214" i="88"/>
  <c r="O213" i="88"/>
  <c r="M213" i="88"/>
  <c r="K213" i="88"/>
  <c r="I213" i="88"/>
  <c r="G213" i="88"/>
  <c r="O212" i="88"/>
  <c r="M212" i="88"/>
  <c r="K212" i="88"/>
  <c r="I212" i="88"/>
  <c r="G212" i="88"/>
  <c r="O211" i="88"/>
  <c r="M211" i="88"/>
  <c r="K211" i="88"/>
  <c r="I211" i="88"/>
  <c r="G211" i="88"/>
  <c r="O210" i="88"/>
  <c r="M210" i="88"/>
  <c r="K210" i="88"/>
  <c r="I210" i="88"/>
  <c r="G210" i="88"/>
  <c r="O209" i="88"/>
  <c r="M209" i="88"/>
  <c r="K209" i="88"/>
  <c r="I209" i="88"/>
  <c r="G209" i="88"/>
  <c r="O208" i="88"/>
  <c r="M208" i="88"/>
  <c r="K208" i="88"/>
  <c r="I208" i="88"/>
  <c r="G208" i="88"/>
  <c r="O207" i="88"/>
  <c r="M207" i="88"/>
  <c r="K207" i="88"/>
  <c r="I207" i="88"/>
  <c r="G207" i="88"/>
  <c r="O206" i="88"/>
  <c r="M206" i="88"/>
  <c r="K206" i="88"/>
  <c r="I206" i="88"/>
  <c r="G206" i="88"/>
  <c r="O205" i="88"/>
  <c r="M205" i="88"/>
  <c r="K205" i="88"/>
  <c r="I205" i="88"/>
  <c r="G205" i="88"/>
  <c r="O204" i="88"/>
  <c r="M204" i="88"/>
  <c r="K204" i="88"/>
  <c r="I204" i="88"/>
  <c r="G204" i="88"/>
  <c r="O203" i="88"/>
  <c r="M203" i="88"/>
  <c r="K203" i="88"/>
  <c r="I203" i="88"/>
  <c r="G203" i="88"/>
  <c r="O202" i="88"/>
  <c r="M202" i="88"/>
  <c r="K202" i="88"/>
  <c r="I202" i="88"/>
  <c r="G202" i="88"/>
  <c r="O201" i="88"/>
  <c r="M201" i="88"/>
  <c r="K201" i="88"/>
  <c r="I201" i="88"/>
  <c r="G201" i="88"/>
  <c r="O200" i="88"/>
  <c r="M200" i="88"/>
  <c r="K200" i="88"/>
  <c r="I200" i="88"/>
  <c r="G200" i="88"/>
  <c r="O199" i="88"/>
  <c r="M199" i="88"/>
  <c r="K199" i="88"/>
  <c r="I199" i="88"/>
  <c r="G199" i="88"/>
  <c r="O198" i="88"/>
  <c r="M198" i="88"/>
  <c r="K198" i="88"/>
  <c r="I198" i="88"/>
  <c r="G198" i="88"/>
  <c r="O197" i="88"/>
  <c r="M197" i="88"/>
  <c r="K197" i="88"/>
  <c r="I197" i="88"/>
  <c r="G197" i="88"/>
  <c r="O196" i="88"/>
  <c r="M196" i="88"/>
  <c r="K196" i="88"/>
  <c r="I196" i="88"/>
  <c r="G196" i="88"/>
  <c r="O195" i="88"/>
  <c r="M195" i="88"/>
  <c r="K195" i="88"/>
  <c r="I195" i="88"/>
  <c r="G195" i="88"/>
  <c r="O194" i="88"/>
  <c r="M194" i="88"/>
  <c r="K194" i="88"/>
  <c r="I194" i="88"/>
  <c r="G194" i="88"/>
  <c r="O193" i="88"/>
  <c r="M193" i="88"/>
  <c r="K193" i="88"/>
  <c r="I193" i="88"/>
  <c r="G193" i="88"/>
  <c r="O192" i="88"/>
  <c r="M192" i="88"/>
  <c r="K192" i="88"/>
  <c r="I192" i="88"/>
  <c r="G192" i="88"/>
  <c r="O191" i="88"/>
  <c r="M191" i="88"/>
  <c r="K191" i="88"/>
  <c r="I191" i="88"/>
  <c r="G191" i="88"/>
  <c r="O190" i="88"/>
  <c r="M190" i="88"/>
  <c r="K190" i="88"/>
  <c r="I190" i="88"/>
  <c r="G190" i="88"/>
  <c r="O189" i="88"/>
  <c r="M189" i="88"/>
  <c r="K189" i="88"/>
  <c r="I189" i="88"/>
  <c r="G189" i="88"/>
  <c r="O188" i="88"/>
  <c r="M188" i="88"/>
  <c r="K188" i="88"/>
  <c r="I188" i="88"/>
  <c r="G188" i="88"/>
  <c r="O187" i="88"/>
  <c r="M187" i="88"/>
  <c r="K187" i="88"/>
  <c r="I187" i="88"/>
  <c r="G187" i="88"/>
  <c r="O186" i="88"/>
  <c r="M186" i="88"/>
  <c r="K186" i="88"/>
  <c r="I186" i="88"/>
  <c r="G186" i="88"/>
  <c r="O185" i="88"/>
  <c r="M185" i="88"/>
  <c r="K185" i="88"/>
  <c r="I185" i="88"/>
  <c r="G185" i="88"/>
  <c r="O184" i="88"/>
  <c r="M184" i="88"/>
  <c r="K184" i="88"/>
  <c r="I184" i="88"/>
  <c r="G184" i="88"/>
  <c r="O183" i="88"/>
  <c r="M183" i="88"/>
  <c r="K183" i="88"/>
  <c r="I183" i="88"/>
  <c r="G183" i="88"/>
  <c r="O182" i="88"/>
  <c r="M182" i="88"/>
  <c r="K182" i="88"/>
  <c r="I182" i="88"/>
  <c r="G182" i="88"/>
  <c r="O181" i="88"/>
  <c r="M181" i="88"/>
  <c r="K181" i="88"/>
  <c r="I181" i="88"/>
  <c r="G181" i="88"/>
  <c r="O180" i="88"/>
  <c r="M180" i="88"/>
  <c r="K180" i="88"/>
  <c r="I180" i="88"/>
  <c r="G180" i="88"/>
  <c r="O179" i="88"/>
  <c r="M179" i="88"/>
  <c r="K179" i="88"/>
  <c r="I179" i="88"/>
  <c r="G179" i="88"/>
  <c r="O178" i="88"/>
  <c r="M178" i="88"/>
  <c r="K178" i="88"/>
  <c r="I178" i="88"/>
  <c r="G178" i="88"/>
  <c r="O177" i="88"/>
  <c r="M177" i="88"/>
  <c r="K177" i="88"/>
  <c r="I177" i="88"/>
  <c r="G177" i="88"/>
  <c r="O176" i="88"/>
  <c r="M176" i="88"/>
  <c r="K176" i="88"/>
  <c r="I176" i="88"/>
  <c r="G176" i="88"/>
  <c r="O175" i="88"/>
  <c r="M175" i="88"/>
  <c r="K175" i="88"/>
  <c r="I175" i="88"/>
  <c r="G175" i="88"/>
  <c r="O174" i="88"/>
  <c r="M174" i="88"/>
  <c r="K174" i="88"/>
  <c r="I174" i="88"/>
  <c r="G174" i="88"/>
  <c r="O173" i="88"/>
  <c r="M173" i="88"/>
  <c r="K173" i="88"/>
  <c r="I173" i="88"/>
  <c r="G173" i="88"/>
  <c r="O172" i="88"/>
  <c r="M172" i="88"/>
  <c r="K172" i="88"/>
  <c r="I172" i="88"/>
  <c r="G172" i="88"/>
  <c r="O171" i="88"/>
  <c r="M171" i="88"/>
  <c r="K171" i="88"/>
  <c r="I171" i="88"/>
  <c r="G171" i="88"/>
  <c r="O170" i="88"/>
  <c r="M170" i="88"/>
  <c r="K170" i="88"/>
  <c r="I170" i="88"/>
  <c r="G170" i="88"/>
  <c r="O169" i="88"/>
  <c r="M169" i="88"/>
  <c r="K169" i="88"/>
  <c r="I169" i="88"/>
  <c r="G169" i="88"/>
  <c r="O168" i="88"/>
  <c r="M168" i="88"/>
  <c r="K168" i="88"/>
  <c r="I168" i="88"/>
  <c r="G168" i="88"/>
  <c r="O167" i="88"/>
  <c r="M167" i="88"/>
  <c r="K167" i="88"/>
  <c r="I167" i="88"/>
  <c r="G167" i="88"/>
  <c r="O166" i="88"/>
  <c r="M166" i="88"/>
  <c r="K166" i="88"/>
  <c r="I166" i="88"/>
  <c r="G166" i="88"/>
  <c r="O165" i="88"/>
  <c r="M165" i="88"/>
  <c r="K165" i="88"/>
  <c r="I165" i="88"/>
  <c r="G165" i="88"/>
  <c r="O164" i="88"/>
  <c r="M164" i="88"/>
  <c r="K164" i="88"/>
  <c r="I164" i="88"/>
  <c r="G164" i="88"/>
  <c r="O163" i="88"/>
  <c r="M163" i="88"/>
  <c r="K163" i="88"/>
  <c r="I163" i="88"/>
  <c r="G163" i="88"/>
  <c r="O162" i="88"/>
  <c r="M162" i="88"/>
  <c r="K162" i="88"/>
  <c r="I162" i="88"/>
  <c r="G162" i="88"/>
  <c r="O161" i="88"/>
  <c r="M161" i="88"/>
  <c r="K161" i="88"/>
  <c r="I161" i="88"/>
  <c r="G161" i="88"/>
  <c r="O160" i="88"/>
  <c r="M160" i="88"/>
  <c r="K160" i="88"/>
  <c r="I160" i="88"/>
  <c r="G160" i="88"/>
  <c r="O159" i="88"/>
  <c r="M159" i="88"/>
  <c r="K159" i="88"/>
  <c r="I159" i="88"/>
  <c r="G159" i="88"/>
  <c r="O158" i="88"/>
  <c r="M158" i="88"/>
  <c r="K158" i="88"/>
  <c r="I158" i="88"/>
  <c r="G158" i="88"/>
  <c r="O157" i="88"/>
  <c r="M157" i="88"/>
  <c r="K157" i="88"/>
  <c r="I157" i="88"/>
  <c r="G157" i="88"/>
  <c r="O156" i="88"/>
  <c r="M156" i="88"/>
  <c r="K156" i="88"/>
  <c r="I156" i="88"/>
  <c r="G156" i="88"/>
  <c r="O155" i="88"/>
  <c r="M155" i="88"/>
  <c r="K155" i="88"/>
  <c r="I155" i="88"/>
  <c r="G155" i="88"/>
  <c r="O154" i="88"/>
  <c r="M154" i="88"/>
  <c r="K154" i="88"/>
  <c r="I154" i="88"/>
  <c r="G154" i="88"/>
  <c r="O153" i="88"/>
  <c r="M153" i="88"/>
  <c r="K153" i="88"/>
  <c r="I153" i="88"/>
  <c r="G153" i="88"/>
  <c r="O152" i="88"/>
  <c r="M152" i="88"/>
  <c r="K152" i="88"/>
  <c r="I152" i="88"/>
  <c r="G152" i="88"/>
  <c r="O151" i="88"/>
  <c r="M151" i="88"/>
  <c r="K151" i="88"/>
  <c r="I151" i="88"/>
  <c r="G151" i="88"/>
  <c r="O150" i="88"/>
  <c r="M150" i="88"/>
  <c r="K150" i="88"/>
  <c r="I150" i="88"/>
  <c r="G150" i="88"/>
  <c r="O149" i="88"/>
  <c r="M149" i="88"/>
  <c r="K149" i="88"/>
  <c r="I149" i="88"/>
  <c r="G149" i="88"/>
  <c r="O148" i="88"/>
  <c r="M148" i="88"/>
  <c r="K148" i="88"/>
  <c r="I148" i="88"/>
  <c r="G148" i="88"/>
  <c r="O147" i="88"/>
  <c r="M147" i="88"/>
  <c r="K147" i="88"/>
  <c r="I147" i="88"/>
  <c r="G147" i="88"/>
  <c r="O146" i="88"/>
  <c r="M146" i="88"/>
  <c r="K146" i="88"/>
  <c r="I146" i="88"/>
  <c r="G146" i="88"/>
  <c r="O145" i="88"/>
  <c r="M145" i="88"/>
  <c r="K145" i="88"/>
  <c r="I145" i="88"/>
  <c r="G145" i="88"/>
  <c r="O144" i="88"/>
  <c r="M144" i="88"/>
  <c r="K144" i="88"/>
  <c r="I144" i="88"/>
  <c r="G144" i="88"/>
  <c r="O143" i="88"/>
  <c r="M143" i="88"/>
  <c r="K143" i="88"/>
  <c r="I143" i="88"/>
  <c r="G143" i="88"/>
  <c r="O142" i="88"/>
  <c r="M142" i="88"/>
  <c r="K142" i="88"/>
  <c r="I142" i="88"/>
  <c r="G142" i="88"/>
  <c r="O141" i="88"/>
  <c r="M141" i="88"/>
  <c r="K141" i="88"/>
  <c r="I141" i="88"/>
  <c r="G141" i="88"/>
  <c r="O140" i="88"/>
  <c r="M140" i="88"/>
  <c r="K140" i="88"/>
  <c r="I140" i="88"/>
  <c r="G140" i="88"/>
  <c r="O139" i="88"/>
  <c r="M139" i="88"/>
  <c r="K139" i="88"/>
  <c r="I139" i="88"/>
  <c r="G139" i="88"/>
  <c r="O138" i="88"/>
  <c r="M138" i="88"/>
  <c r="K138" i="88"/>
  <c r="I138" i="88"/>
  <c r="G138" i="88"/>
  <c r="O137" i="88"/>
  <c r="M137" i="88"/>
  <c r="K137" i="88"/>
  <c r="I137" i="88"/>
  <c r="G137" i="88"/>
  <c r="O136" i="88"/>
  <c r="M136" i="88"/>
  <c r="K136" i="88"/>
  <c r="I136" i="88"/>
  <c r="G136" i="88"/>
  <c r="O135" i="88"/>
  <c r="M135" i="88"/>
  <c r="K135" i="88"/>
  <c r="I135" i="88"/>
  <c r="G135" i="88"/>
  <c r="O134" i="88"/>
  <c r="M134" i="88"/>
  <c r="K134" i="88"/>
  <c r="I134" i="88"/>
  <c r="G134" i="88"/>
  <c r="O133" i="88"/>
  <c r="M133" i="88"/>
  <c r="K133" i="88"/>
  <c r="I133" i="88"/>
  <c r="G133" i="88"/>
  <c r="O132" i="88"/>
  <c r="M132" i="88"/>
  <c r="K132" i="88"/>
  <c r="I132" i="88"/>
  <c r="G132" i="88"/>
  <c r="O131" i="88"/>
  <c r="M131" i="88"/>
  <c r="K131" i="88"/>
  <c r="I131" i="88"/>
  <c r="G131" i="88"/>
  <c r="O130" i="88"/>
  <c r="M130" i="88"/>
  <c r="K130" i="88"/>
  <c r="I130" i="88"/>
  <c r="G130" i="88"/>
  <c r="O129" i="88"/>
  <c r="M129" i="88"/>
  <c r="K129" i="88"/>
  <c r="I129" i="88"/>
  <c r="G129" i="88"/>
  <c r="O128" i="88"/>
  <c r="M128" i="88"/>
  <c r="K128" i="88"/>
  <c r="I128" i="88"/>
  <c r="G128" i="88"/>
  <c r="O127" i="88"/>
  <c r="M127" i="88"/>
  <c r="K127" i="88"/>
  <c r="I127" i="88"/>
  <c r="G127" i="88"/>
  <c r="O126" i="88"/>
  <c r="M126" i="88"/>
  <c r="K126" i="88"/>
  <c r="I126" i="88"/>
  <c r="G126" i="88"/>
  <c r="O125" i="88"/>
  <c r="M125" i="88"/>
  <c r="K125" i="88"/>
  <c r="I125" i="88"/>
  <c r="G125" i="88"/>
  <c r="O124" i="88"/>
  <c r="M124" i="88"/>
  <c r="K124" i="88"/>
  <c r="I124" i="88"/>
  <c r="G124" i="88"/>
  <c r="O123" i="88"/>
  <c r="M123" i="88"/>
  <c r="K123" i="88"/>
  <c r="I123" i="88"/>
  <c r="G123" i="88"/>
  <c r="O122" i="88"/>
  <c r="M122" i="88"/>
  <c r="K122" i="88"/>
  <c r="I122" i="88"/>
  <c r="G122" i="88"/>
  <c r="O121" i="88"/>
  <c r="M121" i="88"/>
  <c r="K121" i="88"/>
  <c r="I121" i="88"/>
  <c r="G121" i="88"/>
  <c r="O120" i="88"/>
  <c r="M120" i="88"/>
  <c r="K120" i="88"/>
  <c r="I120" i="88"/>
  <c r="G120" i="88"/>
  <c r="O119" i="88"/>
  <c r="M119" i="88"/>
  <c r="K119" i="88"/>
  <c r="I119" i="88"/>
  <c r="G119" i="88"/>
  <c r="O118" i="88"/>
  <c r="M118" i="88"/>
  <c r="K118" i="88"/>
  <c r="I118" i="88"/>
  <c r="G118" i="88"/>
  <c r="O117" i="88"/>
  <c r="M117" i="88"/>
  <c r="K117" i="88"/>
  <c r="I117" i="88"/>
  <c r="G117" i="88"/>
  <c r="O116" i="88"/>
  <c r="M116" i="88"/>
  <c r="K116" i="88"/>
  <c r="I116" i="88"/>
  <c r="G116" i="88"/>
  <c r="O115" i="88"/>
  <c r="M115" i="88"/>
  <c r="K115" i="88"/>
  <c r="I115" i="88"/>
  <c r="G115" i="88"/>
  <c r="O114" i="88"/>
  <c r="M114" i="88"/>
  <c r="K114" i="88"/>
  <c r="I114" i="88"/>
  <c r="G114" i="88"/>
  <c r="O113" i="88"/>
  <c r="M113" i="88"/>
  <c r="K113" i="88"/>
  <c r="I113" i="88"/>
  <c r="G113" i="88"/>
  <c r="O112" i="88"/>
  <c r="M112" i="88"/>
  <c r="K112" i="88"/>
  <c r="I112" i="88"/>
  <c r="G112" i="88"/>
  <c r="O111" i="88"/>
  <c r="M111" i="88"/>
  <c r="K111" i="88"/>
  <c r="I111" i="88"/>
  <c r="G111" i="88"/>
  <c r="O110" i="88"/>
  <c r="M110" i="88"/>
  <c r="K110" i="88"/>
  <c r="I110" i="88"/>
  <c r="G110" i="88"/>
  <c r="O109" i="88"/>
  <c r="M109" i="88"/>
  <c r="K109" i="88"/>
  <c r="I109" i="88"/>
  <c r="G109" i="88"/>
  <c r="O108" i="88"/>
  <c r="M108" i="88"/>
  <c r="K108" i="88"/>
  <c r="I108" i="88"/>
  <c r="G108" i="88"/>
  <c r="O107" i="88"/>
  <c r="M107" i="88"/>
  <c r="K107" i="88"/>
  <c r="I107" i="88"/>
  <c r="G107" i="88"/>
  <c r="O106" i="88"/>
  <c r="M106" i="88"/>
  <c r="K106" i="88"/>
  <c r="I106" i="88"/>
  <c r="G106" i="88"/>
  <c r="O105" i="88"/>
  <c r="M105" i="88"/>
  <c r="K105" i="88"/>
  <c r="I105" i="88"/>
  <c r="G105" i="88"/>
  <c r="O104" i="88"/>
  <c r="M104" i="88"/>
  <c r="K104" i="88"/>
  <c r="I104" i="88"/>
  <c r="G104" i="88"/>
  <c r="O103" i="88"/>
  <c r="M103" i="88"/>
  <c r="K103" i="88"/>
  <c r="I103" i="88"/>
  <c r="G103" i="88"/>
  <c r="O102" i="88"/>
  <c r="M102" i="88"/>
  <c r="K102" i="88"/>
  <c r="I102" i="88"/>
  <c r="G102" i="88"/>
  <c r="O101" i="88"/>
  <c r="M101" i="88"/>
  <c r="K101" i="88"/>
  <c r="I101" i="88"/>
  <c r="G101" i="88"/>
  <c r="O100" i="88"/>
  <c r="M100" i="88"/>
  <c r="K100" i="88"/>
  <c r="I100" i="88"/>
  <c r="G100" i="88"/>
  <c r="O99" i="88"/>
  <c r="M99" i="88"/>
  <c r="K99" i="88"/>
  <c r="I99" i="88"/>
  <c r="G99" i="88"/>
  <c r="O98" i="88"/>
  <c r="M98" i="88"/>
  <c r="K98" i="88"/>
  <c r="I98" i="88"/>
  <c r="G98" i="88"/>
  <c r="O97" i="88"/>
  <c r="M97" i="88"/>
  <c r="K97" i="88"/>
  <c r="I97" i="88"/>
  <c r="G97" i="88"/>
  <c r="O96" i="88"/>
  <c r="M96" i="88"/>
  <c r="K96" i="88"/>
  <c r="I96" i="88"/>
  <c r="G96" i="88"/>
  <c r="O95" i="88"/>
  <c r="M95" i="88"/>
  <c r="K95" i="88"/>
  <c r="I95" i="88"/>
  <c r="G95" i="88"/>
  <c r="O94" i="88"/>
  <c r="M94" i="88"/>
  <c r="K94" i="88"/>
  <c r="I94" i="88"/>
  <c r="G94" i="88"/>
  <c r="O93" i="88"/>
  <c r="M93" i="88"/>
  <c r="K93" i="88"/>
  <c r="I93" i="88"/>
  <c r="G93" i="88"/>
  <c r="O92" i="88"/>
  <c r="M92" i="88"/>
  <c r="K92" i="88"/>
  <c r="I92" i="88"/>
  <c r="G92" i="88"/>
  <c r="O91" i="88"/>
  <c r="M91" i="88"/>
  <c r="K91" i="88"/>
  <c r="I91" i="88"/>
  <c r="G91" i="88"/>
  <c r="O90" i="88"/>
  <c r="M90" i="88"/>
  <c r="K90" i="88"/>
  <c r="I90" i="88"/>
  <c r="G90" i="88"/>
  <c r="O89" i="88"/>
  <c r="M89" i="88"/>
  <c r="K89" i="88"/>
  <c r="I89" i="88"/>
  <c r="G89" i="88"/>
  <c r="O88" i="88"/>
  <c r="M88" i="88"/>
  <c r="K88" i="88"/>
  <c r="I88" i="88"/>
  <c r="G88" i="88"/>
  <c r="O87" i="88"/>
  <c r="M87" i="88"/>
  <c r="K87" i="88"/>
  <c r="I87" i="88"/>
  <c r="G87" i="88"/>
  <c r="O86" i="88"/>
  <c r="M86" i="88"/>
  <c r="K86" i="88"/>
  <c r="I86" i="88"/>
  <c r="G86" i="88"/>
  <c r="O85" i="88"/>
  <c r="M85" i="88"/>
  <c r="K85" i="88"/>
  <c r="I85" i="88"/>
  <c r="G85" i="88"/>
  <c r="O84" i="88"/>
  <c r="M84" i="88"/>
  <c r="K84" i="88"/>
  <c r="I84" i="88"/>
  <c r="G84" i="88"/>
  <c r="O83" i="88"/>
  <c r="M83" i="88"/>
  <c r="K83" i="88"/>
  <c r="I83" i="88"/>
  <c r="G83" i="88"/>
  <c r="O82" i="88"/>
  <c r="M82" i="88"/>
  <c r="K82" i="88"/>
  <c r="I82" i="88"/>
  <c r="G82" i="88"/>
  <c r="O81" i="88"/>
  <c r="M81" i="88"/>
  <c r="K81" i="88"/>
  <c r="I81" i="88"/>
  <c r="G81" i="88"/>
  <c r="O80" i="88"/>
  <c r="M80" i="88"/>
  <c r="K80" i="88"/>
  <c r="I80" i="88"/>
  <c r="G80" i="88"/>
  <c r="O79" i="88"/>
  <c r="M79" i="88"/>
  <c r="K79" i="88"/>
  <c r="I79" i="88"/>
  <c r="G79" i="88"/>
  <c r="O78" i="88"/>
  <c r="M78" i="88"/>
  <c r="K78" i="88"/>
  <c r="I78" i="88"/>
  <c r="G78" i="88"/>
  <c r="O77" i="88"/>
  <c r="M77" i="88"/>
  <c r="K77" i="88"/>
  <c r="I77" i="88"/>
  <c r="G77" i="88"/>
  <c r="O76" i="88"/>
  <c r="M76" i="88"/>
  <c r="K76" i="88"/>
  <c r="I76" i="88"/>
  <c r="G76" i="88"/>
  <c r="O75" i="88"/>
  <c r="M75" i="88"/>
  <c r="K75" i="88"/>
  <c r="I75" i="88"/>
  <c r="G75" i="88"/>
  <c r="O74" i="88"/>
  <c r="M74" i="88"/>
  <c r="K74" i="88"/>
  <c r="I74" i="88"/>
  <c r="G74" i="88"/>
  <c r="O73" i="88"/>
  <c r="M73" i="88"/>
  <c r="K73" i="88"/>
  <c r="I73" i="88"/>
  <c r="G73" i="88"/>
  <c r="O72" i="88"/>
  <c r="M72" i="88"/>
  <c r="K72" i="88"/>
  <c r="I72" i="88"/>
  <c r="G72" i="88"/>
  <c r="O71" i="88"/>
  <c r="M71" i="88"/>
  <c r="K71" i="88"/>
  <c r="I71" i="88"/>
  <c r="G71" i="88"/>
  <c r="O70" i="88"/>
  <c r="M70" i="88"/>
  <c r="K70" i="88"/>
  <c r="I70" i="88"/>
  <c r="G70" i="88"/>
  <c r="O69" i="88"/>
  <c r="M69" i="88"/>
  <c r="K69" i="88"/>
  <c r="I69" i="88"/>
  <c r="G69" i="88"/>
  <c r="O68" i="88"/>
  <c r="M68" i="88"/>
  <c r="K68" i="88"/>
  <c r="I68" i="88"/>
  <c r="G68" i="88"/>
  <c r="O67" i="88"/>
  <c r="M67" i="88"/>
  <c r="K67" i="88"/>
  <c r="I67" i="88"/>
  <c r="G67" i="88"/>
  <c r="O66" i="88"/>
  <c r="M66" i="88"/>
  <c r="K66" i="88"/>
  <c r="I66" i="88"/>
  <c r="G66" i="88"/>
  <c r="O65" i="88"/>
  <c r="M65" i="88"/>
  <c r="K65" i="88"/>
  <c r="I65" i="88"/>
  <c r="G65" i="88"/>
  <c r="O64" i="88"/>
  <c r="M64" i="88"/>
  <c r="K64" i="88"/>
  <c r="I64" i="88"/>
  <c r="G64" i="88"/>
  <c r="O63" i="88"/>
  <c r="M63" i="88"/>
  <c r="K63" i="88"/>
  <c r="I63" i="88"/>
  <c r="G63" i="88"/>
  <c r="O62" i="88"/>
  <c r="M62" i="88"/>
  <c r="K62" i="88"/>
  <c r="I62" i="88"/>
  <c r="G62" i="88"/>
  <c r="O61" i="88"/>
  <c r="M61" i="88"/>
  <c r="K61" i="88"/>
  <c r="I61" i="88"/>
  <c r="G61" i="88"/>
  <c r="O60" i="88"/>
  <c r="M60" i="88"/>
  <c r="K60" i="88"/>
  <c r="I60" i="88"/>
  <c r="G60" i="88"/>
  <c r="O59" i="88"/>
  <c r="M59" i="88"/>
  <c r="K59" i="88"/>
  <c r="I59" i="88"/>
  <c r="G59" i="88"/>
  <c r="O58" i="88"/>
  <c r="M58" i="88"/>
  <c r="K58" i="88"/>
  <c r="I58" i="88"/>
  <c r="G58" i="88"/>
  <c r="O57" i="88"/>
  <c r="M57" i="88"/>
  <c r="K57" i="88"/>
  <c r="I57" i="88"/>
  <c r="G57" i="88"/>
  <c r="O56" i="88"/>
  <c r="M56" i="88"/>
  <c r="K56" i="88"/>
  <c r="I56" i="88"/>
  <c r="G56" i="88"/>
  <c r="O55" i="88"/>
  <c r="M55" i="88"/>
  <c r="K55" i="88"/>
  <c r="I55" i="88"/>
  <c r="G55" i="88"/>
  <c r="O54" i="88"/>
  <c r="M54" i="88"/>
  <c r="K54" i="88"/>
  <c r="I54" i="88"/>
  <c r="G54" i="88"/>
  <c r="O53" i="88"/>
  <c r="M53" i="88"/>
  <c r="K53" i="88"/>
  <c r="I53" i="88"/>
  <c r="G53" i="88"/>
  <c r="O52" i="88"/>
  <c r="M52" i="88"/>
  <c r="K52" i="88"/>
  <c r="I52" i="88"/>
  <c r="G52" i="88"/>
  <c r="O51" i="88"/>
  <c r="M51" i="88"/>
  <c r="K51" i="88"/>
  <c r="I51" i="88"/>
  <c r="G51" i="88"/>
  <c r="O50" i="88"/>
  <c r="M50" i="88"/>
  <c r="K50" i="88"/>
  <c r="I50" i="88"/>
  <c r="G50" i="88"/>
  <c r="O49" i="88"/>
  <c r="M49" i="88"/>
  <c r="K49" i="88"/>
  <c r="I49" i="88"/>
  <c r="G49" i="88"/>
  <c r="O48" i="88"/>
  <c r="M48" i="88"/>
  <c r="K48" i="88"/>
  <c r="I48" i="88"/>
  <c r="G48" i="88"/>
  <c r="O47" i="88"/>
  <c r="M47" i="88"/>
  <c r="K47" i="88"/>
  <c r="I47" i="88"/>
  <c r="G47" i="88"/>
  <c r="O46" i="88"/>
  <c r="M46" i="88"/>
  <c r="K46" i="88"/>
  <c r="I46" i="88"/>
  <c r="G46" i="88"/>
  <c r="O45" i="88"/>
  <c r="M45" i="88"/>
  <c r="K45" i="88"/>
  <c r="I45" i="88"/>
  <c r="G45" i="88"/>
  <c r="O44" i="88"/>
  <c r="M44" i="88"/>
  <c r="K44" i="88"/>
  <c r="I44" i="88"/>
  <c r="G44" i="88"/>
  <c r="O43" i="88"/>
  <c r="M43" i="88"/>
  <c r="K43" i="88"/>
  <c r="I43" i="88"/>
  <c r="G43" i="88"/>
  <c r="O42" i="88"/>
  <c r="M42" i="88"/>
  <c r="K42" i="88"/>
  <c r="I42" i="88"/>
  <c r="G42" i="88"/>
  <c r="O41" i="88"/>
  <c r="M41" i="88"/>
  <c r="K41" i="88"/>
  <c r="I41" i="88"/>
  <c r="G41" i="88"/>
  <c r="O40" i="88"/>
  <c r="M40" i="88"/>
  <c r="K40" i="88"/>
  <c r="I40" i="88"/>
  <c r="G40" i="88"/>
  <c r="O39" i="88"/>
  <c r="M39" i="88"/>
  <c r="K39" i="88"/>
  <c r="I39" i="88"/>
  <c r="G39" i="88"/>
  <c r="O38" i="88"/>
  <c r="M38" i="88"/>
  <c r="K38" i="88"/>
  <c r="I38" i="88"/>
  <c r="G38" i="88"/>
  <c r="O37" i="88"/>
  <c r="M37" i="88"/>
  <c r="K37" i="88"/>
  <c r="I37" i="88"/>
  <c r="G37" i="88"/>
  <c r="O36" i="88"/>
  <c r="M36" i="88"/>
  <c r="K36" i="88"/>
  <c r="I36" i="88"/>
  <c r="G36" i="88"/>
  <c r="O35" i="88"/>
  <c r="M35" i="88"/>
  <c r="K35" i="88"/>
  <c r="I35" i="88"/>
  <c r="G35" i="88"/>
  <c r="O34" i="88"/>
  <c r="M34" i="88"/>
  <c r="K34" i="88"/>
  <c r="I34" i="88"/>
  <c r="G34" i="88"/>
  <c r="O33" i="88"/>
  <c r="M33" i="88"/>
  <c r="K33" i="88"/>
  <c r="I33" i="88"/>
  <c r="G33" i="88"/>
  <c r="O32" i="88"/>
  <c r="M32" i="88"/>
  <c r="K32" i="88"/>
  <c r="I32" i="88"/>
  <c r="G32" i="88"/>
  <c r="O31" i="88"/>
  <c r="M31" i="88"/>
  <c r="K31" i="88"/>
  <c r="I31" i="88"/>
  <c r="G31" i="88"/>
  <c r="O30" i="88"/>
  <c r="M30" i="88"/>
  <c r="K30" i="88"/>
  <c r="I30" i="88"/>
  <c r="G30" i="88"/>
  <c r="O29" i="88"/>
  <c r="M29" i="88"/>
  <c r="K29" i="88"/>
  <c r="I29" i="88"/>
  <c r="G29" i="88"/>
  <c r="O28" i="88"/>
  <c r="M28" i="88"/>
  <c r="K28" i="88"/>
  <c r="I28" i="88"/>
  <c r="G28" i="88"/>
  <c r="O27" i="88"/>
  <c r="M27" i="88"/>
  <c r="K27" i="88"/>
  <c r="I27" i="88"/>
  <c r="G27" i="88"/>
  <c r="O26" i="88"/>
  <c r="M26" i="88"/>
  <c r="K26" i="88"/>
  <c r="I26" i="88"/>
  <c r="G26" i="88"/>
  <c r="O25" i="88"/>
  <c r="M25" i="88"/>
  <c r="K25" i="88"/>
  <c r="I25" i="88"/>
  <c r="G25" i="88"/>
  <c r="E25" i="88"/>
  <c r="Q37" i="88"/>
  <c r="P23" i="88"/>
  <c r="N23" i="88"/>
  <c r="L23" i="88"/>
  <c r="J23" i="88"/>
  <c r="H23" i="88"/>
  <c r="F23" i="88"/>
  <c r="D23" i="88"/>
  <c r="F12" i="88"/>
  <c r="G12" i="88" s="1"/>
  <c r="H12" i="88" s="1"/>
  <c r="I12" i="88" s="1"/>
  <c r="J12" i="88" s="1"/>
  <c r="K12" i="88" s="1"/>
  <c r="L12" i="88" s="1"/>
  <c r="M12" i="88" s="1"/>
  <c r="N12" i="88" s="1"/>
  <c r="O12" i="88" s="1"/>
  <c r="P12" i="88" s="1"/>
  <c r="Q12" i="88" s="1"/>
  <c r="R12" i="88" s="1"/>
  <c r="S12" i="88" s="1"/>
  <c r="D12" i="88"/>
  <c r="E12" i="88" s="1"/>
  <c r="F10" i="88"/>
  <c r="G10" i="88" s="1"/>
  <c r="H10" i="88" s="1"/>
  <c r="I10" i="88" s="1"/>
  <c r="J10" i="88" s="1"/>
  <c r="K10" i="88" s="1"/>
  <c r="L10" i="88" s="1"/>
  <c r="M10" i="88" s="1"/>
  <c r="N10" i="88" s="1"/>
  <c r="O10" i="88" s="1"/>
  <c r="P10" i="88" s="1"/>
  <c r="Q10" i="88" s="1"/>
  <c r="R10" i="88" s="1"/>
  <c r="S10" i="88" s="1"/>
  <c r="D10" i="88"/>
  <c r="E10" i="88" s="1"/>
  <c r="F8" i="88"/>
  <c r="G8" i="88" s="1"/>
  <c r="H8" i="88" s="1"/>
  <c r="I8" i="88" s="1"/>
  <c r="J8" i="88" s="1"/>
  <c r="K8" i="88" s="1"/>
  <c r="L8" i="88" s="1"/>
  <c r="M8" i="88" s="1"/>
  <c r="N8" i="88" s="1"/>
  <c r="O8" i="88" s="1"/>
  <c r="P8" i="88" s="1"/>
  <c r="Q8" i="88" s="1"/>
  <c r="R8" i="88" s="1"/>
  <c r="S8" i="88" s="1"/>
  <c r="D8" i="88"/>
  <c r="E8" i="88" s="1"/>
  <c r="D6" i="88"/>
  <c r="E6" i="88" s="1"/>
  <c r="F6" i="88" s="1"/>
  <c r="G6" i="88" s="1"/>
  <c r="H6" i="88" s="1"/>
  <c r="I6" i="88" s="1"/>
  <c r="J6" i="88" s="1"/>
  <c r="K6" i="88" s="1"/>
  <c r="L6" i="88" s="1"/>
  <c r="M6" i="88" s="1"/>
  <c r="N6" i="88" s="1"/>
  <c r="O6" i="88" s="1"/>
  <c r="P6" i="88" s="1"/>
  <c r="Q6" i="88" s="1"/>
  <c r="R6" i="88" s="1"/>
  <c r="S6" i="88" s="1"/>
  <c r="B5" i="88"/>
  <c r="S2" i="88"/>
  <c r="R2" i="88"/>
  <c r="Q2" i="88"/>
  <c r="P2" i="88"/>
  <c r="O2" i="88"/>
  <c r="N2" i="88"/>
  <c r="M2" i="88"/>
  <c r="L2" i="88"/>
  <c r="K2" i="88"/>
  <c r="J2" i="88"/>
  <c r="I2" i="88"/>
  <c r="H2" i="88"/>
  <c r="G2" i="88"/>
  <c r="F2" i="88"/>
  <c r="E2" i="88"/>
  <c r="D2" i="88"/>
  <c r="C2" i="88"/>
  <c r="F48" i="87"/>
  <c r="G41" i="87"/>
  <c r="F38" i="87"/>
  <c r="E37" i="87"/>
  <c r="F36" i="87"/>
  <c r="F35" i="87"/>
  <c r="F30" i="87"/>
  <c r="C48" i="87" s="1"/>
  <c r="C30" i="87"/>
  <c r="G22" i="87"/>
  <c r="F21" i="87"/>
  <c r="C40" i="87" s="1"/>
  <c r="F20" i="87"/>
  <c r="F39" i="87" s="1"/>
  <c r="E19" i="87"/>
  <c r="C19" i="87"/>
  <c r="E10" i="87"/>
  <c r="E9" i="87"/>
  <c r="F7" i="87"/>
  <c r="G1" i="87"/>
  <c r="A124" i="86"/>
  <c r="A120" i="86"/>
  <c r="A118" i="86"/>
  <c r="E111" i="86"/>
  <c r="A126" i="86" s="1"/>
  <c r="H109" i="86"/>
  <c r="D124" i="86" s="1"/>
  <c r="D125" i="86" s="1"/>
  <c r="E109" i="86"/>
  <c r="E107" i="86"/>
  <c r="A122" i="86" s="1"/>
  <c r="H106" i="86"/>
  <c r="H105" i="86"/>
  <c r="H104" i="86"/>
  <c r="H103" i="86"/>
  <c r="D120" i="86" s="1"/>
  <c r="D101" i="86"/>
  <c r="C101" i="86"/>
  <c r="D93" i="86"/>
  <c r="C91" i="86"/>
  <c r="E90" i="86"/>
  <c r="D89" i="86"/>
  <c r="C89" i="86" s="1"/>
  <c r="C87" i="86" s="1"/>
  <c r="D78" i="86"/>
  <c r="H77" i="86"/>
  <c r="D77" i="86"/>
  <c r="C77" i="86"/>
  <c r="C76" i="86"/>
  <c r="C74" i="86"/>
  <c r="D68" i="86"/>
  <c r="F59" i="86"/>
  <c r="E59" i="86"/>
  <c r="N56" i="86"/>
  <c r="M56" i="86"/>
  <c r="K56" i="86"/>
  <c r="J56" i="86"/>
  <c r="J57" i="86" s="1"/>
  <c r="J59" i="86" s="1"/>
  <c r="J61" i="86" s="1"/>
  <c r="F56" i="86"/>
  <c r="O55" i="86"/>
  <c r="N55" i="86"/>
  <c r="K55" i="86"/>
  <c r="J55" i="86"/>
  <c r="I55" i="86"/>
  <c r="F55" i="86"/>
  <c r="O54" i="86"/>
  <c r="N54" i="86"/>
  <c r="F54" i="86"/>
  <c r="O53" i="86"/>
  <c r="N53" i="86"/>
  <c r="F53" i="86"/>
  <c r="F52" i="86"/>
  <c r="K49" i="86"/>
  <c r="F48" i="86"/>
  <c r="O52" i="86" s="1"/>
  <c r="E48" i="86"/>
  <c r="N52" i="86" s="1"/>
  <c r="D48" i="86"/>
  <c r="M52" i="86" s="1"/>
  <c r="M47" i="86"/>
  <c r="F33" i="86"/>
  <c r="D27" i="86"/>
  <c r="C25" i="86"/>
  <c r="C24" i="86"/>
  <c r="D17" i="86"/>
  <c r="C17" i="86"/>
  <c r="L4" i="86"/>
  <c r="K4" i="86"/>
  <c r="A2" i="86"/>
  <c r="H1" i="86"/>
  <c r="B14" i="74"/>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25" i="31"/>
  <c r="D24" i="31"/>
  <c r="B5"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F145" i="85"/>
  <c r="F146" i="85" s="1"/>
  <c r="F147" i="85" s="1"/>
  <c r="F148" i="85" s="1"/>
  <c r="F149" i="85" s="1"/>
  <c r="F150" i="85" s="1"/>
  <c r="F151" i="85" s="1"/>
  <c r="F152" i="85" s="1"/>
  <c r="F153" i="85" s="1"/>
  <c r="F154" i="85" s="1"/>
  <c r="F155" i="85" s="1"/>
  <c r="F156" i="85" s="1"/>
  <c r="F157" i="85" s="1"/>
  <c r="F158" i="85" s="1"/>
  <c r="F159" i="85" s="1"/>
  <c r="F160" i="85" s="1"/>
  <c r="F161" i="85" s="1"/>
  <c r="F162" i="85" s="1"/>
  <c r="F163" i="85" s="1"/>
  <c r="F164" i="85" s="1"/>
  <c r="F165" i="85" s="1"/>
  <c r="F166" i="85" s="1"/>
  <c r="F167" i="85" s="1"/>
  <c r="F168" i="85" s="1"/>
  <c r="F169" i="85" s="1"/>
  <c r="F170" i="85" s="1"/>
  <c r="F171" i="85" s="1"/>
  <c r="F172" i="85" s="1"/>
  <c r="F173" i="85" s="1"/>
  <c r="F174" i="85" s="1"/>
  <c r="F175" i="85" s="1"/>
  <c r="F176" i="85" s="1"/>
  <c r="F127" i="85"/>
  <c r="F128" i="85" s="1"/>
  <c r="F129" i="85" s="1"/>
  <c r="F130" i="85" s="1"/>
  <c r="F131" i="85" s="1"/>
  <c r="F132" i="85" s="1"/>
  <c r="F133" i="85" s="1"/>
  <c r="F134" i="85" s="1"/>
  <c r="F135" i="85" s="1"/>
  <c r="F136" i="85" s="1"/>
  <c r="F137" i="85" s="1"/>
  <c r="F138" i="85" s="1"/>
  <c r="F139" i="85" s="1"/>
  <c r="F140" i="85" s="1"/>
  <c r="F141" i="85" s="1"/>
  <c r="F142" i="85" s="1"/>
  <c r="F143" i="85" s="1"/>
  <c r="F144" i="85" s="1"/>
  <c r="F113" i="85"/>
  <c r="F114" i="85" s="1"/>
  <c r="F115" i="85" s="1"/>
  <c r="F116" i="85" s="1"/>
  <c r="F117" i="85" s="1"/>
  <c r="F118" i="85" s="1"/>
  <c r="F119" i="85" s="1"/>
  <c r="F120" i="85" s="1"/>
  <c r="F121" i="85" s="1"/>
  <c r="F122" i="85" s="1"/>
  <c r="F123" i="85" s="1"/>
  <c r="F124" i="85" s="1"/>
  <c r="F125" i="85" s="1"/>
  <c r="F126" i="85" s="1"/>
  <c r="F87" i="85"/>
  <c r="F88" i="85" s="1"/>
  <c r="F89" i="85" s="1"/>
  <c r="F90" i="85" s="1"/>
  <c r="F91" i="85" s="1"/>
  <c r="F92" i="85" s="1"/>
  <c r="F93" i="85" s="1"/>
  <c r="F94" i="85" s="1"/>
  <c r="F95" i="85" s="1"/>
  <c r="F96" i="85" s="1"/>
  <c r="F97" i="85" s="1"/>
  <c r="F98" i="85" s="1"/>
  <c r="F99" i="85" s="1"/>
  <c r="F100" i="85" s="1"/>
  <c r="F101" i="85" s="1"/>
  <c r="F102" i="85" s="1"/>
  <c r="F103" i="85" s="1"/>
  <c r="F104" i="85" s="1"/>
  <c r="F105" i="85" s="1"/>
  <c r="F106" i="85" s="1"/>
  <c r="F107" i="85" s="1"/>
  <c r="F108" i="85" s="1"/>
  <c r="F109" i="85" s="1"/>
  <c r="F110" i="85" s="1"/>
  <c r="F111" i="85" s="1"/>
  <c r="F112" i="85" s="1"/>
  <c r="F64" i="85"/>
  <c r="F65" i="85" s="1"/>
  <c r="F66" i="85" s="1"/>
  <c r="F67" i="85" s="1"/>
  <c r="F68" i="85" s="1"/>
  <c r="F69" i="85" s="1"/>
  <c r="F70" i="85" s="1"/>
  <c r="F71" i="85" s="1"/>
  <c r="F72" i="85" s="1"/>
  <c r="F73" i="85" s="1"/>
  <c r="F74" i="85" s="1"/>
  <c r="F75" i="85" s="1"/>
  <c r="F76" i="85" s="1"/>
  <c r="F77" i="85" s="1"/>
  <c r="F78" i="85" s="1"/>
  <c r="F79" i="85" s="1"/>
  <c r="F80" i="85" s="1"/>
  <c r="F81" i="85" s="1"/>
  <c r="F82" i="85" s="1"/>
  <c r="F83" i="85" s="1"/>
  <c r="F84" i="85" s="1"/>
  <c r="F85" i="85" s="1"/>
  <c r="F86" i="85" s="1"/>
  <c r="F63" i="85"/>
  <c r="G27" i="85"/>
  <c r="F27" i="85"/>
  <c r="G6" i="85"/>
  <c r="G7" i="85" s="1"/>
  <c r="G8" i="85" s="1"/>
  <c r="G9" i="85" s="1"/>
  <c r="G10" i="85" s="1"/>
  <c r="G11" i="85" s="1"/>
  <c r="G12" i="85" s="1"/>
  <c r="G13" i="85" s="1"/>
  <c r="G14" i="85" s="1"/>
  <c r="G15" i="85" s="1"/>
  <c r="G16" i="85" s="1"/>
  <c r="G17" i="85" s="1"/>
  <c r="G18" i="85" s="1"/>
  <c r="G19" i="85" s="1"/>
  <c r="G20" i="85" s="1"/>
  <c r="G21" i="85" s="1"/>
  <c r="G22" i="85" s="1"/>
  <c r="G23" i="85" s="1"/>
  <c r="G24" i="85" s="1"/>
  <c r="G25" i="85" s="1"/>
  <c r="G5" i="85"/>
  <c r="F8" i="85"/>
  <c r="F9" i="85"/>
  <c r="F12" i="85" s="1"/>
  <c r="F15" i="85" s="1"/>
  <c r="F18" i="85" s="1"/>
  <c r="F21" i="85" s="1"/>
  <c r="F24" i="85" s="1"/>
  <c r="F10" i="85"/>
  <c r="F11" i="85"/>
  <c r="F14" i="85" s="1"/>
  <c r="F17" i="85" s="1"/>
  <c r="F20" i="85" s="1"/>
  <c r="F23" i="85" s="1"/>
  <c r="F13" i="85"/>
  <c r="F16" i="85" s="1"/>
  <c r="F19" i="85" s="1"/>
  <c r="F22" i="85" s="1"/>
  <c r="F25" i="85" s="1"/>
  <c r="F7" i="85"/>
  <c r="F6" i="85"/>
  <c r="F5" i="85"/>
  <c r="B24" i="31"/>
  <c r="A24" i="31"/>
  <c r="D5" i="85"/>
  <c r="D6" i="85"/>
  <c r="D7" i="85"/>
  <c r="D8" i="85"/>
  <c r="D9" i="85"/>
  <c r="D10" i="85"/>
  <c r="D11" i="85"/>
  <c r="D12" i="85"/>
  <c r="D13" i="85"/>
  <c r="D14" i="85"/>
  <c r="D15" i="85"/>
  <c r="D16" i="85"/>
  <c r="D17" i="85"/>
  <c r="D18" i="85"/>
  <c r="D19" i="85"/>
  <c r="D20" i="85"/>
  <c r="D21" i="85"/>
  <c r="D22" i="85"/>
  <c r="D23" i="85"/>
  <c r="D24" i="85"/>
  <c r="D25" i="85"/>
  <c r="D26" i="85"/>
  <c r="D27" i="85"/>
  <c r="D28" i="85"/>
  <c r="D29" i="85"/>
  <c r="D30" i="85"/>
  <c r="D31" i="85"/>
  <c r="D32" i="85"/>
  <c r="D33" i="85"/>
  <c r="D34" i="85"/>
  <c r="D35" i="85"/>
  <c r="D36" i="85"/>
  <c r="D37" i="85"/>
  <c r="D38" i="85"/>
  <c r="D39" i="85"/>
  <c r="D40" i="85"/>
  <c r="D41" i="85"/>
  <c r="D42" i="85"/>
  <c r="D43" i="85"/>
  <c r="D44" i="85"/>
  <c r="D45" i="85"/>
  <c r="D46" i="85"/>
  <c r="D47" i="85"/>
  <c r="D48" i="85"/>
  <c r="D49" i="85"/>
  <c r="D50" i="85"/>
  <c r="D51" i="85"/>
  <c r="D52" i="85"/>
  <c r="D53" i="85"/>
  <c r="D54" i="85"/>
  <c r="D55" i="85"/>
  <c r="D56" i="85"/>
  <c r="D57" i="85"/>
  <c r="D58" i="85"/>
  <c r="D59" i="85"/>
  <c r="D60" i="85"/>
  <c r="D61" i="85"/>
  <c r="D62" i="85"/>
  <c r="D63" i="85"/>
  <c r="D64" i="85"/>
  <c r="D65" i="85"/>
  <c r="D66" i="85"/>
  <c r="D67" i="85"/>
  <c r="D68" i="85"/>
  <c r="D69" i="85"/>
  <c r="D70" i="85"/>
  <c r="D71" i="85"/>
  <c r="D72" i="85"/>
  <c r="D73" i="85"/>
  <c r="D74" i="85"/>
  <c r="D75" i="85"/>
  <c r="D76" i="85"/>
  <c r="D77" i="85"/>
  <c r="D78" i="85"/>
  <c r="D79" i="85"/>
  <c r="D80" i="85"/>
  <c r="D81" i="85"/>
  <c r="D82" i="85"/>
  <c r="D83" i="85"/>
  <c r="D84" i="85"/>
  <c r="D85" i="85"/>
  <c r="D86" i="85"/>
  <c r="D87" i="85"/>
  <c r="D88" i="85"/>
  <c r="D89" i="85"/>
  <c r="D90" i="85"/>
  <c r="D91" i="85"/>
  <c r="D92" i="85"/>
  <c r="D93" i="85"/>
  <c r="D94" i="85"/>
  <c r="D95" i="85"/>
  <c r="D96" i="85"/>
  <c r="D97" i="85"/>
  <c r="D98" i="85"/>
  <c r="D99" i="85"/>
  <c r="D100" i="85"/>
  <c r="D101" i="85"/>
  <c r="D102" i="85"/>
  <c r="D103" i="85"/>
  <c r="D104" i="85"/>
  <c r="D105" i="85"/>
  <c r="D106" i="85"/>
  <c r="D107" i="85"/>
  <c r="D108" i="85"/>
  <c r="D109" i="85"/>
  <c r="D110" i="85"/>
  <c r="D111" i="85"/>
  <c r="D112" i="85"/>
  <c r="D113" i="85"/>
  <c r="D114" i="85"/>
  <c r="D115" i="85"/>
  <c r="D116" i="85"/>
  <c r="D117" i="85"/>
  <c r="D118" i="85"/>
  <c r="D119" i="85"/>
  <c r="D120" i="85"/>
  <c r="D121" i="85"/>
  <c r="D122" i="85"/>
  <c r="D123" i="85"/>
  <c r="D124" i="85"/>
  <c r="D125" i="85"/>
  <c r="D126" i="85"/>
  <c r="D127" i="85"/>
  <c r="D128" i="85"/>
  <c r="D129" i="85"/>
  <c r="D130" i="85"/>
  <c r="D131" i="85"/>
  <c r="D132" i="85"/>
  <c r="D133" i="85"/>
  <c r="D134" i="85"/>
  <c r="D135" i="85"/>
  <c r="D136" i="85"/>
  <c r="D137" i="85"/>
  <c r="D138" i="85"/>
  <c r="D139" i="85"/>
  <c r="D140" i="85"/>
  <c r="D141" i="85"/>
  <c r="D142" i="85"/>
  <c r="D143" i="85"/>
  <c r="D144" i="85"/>
  <c r="D145" i="85"/>
  <c r="D146" i="85"/>
  <c r="D147" i="85"/>
  <c r="D148" i="85"/>
  <c r="D149" i="85"/>
  <c r="D150" i="85"/>
  <c r="D151" i="85"/>
  <c r="D152" i="85"/>
  <c r="D153" i="85"/>
  <c r="D154" i="85"/>
  <c r="D155" i="85"/>
  <c r="D156" i="85"/>
  <c r="D157" i="85"/>
  <c r="D158" i="85"/>
  <c r="D159" i="85"/>
  <c r="D160" i="85"/>
  <c r="D161" i="85"/>
  <c r="D162" i="85"/>
  <c r="D163" i="85"/>
  <c r="D164" i="85"/>
  <c r="D165" i="85"/>
  <c r="D166" i="85"/>
  <c r="D167" i="85"/>
  <c r="D168" i="85"/>
  <c r="D169" i="85"/>
  <c r="D170" i="85"/>
  <c r="D171" i="85"/>
  <c r="D172" i="85"/>
  <c r="D173" i="85"/>
  <c r="D174" i="85"/>
  <c r="D175" i="85"/>
  <c r="D176" i="85"/>
  <c r="D177" i="85"/>
  <c r="D178" i="85"/>
  <c r="D179" i="85"/>
  <c r="D180" i="85"/>
  <c r="D181" i="85"/>
  <c r="D182" i="85"/>
  <c r="D183" i="85"/>
  <c r="D184" i="85"/>
  <c r="D185" i="85"/>
  <c r="D186" i="85"/>
  <c r="D187" i="85"/>
  <c r="D188" i="85"/>
  <c r="D189" i="85"/>
  <c r="D190" i="85"/>
  <c r="D191" i="85"/>
  <c r="D192" i="85"/>
  <c r="D193" i="85"/>
  <c r="D194" i="85"/>
  <c r="D195" i="85"/>
  <c r="D196" i="85"/>
  <c r="D197" i="85"/>
  <c r="D198" i="85"/>
  <c r="D199" i="85"/>
  <c r="D200" i="85"/>
  <c r="D201" i="85"/>
  <c r="D202" i="85"/>
  <c r="D203" i="85"/>
  <c r="D204" i="85"/>
  <c r="D205" i="85"/>
  <c r="D206" i="85"/>
  <c r="D207" i="85"/>
  <c r="D208" i="85"/>
  <c r="D209" i="85"/>
  <c r="D210" i="85"/>
  <c r="D211" i="85"/>
  <c r="D212" i="85"/>
  <c r="D213" i="85"/>
  <c r="D214" i="85"/>
  <c r="D215" i="85"/>
  <c r="D216" i="85"/>
  <c r="D217" i="85"/>
  <c r="D218" i="85"/>
  <c r="D219" i="85"/>
  <c r="D220" i="85"/>
  <c r="D221" i="85"/>
  <c r="D222" i="85"/>
  <c r="D223" i="85"/>
  <c r="D224" i="85"/>
  <c r="D225" i="85"/>
  <c r="D226" i="85"/>
  <c r="D227" i="85"/>
  <c r="D228" i="85"/>
  <c r="D229" i="85"/>
  <c r="D230" i="85"/>
  <c r="D231" i="85"/>
  <c r="D232" i="85"/>
  <c r="D233" i="85"/>
  <c r="D234" i="85"/>
  <c r="D235" i="85"/>
  <c r="D236" i="85"/>
  <c r="D237" i="85"/>
  <c r="D238" i="85"/>
  <c r="D239" i="85"/>
  <c r="D240" i="85"/>
  <c r="D241" i="85"/>
  <c r="D242" i="85"/>
  <c r="D243" i="85"/>
  <c r="D244" i="85"/>
  <c r="D245" i="85"/>
  <c r="D246" i="85"/>
  <c r="D247" i="85"/>
  <c r="D248" i="85"/>
  <c r="D249" i="85"/>
  <c r="D250" i="85"/>
  <c r="D251" i="85"/>
  <c r="D252" i="85"/>
  <c r="D253" i="85"/>
  <c r="D254" i="85"/>
  <c r="D255" i="85"/>
  <c r="D256" i="85"/>
  <c r="D257" i="85"/>
  <c r="D258" i="85"/>
  <c r="D259" i="85"/>
  <c r="D260" i="85"/>
  <c r="D261" i="85"/>
  <c r="D262" i="85"/>
  <c r="D263" i="85"/>
  <c r="D264" i="85"/>
  <c r="D265" i="85"/>
  <c r="D266" i="85"/>
  <c r="D267" i="85"/>
  <c r="D268" i="85"/>
  <c r="D269" i="85"/>
  <c r="D270" i="85"/>
  <c r="D271" i="85"/>
  <c r="D272" i="85"/>
  <c r="D273" i="85"/>
  <c r="D274" i="85"/>
  <c r="D275" i="85"/>
  <c r="D276" i="85"/>
  <c r="D277" i="85"/>
  <c r="D278" i="85"/>
  <c r="D279" i="85"/>
  <c r="D280" i="85"/>
  <c r="D281" i="85"/>
  <c r="D282" i="85"/>
  <c r="D283" i="85"/>
  <c r="D284" i="85"/>
  <c r="D285" i="85"/>
  <c r="D286" i="85"/>
  <c r="D287" i="85"/>
  <c r="D288" i="85"/>
  <c r="D289" i="85"/>
  <c r="D290" i="85"/>
  <c r="D291" i="85"/>
  <c r="D292" i="85"/>
  <c r="D293" i="85"/>
  <c r="D294" i="85"/>
  <c r="D295" i="85"/>
  <c r="D296" i="85"/>
  <c r="D297" i="85"/>
  <c r="D298" i="85"/>
  <c r="D299" i="85"/>
  <c r="D300" i="85"/>
  <c r="D301" i="85"/>
  <c r="D302" i="85"/>
  <c r="D303" i="85"/>
  <c r="D304" i="85"/>
  <c r="D305" i="85"/>
  <c r="D306" i="85"/>
  <c r="D309" i="85"/>
  <c r="D310" i="85"/>
  <c r="D311" i="85"/>
  <c r="D312" i="85"/>
  <c r="D313" i="85"/>
  <c r="D314" i="85"/>
  <c r="D315" i="85"/>
  <c r="D316" i="85"/>
  <c r="D317" i="85"/>
  <c r="D318" i="85"/>
  <c r="D319" i="85"/>
  <c r="D320" i="85"/>
  <c r="D321" i="85"/>
  <c r="D322" i="85"/>
  <c r="D323" i="85"/>
  <c r="D324" i="85"/>
  <c r="D325" i="85"/>
  <c r="D326" i="85"/>
  <c r="D327" i="85"/>
  <c r="D328" i="85"/>
  <c r="D329" i="85"/>
  <c r="D330" i="85"/>
  <c r="D331" i="85"/>
  <c r="D332" i="85"/>
  <c r="D333" i="85"/>
  <c r="D334" i="85"/>
  <c r="D335" i="85"/>
  <c r="D336" i="85"/>
  <c r="D337" i="85"/>
  <c r="D338" i="85"/>
  <c r="D339" i="85"/>
  <c r="D340" i="85"/>
  <c r="D341" i="85"/>
  <c r="D342" i="85"/>
  <c r="D343" i="85"/>
  <c r="D344" i="85"/>
  <c r="D345" i="85"/>
  <c r="D346" i="85"/>
  <c r="D347" i="85"/>
  <c r="D348" i="85"/>
  <c r="D349" i="85"/>
  <c r="D350" i="85"/>
  <c r="D351" i="85"/>
  <c r="D352" i="85"/>
  <c r="D353" i="85"/>
  <c r="D354" i="85"/>
  <c r="D355" i="85"/>
  <c r="D356" i="85"/>
  <c r="D357" i="85"/>
  <c r="D358" i="85"/>
  <c r="D359" i="85"/>
  <c r="D360" i="85"/>
  <c r="D361" i="85"/>
  <c r="D362" i="85"/>
  <c r="D363" i="85"/>
  <c r="D364" i="85"/>
  <c r="D365" i="85"/>
  <c r="D366" i="85"/>
  <c r="D367" i="85"/>
  <c r="D368" i="85"/>
  <c r="D369" i="85"/>
  <c r="D370" i="85"/>
  <c r="D371" i="85"/>
  <c r="D372" i="85"/>
  <c r="D373" i="85"/>
  <c r="D374" i="85"/>
  <c r="D375" i="85"/>
  <c r="D376" i="85"/>
  <c r="D377" i="85"/>
  <c r="D378" i="85"/>
  <c r="D379" i="85"/>
  <c r="D380" i="85"/>
  <c r="D381" i="85"/>
  <c r="D382" i="85"/>
  <c r="D383" i="85"/>
  <c r="D384" i="85"/>
  <c r="D385" i="85"/>
  <c r="D386" i="85"/>
  <c r="D387" i="85"/>
  <c r="D388" i="85"/>
  <c r="D389" i="85"/>
  <c r="D390" i="85"/>
  <c r="D391" i="85"/>
  <c r="D392" i="85"/>
  <c r="D393" i="85"/>
  <c r="D394" i="85"/>
  <c r="D395" i="85"/>
  <c r="D396" i="85"/>
  <c r="D397" i="85"/>
  <c r="D398" i="85"/>
  <c r="D399" i="85"/>
  <c r="D400" i="85"/>
  <c r="D401" i="85"/>
  <c r="D402" i="85"/>
  <c r="D403" i="85"/>
  <c r="D404" i="85"/>
  <c r="D405" i="85"/>
  <c r="D406" i="85"/>
  <c r="D407" i="85"/>
  <c r="D408" i="85"/>
  <c r="D409" i="85"/>
  <c r="D410" i="85"/>
  <c r="D411" i="85"/>
  <c r="D412" i="85"/>
  <c r="D413" i="85"/>
  <c r="D414" i="85"/>
  <c r="D415" i="85"/>
  <c r="D416" i="85"/>
  <c r="D417" i="85"/>
  <c r="D418" i="85"/>
  <c r="D419" i="85"/>
  <c r="D420" i="85"/>
  <c r="D421" i="85"/>
  <c r="D422" i="85"/>
  <c r="D423" i="85"/>
  <c r="D424" i="85"/>
  <c r="D425" i="85"/>
  <c r="D426" i="85"/>
  <c r="D427" i="85"/>
  <c r="D428" i="85"/>
  <c r="D429" i="85"/>
  <c r="D430" i="85"/>
  <c r="D431" i="85"/>
  <c r="D432" i="85"/>
  <c r="D433" i="85"/>
  <c r="D434" i="85"/>
  <c r="D435" i="85"/>
  <c r="D436" i="85"/>
  <c r="D437" i="85"/>
  <c r="D438" i="85"/>
  <c r="D439" i="85"/>
  <c r="D440" i="85"/>
  <c r="D441" i="85"/>
  <c r="D442" i="85"/>
  <c r="D443" i="85"/>
  <c r="D444" i="85"/>
  <c r="D445" i="85"/>
  <c r="D446" i="85"/>
  <c r="D447" i="85"/>
  <c r="D448" i="85"/>
  <c r="D449" i="85"/>
  <c r="D450" i="85"/>
  <c r="D451" i="85"/>
  <c r="D452" i="85"/>
  <c r="D453" i="85"/>
  <c r="D454" i="85"/>
  <c r="D455" i="85"/>
  <c r="D456" i="85"/>
  <c r="D457" i="85"/>
  <c r="D458" i="85"/>
  <c r="D459" i="85"/>
  <c r="D460" i="85"/>
  <c r="D461" i="85"/>
  <c r="D462" i="85"/>
  <c r="D463" i="85"/>
  <c r="D464" i="85"/>
  <c r="D465" i="85"/>
  <c r="D466" i="85"/>
  <c r="D467" i="85"/>
  <c r="D468" i="85"/>
  <c r="D469" i="85"/>
  <c r="D470" i="85"/>
  <c r="D471" i="85"/>
  <c r="D472" i="85"/>
  <c r="D473" i="85"/>
  <c r="D474" i="85"/>
  <c r="D475" i="85"/>
  <c r="D476" i="85"/>
  <c r="D477" i="85"/>
  <c r="D478" i="85"/>
  <c r="D479" i="85"/>
  <c r="D480" i="85"/>
  <c r="D481" i="85"/>
  <c r="D482" i="85"/>
  <c r="D483" i="85"/>
  <c r="D484" i="85"/>
  <c r="D485" i="85"/>
  <c r="D486" i="85"/>
  <c r="D487" i="85"/>
  <c r="D488" i="85"/>
  <c r="D489" i="85"/>
  <c r="D490" i="85"/>
  <c r="D491" i="85"/>
  <c r="D492" i="85"/>
  <c r="D493" i="85"/>
  <c r="D4" i="85"/>
  <c r="C5" i="85"/>
  <c r="C6" i="85"/>
  <c r="C7" i="85"/>
  <c r="C8" i="85"/>
  <c r="C9" i="85"/>
  <c r="C10" i="85"/>
  <c r="C11" i="85"/>
  <c r="C12" i="85"/>
  <c r="C13" i="85"/>
  <c r="C14" i="85"/>
  <c r="C15" i="85"/>
  <c r="C16" i="85"/>
  <c r="C17" i="85"/>
  <c r="C18" i="85"/>
  <c r="C19" i="85"/>
  <c r="C20" i="85"/>
  <c r="C21" i="85"/>
  <c r="C22" i="85"/>
  <c r="C23" i="85"/>
  <c r="C24" i="85"/>
  <c r="C25" i="85"/>
  <c r="C26" i="85"/>
  <c r="C27" i="85"/>
  <c r="C28" i="85"/>
  <c r="C29" i="85"/>
  <c r="C30" i="85"/>
  <c r="C31" i="85"/>
  <c r="C32" i="85"/>
  <c r="C33" i="85"/>
  <c r="C34" i="85"/>
  <c r="C35" i="85"/>
  <c r="C36" i="85"/>
  <c r="C37" i="85"/>
  <c r="C38" i="85"/>
  <c r="C39" i="85"/>
  <c r="C40" i="85"/>
  <c r="C41" i="85"/>
  <c r="C42" i="85"/>
  <c r="C43" i="85"/>
  <c r="C44" i="85"/>
  <c r="C45" i="85"/>
  <c r="C46" i="85"/>
  <c r="C47" i="85"/>
  <c r="C48" i="85"/>
  <c r="C49" i="85"/>
  <c r="C50" i="85"/>
  <c r="C51" i="85"/>
  <c r="C52" i="85"/>
  <c r="C53" i="85"/>
  <c r="C54" i="85"/>
  <c r="C55" i="85"/>
  <c r="C56" i="85"/>
  <c r="C57" i="85"/>
  <c r="C58" i="85"/>
  <c r="C59" i="85"/>
  <c r="C60" i="85"/>
  <c r="C61" i="85"/>
  <c r="C62" i="85"/>
  <c r="C63" i="85"/>
  <c r="C64" i="85"/>
  <c r="C65" i="85"/>
  <c r="C66" i="85"/>
  <c r="C67" i="85"/>
  <c r="C68" i="85"/>
  <c r="C69" i="85"/>
  <c r="C70" i="85"/>
  <c r="C71" i="85"/>
  <c r="C72" i="85"/>
  <c r="C73" i="85"/>
  <c r="C74" i="85"/>
  <c r="C75" i="85"/>
  <c r="C76" i="85"/>
  <c r="C77" i="85"/>
  <c r="C78" i="85"/>
  <c r="C79" i="85"/>
  <c r="C80" i="85"/>
  <c r="C81" i="85"/>
  <c r="C82" i="85"/>
  <c r="C83" i="85"/>
  <c r="C84" i="85"/>
  <c r="C85" i="85"/>
  <c r="C86" i="85"/>
  <c r="C87" i="85"/>
  <c r="C88" i="85"/>
  <c r="C89" i="85"/>
  <c r="C90" i="85"/>
  <c r="C91" i="85"/>
  <c r="C92" i="85"/>
  <c r="C93" i="85"/>
  <c r="C94" i="85"/>
  <c r="C95" i="85"/>
  <c r="C96" i="85"/>
  <c r="C97" i="85"/>
  <c r="C98" i="85"/>
  <c r="C99" i="85"/>
  <c r="C100" i="85"/>
  <c r="C101" i="85"/>
  <c r="C102" i="85"/>
  <c r="C103" i="85"/>
  <c r="C104" i="85"/>
  <c r="C105" i="85"/>
  <c r="C106" i="85"/>
  <c r="C107" i="85"/>
  <c r="C108" i="85"/>
  <c r="C109" i="85"/>
  <c r="C110" i="85"/>
  <c r="C111" i="85"/>
  <c r="C112" i="85"/>
  <c r="C113" i="85"/>
  <c r="C114" i="85"/>
  <c r="C115" i="85"/>
  <c r="C116" i="85"/>
  <c r="C117" i="85"/>
  <c r="C118" i="85"/>
  <c r="C119" i="85"/>
  <c r="C120" i="85"/>
  <c r="C121" i="85"/>
  <c r="C122" i="85"/>
  <c r="C123" i="85"/>
  <c r="C124" i="85"/>
  <c r="C125" i="85"/>
  <c r="C126" i="85"/>
  <c r="C127" i="85"/>
  <c r="C128" i="85"/>
  <c r="C129" i="85"/>
  <c r="C130" i="85"/>
  <c r="C131" i="85"/>
  <c r="C132" i="85"/>
  <c r="C133" i="85"/>
  <c r="C134" i="85"/>
  <c r="C135" i="85"/>
  <c r="C136" i="85"/>
  <c r="C137" i="85"/>
  <c r="C138" i="85"/>
  <c r="C139" i="85"/>
  <c r="C140" i="85"/>
  <c r="C141" i="85"/>
  <c r="C142" i="85"/>
  <c r="C143" i="85"/>
  <c r="C144" i="85"/>
  <c r="C145" i="85"/>
  <c r="C146" i="85"/>
  <c r="C147" i="85"/>
  <c r="C148" i="85"/>
  <c r="C149" i="85"/>
  <c r="C150" i="85"/>
  <c r="C151" i="85"/>
  <c r="C152" i="85"/>
  <c r="C153" i="85"/>
  <c r="C154" i="85"/>
  <c r="C155" i="85"/>
  <c r="C156" i="85"/>
  <c r="C157" i="85"/>
  <c r="C158" i="85"/>
  <c r="C159" i="85"/>
  <c r="C160" i="85"/>
  <c r="C161" i="85"/>
  <c r="C162" i="85"/>
  <c r="C163" i="85"/>
  <c r="C164" i="85"/>
  <c r="C165" i="85"/>
  <c r="C166" i="85"/>
  <c r="C167" i="85"/>
  <c r="C168" i="85"/>
  <c r="C169" i="85"/>
  <c r="C170" i="85"/>
  <c r="C171" i="85"/>
  <c r="C172" i="85"/>
  <c r="C173" i="85"/>
  <c r="C174" i="85"/>
  <c r="C175" i="85"/>
  <c r="C176" i="85"/>
  <c r="C177" i="85"/>
  <c r="C178" i="85"/>
  <c r="C179" i="85"/>
  <c r="C180" i="85"/>
  <c r="C181" i="85"/>
  <c r="C182" i="85"/>
  <c r="C183" i="85"/>
  <c r="C184" i="85"/>
  <c r="C185" i="85"/>
  <c r="C186" i="85"/>
  <c r="C187" i="85"/>
  <c r="C188" i="85"/>
  <c r="C189" i="85"/>
  <c r="C190" i="85"/>
  <c r="C191" i="85"/>
  <c r="C192" i="85"/>
  <c r="C193" i="85"/>
  <c r="C194" i="85"/>
  <c r="C195" i="85"/>
  <c r="C196" i="85"/>
  <c r="C197" i="85"/>
  <c r="C198" i="85"/>
  <c r="C199" i="85"/>
  <c r="C200" i="85"/>
  <c r="C201" i="85"/>
  <c r="C202" i="85"/>
  <c r="C203" i="85"/>
  <c r="C204" i="85"/>
  <c r="C205" i="85"/>
  <c r="C206" i="85"/>
  <c r="C207" i="85"/>
  <c r="C208" i="85"/>
  <c r="C209" i="85"/>
  <c r="C210" i="85"/>
  <c r="C211" i="85"/>
  <c r="C212" i="85"/>
  <c r="C213" i="85"/>
  <c r="C214" i="85"/>
  <c r="C215" i="85"/>
  <c r="C216" i="85"/>
  <c r="C217" i="85"/>
  <c r="C218" i="85"/>
  <c r="C219" i="85"/>
  <c r="C220" i="85"/>
  <c r="C221" i="85"/>
  <c r="C222" i="85"/>
  <c r="C223" i="85"/>
  <c r="C224" i="85"/>
  <c r="C225" i="85"/>
  <c r="C226" i="85"/>
  <c r="C227" i="85"/>
  <c r="C228" i="85"/>
  <c r="C229" i="85"/>
  <c r="C230" i="85"/>
  <c r="C231" i="85"/>
  <c r="C232" i="85"/>
  <c r="C233" i="85"/>
  <c r="C234" i="85"/>
  <c r="C235" i="85"/>
  <c r="C236" i="85"/>
  <c r="C237" i="85"/>
  <c r="C238" i="85"/>
  <c r="C239" i="85"/>
  <c r="C240" i="85"/>
  <c r="C241" i="85"/>
  <c r="C242" i="85"/>
  <c r="C243" i="85"/>
  <c r="C244" i="85"/>
  <c r="C245" i="85"/>
  <c r="C246" i="85"/>
  <c r="C247" i="85"/>
  <c r="C248" i="85"/>
  <c r="C249" i="85"/>
  <c r="C250" i="85"/>
  <c r="C251" i="85"/>
  <c r="C252" i="85"/>
  <c r="C253" i="85"/>
  <c r="C254" i="85"/>
  <c r="C255" i="85"/>
  <c r="C256" i="85"/>
  <c r="C257" i="85"/>
  <c r="C258" i="85"/>
  <c r="C259" i="85"/>
  <c r="C260" i="85"/>
  <c r="C261" i="85"/>
  <c r="C262" i="85"/>
  <c r="C263" i="85"/>
  <c r="C264" i="85"/>
  <c r="C265" i="85"/>
  <c r="C266" i="85"/>
  <c r="C267" i="85"/>
  <c r="C268" i="85"/>
  <c r="C269" i="85"/>
  <c r="C270" i="85"/>
  <c r="C271" i="85"/>
  <c r="C272" i="85"/>
  <c r="C273" i="85"/>
  <c r="C274" i="85"/>
  <c r="C275" i="85"/>
  <c r="C276" i="85"/>
  <c r="C277" i="85"/>
  <c r="C278" i="85"/>
  <c r="C279" i="85"/>
  <c r="C280" i="85"/>
  <c r="C281" i="85"/>
  <c r="C282" i="85"/>
  <c r="C283" i="85"/>
  <c r="C284" i="85"/>
  <c r="C285" i="85"/>
  <c r="C286" i="85"/>
  <c r="C287" i="85"/>
  <c r="C288" i="85"/>
  <c r="C289" i="85"/>
  <c r="C290" i="85"/>
  <c r="C291" i="85"/>
  <c r="C292" i="85"/>
  <c r="C293" i="85"/>
  <c r="C294" i="85"/>
  <c r="C295" i="85"/>
  <c r="C296" i="85"/>
  <c r="C297" i="85"/>
  <c r="C298" i="85"/>
  <c r="C299" i="85"/>
  <c r="C300" i="85"/>
  <c r="C301" i="85"/>
  <c r="C302" i="85"/>
  <c r="C303" i="85"/>
  <c r="C304" i="85"/>
  <c r="C305" i="85"/>
  <c r="C306" i="85"/>
  <c r="C309" i="85"/>
  <c r="C310" i="85"/>
  <c r="C311" i="85"/>
  <c r="C312" i="85"/>
  <c r="C313" i="85"/>
  <c r="C314" i="85"/>
  <c r="C315" i="85"/>
  <c r="C316" i="85"/>
  <c r="C317" i="85"/>
  <c r="C318" i="85"/>
  <c r="C319" i="85"/>
  <c r="C320" i="85"/>
  <c r="C321" i="85"/>
  <c r="C322" i="85"/>
  <c r="C323" i="85"/>
  <c r="C324" i="85"/>
  <c r="C325" i="85"/>
  <c r="C326" i="85"/>
  <c r="C327" i="85"/>
  <c r="C328" i="85"/>
  <c r="C329" i="85"/>
  <c r="C330" i="85"/>
  <c r="C331" i="85"/>
  <c r="C332" i="85"/>
  <c r="C333" i="85"/>
  <c r="C334" i="85"/>
  <c r="C335" i="85"/>
  <c r="C336" i="85"/>
  <c r="C337" i="85"/>
  <c r="C338" i="85"/>
  <c r="C339" i="85"/>
  <c r="C340" i="85"/>
  <c r="C341" i="85"/>
  <c r="C342" i="85"/>
  <c r="C343" i="85"/>
  <c r="C344" i="85"/>
  <c r="C345" i="85"/>
  <c r="C346" i="85"/>
  <c r="C347" i="85"/>
  <c r="C348" i="85"/>
  <c r="C349" i="85"/>
  <c r="C350" i="85"/>
  <c r="C351" i="85"/>
  <c r="C352" i="85"/>
  <c r="C353" i="85"/>
  <c r="C354" i="85"/>
  <c r="C355" i="85"/>
  <c r="C356" i="85"/>
  <c r="C357" i="85"/>
  <c r="C358" i="85"/>
  <c r="C359" i="85"/>
  <c r="C360" i="85"/>
  <c r="C361" i="85"/>
  <c r="C362" i="85"/>
  <c r="C363" i="85"/>
  <c r="C364" i="85"/>
  <c r="C365" i="85"/>
  <c r="C366" i="85"/>
  <c r="C367" i="85"/>
  <c r="C368" i="85"/>
  <c r="C369" i="85"/>
  <c r="C370" i="85"/>
  <c r="C371" i="85"/>
  <c r="C372" i="85"/>
  <c r="C373" i="85"/>
  <c r="C374" i="85"/>
  <c r="C375" i="85"/>
  <c r="C376" i="85"/>
  <c r="C377" i="85"/>
  <c r="C378" i="85"/>
  <c r="C379" i="85"/>
  <c r="C380" i="85"/>
  <c r="C381" i="85"/>
  <c r="C382" i="85"/>
  <c r="C383" i="85"/>
  <c r="C384" i="85"/>
  <c r="C385" i="85"/>
  <c r="C386" i="85"/>
  <c r="C387" i="85"/>
  <c r="C388" i="85"/>
  <c r="C389" i="85"/>
  <c r="C390" i="85"/>
  <c r="C391" i="85"/>
  <c r="C392" i="85"/>
  <c r="C393" i="85"/>
  <c r="C394" i="85"/>
  <c r="C395" i="85"/>
  <c r="C396" i="85"/>
  <c r="C397" i="85"/>
  <c r="C398" i="85"/>
  <c r="C399" i="85"/>
  <c r="C400" i="85"/>
  <c r="C401" i="85"/>
  <c r="C402" i="85"/>
  <c r="C403" i="85"/>
  <c r="C404" i="85"/>
  <c r="C405" i="85"/>
  <c r="C406" i="85"/>
  <c r="C407" i="85"/>
  <c r="C408" i="85"/>
  <c r="C409" i="85"/>
  <c r="C410" i="85"/>
  <c r="C411" i="85"/>
  <c r="C412" i="85"/>
  <c r="C413" i="85"/>
  <c r="C414" i="85"/>
  <c r="C415" i="85"/>
  <c r="C416" i="85"/>
  <c r="C417" i="85"/>
  <c r="C418" i="85"/>
  <c r="C419" i="85"/>
  <c r="C420" i="85"/>
  <c r="C421" i="85"/>
  <c r="C422" i="85"/>
  <c r="C423" i="85"/>
  <c r="C424" i="85"/>
  <c r="C425" i="85"/>
  <c r="C426" i="85"/>
  <c r="C427" i="85"/>
  <c r="C428" i="85"/>
  <c r="C429" i="85"/>
  <c r="C430" i="85"/>
  <c r="C431" i="85"/>
  <c r="C432" i="85"/>
  <c r="C433" i="85"/>
  <c r="C434" i="85"/>
  <c r="C435" i="85"/>
  <c r="C436" i="85"/>
  <c r="C437" i="85"/>
  <c r="C438" i="85"/>
  <c r="C439" i="85"/>
  <c r="C440" i="85"/>
  <c r="C441" i="85"/>
  <c r="C442" i="85"/>
  <c r="C443" i="85"/>
  <c r="C444" i="85"/>
  <c r="C445" i="85"/>
  <c r="C446" i="85"/>
  <c r="C447" i="85"/>
  <c r="C448" i="85"/>
  <c r="C449" i="85"/>
  <c r="C450" i="85"/>
  <c r="C451" i="85"/>
  <c r="C452" i="85"/>
  <c r="C453" i="85"/>
  <c r="C454" i="85"/>
  <c r="C455" i="85"/>
  <c r="C456" i="85"/>
  <c r="C457" i="85"/>
  <c r="C458" i="85"/>
  <c r="C459" i="85"/>
  <c r="C460" i="85"/>
  <c r="C461" i="85"/>
  <c r="C462" i="85"/>
  <c r="C463" i="85"/>
  <c r="C464" i="85"/>
  <c r="C465" i="85"/>
  <c r="C466" i="85"/>
  <c r="C467" i="85"/>
  <c r="C468" i="85"/>
  <c r="C469" i="85"/>
  <c r="C470" i="85"/>
  <c r="C471" i="85"/>
  <c r="C472" i="85"/>
  <c r="C473" i="85"/>
  <c r="C474" i="85"/>
  <c r="C475" i="85"/>
  <c r="C476" i="85"/>
  <c r="C477" i="85"/>
  <c r="C478" i="85"/>
  <c r="C479" i="85"/>
  <c r="C480" i="85"/>
  <c r="C481" i="85"/>
  <c r="C482" i="85"/>
  <c r="C483" i="85"/>
  <c r="C484" i="85"/>
  <c r="C485" i="85"/>
  <c r="C486" i="85"/>
  <c r="C487" i="85"/>
  <c r="C488" i="85"/>
  <c r="C489" i="85"/>
  <c r="C490" i="85"/>
  <c r="C491" i="85"/>
  <c r="C492" i="85"/>
  <c r="C493" i="85"/>
  <c r="C4" i="85"/>
  <c r="C76" i="91"/>
  <c r="F38" i="91"/>
  <c r="F36" i="91"/>
  <c r="M29" i="91"/>
  <c r="M26" i="91"/>
  <c r="M23" i="91"/>
  <c r="F16" i="91"/>
  <c r="M9" i="91"/>
  <c r="M6" i="91"/>
  <c r="F42" i="91"/>
  <c r="M28" i="91"/>
  <c r="M22" i="91"/>
  <c r="F7" i="91"/>
  <c r="F37" i="91"/>
  <c r="M27" i="91"/>
  <c r="F26" i="91"/>
  <c r="J15" i="91"/>
  <c r="F13" i="91"/>
  <c r="M8" i="91"/>
  <c r="F6" i="91"/>
  <c r="F43" i="91"/>
  <c r="F40" i="91"/>
  <c r="M24" i="91"/>
  <c r="F8" i="91"/>
  <c r="F9" i="91"/>
  <c r="D9" i="90"/>
  <c r="F27" i="90"/>
  <c r="E2" i="87"/>
  <c r="F27" i="87"/>
  <c r="D34" i="86"/>
  <c r="F20" i="88"/>
  <c r="D35" i="86"/>
  <c r="C18" i="86" l="1"/>
  <c r="D18" i="86" s="1"/>
  <c r="F51" i="91"/>
  <c r="F68" i="91"/>
  <c r="F71" i="91"/>
  <c r="C6" i="91"/>
  <c r="C27" i="91"/>
  <c r="F65" i="91"/>
  <c r="F50" i="91"/>
  <c r="M7" i="91"/>
  <c r="J6" i="91" s="1"/>
  <c r="F64" i="91"/>
  <c r="F66" i="91"/>
  <c r="Q71" i="91"/>
  <c r="F45" i="90"/>
  <c r="D19" i="90"/>
  <c r="D37" i="90" s="1"/>
  <c r="C37" i="90" s="1"/>
  <c r="C33" i="90" s="1"/>
  <c r="C9" i="90"/>
  <c r="C8" i="90" s="1"/>
  <c r="C29" i="90"/>
  <c r="D27" i="90" s="1"/>
  <c r="C47" i="90"/>
  <c r="D45" i="90" s="1"/>
  <c r="D124" i="89"/>
  <c r="D125" i="89" s="1"/>
  <c r="H110" i="89"/>
  <c r="C25" i="88"/>
  <c r="Q25" i="88"/>
  <c r="E26" i="88"/>
  <c r="C27" i="88"/>
  <c r="Q27" i="88"/>
  <c r="E28" i="88"/>
  <c r="C29" i="88"/>
  <c r="Q29" i="88"/>
  <c r="E30" i="88"/>
  <c r="C31" i="88"/>
  <c r="Q31" i="88"/>
  <c r="E32" i="88"/>
  <c r="C33" i="88"/>
  <c r="Q33" i="88"/>
  <c r="E34" i="88"/>
  <c r="C35" i="88"/>
  <c r="Q35" i="88"/>
  <c r="E36" i="88"/>
  <c r="C37" i="88"/>
  <c r="E38" i="88"/>
  <c r="C39" i="88"/>
  <c r="E40" i="88"/>
  <c r="E42" i="88"/>
  <c r="E44" i="88"/>
  <c r="E46" i="88"/>
  <c r="E48" i="88"/>
  <c r="E50" i="88"/>
  <c r="E52" i="88"/>
  <c r="E54" i="88"/>
  <c r="E56" i="88"/>
  <c r="E58" i="88"/>
  <c r="E60" i="88"/>
  <c r="E62" i="88"/>
  <c r="E64" i="88"/>
  <c r="E66" i="88"/>
  <c r="E68" i="88"/>
  <c r="E70" i="88"/>
  <c r="E72" i="88"/>
  <c r="E74" i="88"/>
  <c r="E76" i="88"/>
  <c r="E78" i="88"/>
  <c r="E80" i="88"/>
  <c r="E82" i="88"/>
  <c r="E84" i="88"/>
  <c r="E86" i="88"/>
  <c r="E88" i="88"/>
  <c r="E90" i="88"/>
  <c r="E92" i="88"/>
  <c r="E94" i="88"/>
  <c r="E96" i="88"/>
  <c r="E98" i="88"/>
  <c r="E100" i="88"/>
  <c r="E102" i="88"/>
  <c r="E104" i="88"/>
  <c r="E106" i="88"/>
  <c r="E108" i="88"/>
  <c r="E110" i="88"/>
  <c r="E112" i="88"/>
  <c r="E114" i="88"/>
  <c r="E116" i="88"/>
  <c r="E118" i="88"/>
  <c r="E120" i="88"/>
  <c r="E122" i="88"/>
  <c r="E124" i="88"/>
  <c r="E126" i="88"/>
  <c r="E128" i="88"/>
  <c r="E130" i="88"/>
  <c r="E132" i="88"/>
  <c r="E134" i="88"/>
  <c r="E136" i="88"/>
  <c r="E138" i="88"/>
  <c r="E140" i="88"/>
  <c r="E142" i="88"/>
  <c r="E144" i="88"/>
  <c r="E146" i="88"/>
  <c r="E148" i="88"/>
  <c r="E150" i="88"/>
  <c r="E152" i="88"/>
  <c r="E154" i="88"/>
  <c r="E156" i="88"/>
  <c r="E158" i="88"/>
  <c r="E160" i="88"/>
  <c r="E162" i="88"/>
  <c r="E164" i="88"/>
  <c r="E166" i="88"/>
  <c r="E168" i="88"/>
  <c r="E170" i="88"/>
  <c r="E172" i="88"/>
  <c r="C325" i="88"/>
  <c r="C324" i="88"/>
  <c r="C323" i="88"/>
  <c r="C322" i="88"/>
  <c r="C321" i="88"/>
  <c r="C320" i="88"/>
  <c r="C319" i="88"/>
  <c r="C318" i="88"/>
  <c r="C317" i="88"/>
  <c r="C316" i="88"/>
  <c r="C315" i="88"/>
  <c r="C314" i="88"/>
  <c r="C313" i="88"/>
  <c r="C312" i="88"/>
  <c r="C311" i="88"/>
  <c r="C310" i="88"/>
  <c r="C309" i="88"/>
  <c r="C308" i="88"/>
  <c r="C307" i="88"/>
  <c r="C306" i="88"/>
  <c r="C305" i="88"/>
  <c r="C304" i="88"/>
  <c r="C303" i="88"/>
  <c r="C302" i="88"/>
  <c r="C301" i="88"/>
  <c r="C300" i="88"/>
  <c r="C299" i="88"/>
  <c r="C298" i="88"/>
  <c r="C269" i="88"/>
  <c r="C268" i="88"/>
  <c r="B22" i="88"/>
  <c r="Q524" i="88"/>
  <c r="Q523" i="88"/>
  <c r="Q522" i="88"/>
  <c r="Q521" i="88"/>
  <c r="Q520" i="88"/>
  <c r="Q519" i="88"/>
  <c r="Q518" i="88"/>
  <c r="Q517" i="88"/>
  <c r="Q516" i="88"/>
  <c r="Q515" i="88"/>
  <c r="Q514" i="88"/>
  <c r="Q513" i="88"/>
  <c r="Q512" i="88"/>
  <c r="Q511" i="88"/>
  <c r="Q510" i="88"/>
  <c r="Q509" i="88"/>
  <c r="Q508" i="88"/>
  <c r="Q507" i="88"/>
  <c r="Q506" i="88"/>
  <c r="Q505" i="88"/>
  <c r="Q504" i="88"/>
  <c r="Q503" i="88"/>
  <c r="Q502" i="88"/>
  <c r="Q501" i="88"/>
  <c r="Q500" i="88"/>
  <c r="Q499" i="88"/>
  <c r="Q498" i="88"/>
  <c r="Q497" i="88"/>
  <c r="Q496" i="88"/>
  <c r="Q495" i="88"/>
  <c r="Q494" i="88"/>
  <c r="Q493" i="88"/>
  <c r="Q492" i="88"/>
  <c r="Q491" i="88"/>
  <c r="Q490" i="88"/>
  <c r="Q489" i="88"/>
  <c r="Q488" i="88"/>
  <c r="Q487" i="88"/>
  <c r="Q486" i="88"/>
  <c r="Q485" i="88"/>
  <c r="Q484" i="88"/>
  <c r="Q483" i="88"/>
  <c r="Q482" i="88"/>
  <c r="Q481" i="88"/>
  <c r="Q480" i="88"/>
  <c r="Q479" i="88"/>
  <c r="Q478" i="88"/>
  <c r="Q477" i="88"/>
  <c r="Q476" i="88"/>
  <c r="Q475" i="88"/>
  <c r="Q474" i="88"/>
  <c r="Q473" i="88"/>
  <c r="Q472" i="88"/>
  <c r="Q471" i="88"/>
  <c r="Q470" i="88"/>
  <c r="Q469" i="88"/>
  <c r="Q468" i="88"/>
  <c r="Q467" i="88"/>
  <c r="Q466" i="88"/>
  <c r="Q465" i="88"/>
  <c r="Q464" i="88"/>
  <c r="Q463" i="88"/>
  <c r="Q462" i="88"/>
  <c r="Q461" i="88"/>
  <c r="Q460" i="88"/>
  <c r="Q459" i="88"/>
  <c r="Q458" i="88"/>
  <c r="Q457" i="88"/>
  <c r="Q456" i="88"/>
  <c r="Q455" i="88"/>
  <c r="Q454" i="88"/>
  <c r="Q453" i="88"/>
  <c r="Q452" i="88"/>
  <c r="Q451" i="88"/>
  <c r="Q450" i="88"/>
  <c r="Q449" i="88"/>
  <c r="Q448" i="88"/>
  <c r="Q447" i="88"/>
  <c r="Q446" i="88"/>
  <c r="Q445" i="88"/>
  <c r="Q444" i="88"/>
  <c r="Q443" i="88"/>
  <c r="Q442" i="88"/>
  <c r="Q441" i="88"/>
  <c r="Q440" i="88"/>
  <c r="Q439" i="88"/>
  <c r="Q438" i="88"/>
  <c r="Q437" i="88"/>
  <c r="Q436" i="88"/>
  <c r="Q435" i="88"/>
  <c r="Q434" i="88"/>
  <c r="Q433" i="88"/>
  <c r="Q432" i="88"/>
  <c r="Q431" i="88"/>
  <c r="Q430" i="88"/>
  <c r="Q429" i="88"/>
  <c r="Q428" i="88"/>
  <c r="Q427" i="88"/>
  <c r="Q426" i="88"/>
  <c r="Q425" i="88"/>
  <c r="Q424" i="88"/>
  <c r="Q423" i="88"/>
  <c r="Q422" i="88"/>
  <c r="Q421" i="88"/>
  <c r="Q420" i="88"/>
  <c r="Q419" i="88"/>
  <c r="Q418" i="88"/>
  <c r="Q417" i="88"/>
  <c r="Q416" i="88"/>
  <c r="Q415" i="88"/>
  <c r="Q414" i="88"/>
  <c r="Q413" i="88"/>
  <c r="Q412" i="88"/>
  <c r="Q411" i="88"/>
  <c r="Q410" i="88"/>
  <c r="Q409" i="88"/>
  <c r="Q408" i="88"/>
  <c r="Q407" i="88"/>
  <c r="Q406" i="88"/>
  <c r="Q405" i="88"/>
  <c r="Q404" i="88"/>
  <c r="Q403" i="88"/>
  <c r="Q402" i="88"/>
  <c r="Q401" i="88"/>
  <c r="Q400" i="88"/>
  <c r="Q399" i="88"/>
  <c r="Q398" i="88"/>
  <c r="Q397" i="88"/>
  <c r="Q396" i="88"/>
  <c r="Q395" i="88"/>
  <c r="Q394" i="88"/>
  <c r="Q393" i="88"/>
  <c r="Q392" i="88"/>
  <c r="Q391" i="88"/>
  <c r="Q390" i="88"/>
  <c r="Q389" i="88"/>
  <c r="Q388" i="88"/>
  <c r="Q387" i="88"/>
  <c r="Q386" i="88"/>
  <c r="Q385" i="88"/>
  <c r="Q384" i="88"/>
  <c r="Q383" i="88"/>
  <c r="Q382" i="88"/>
  <c r="Q381" i="88"/>
  <c r="Q380" i="88"/>
  <c r="Q379" i="88"/>
  <c r="Q378" i="88"/>
  <c r="Q377" i="88"/>
  <c r="Q376" i="88"/>
  <c r="Q375" i="88"/>
  <c r="Q374" i="88"/>
  <c r="Q373" i="88"/>
  <c r="Q372" i="88"/>
  <c r="Q371" i="88"/>
  <c r="Q370" i="88"/>
  <c r="Q369" i="88"/>
  <c r="Q368" i="88"/>
  <c r="Q367" i="88"/>
  <c r="Q366" i="88"/>
  <c r="Q365" i="88"/>
  <c r="Q364" i="88"/>
  <c r="Q363" i="88"/>
  <c r="Q362" i="88"/>
  <c r="Q361" i="88"/>
  <c r="Q360" i="88"/>
  <c r="Q359" i="88"/>
  <c r="Q358" i="88"/>
  <c r="Q357" i="88"/>
  <c r="Q356" i="88"/>
  <c r="Q355" i="88"/>
  <c r="Q354" i="88"/>
  <c r="Q353" i="88"/>
  <c r="Q352" i="88"/>
  <c r="Q351" i="88"/>
  <c r="Q350" i="88"/>
  <c r="Q349" i="88"/>
  <c r="Q348" i="88"/>
  <c r="Q347" i="88"/>
  <c r="Q346" i="88"/>
  <c r="Q345" i="88"/>
  <c r="Q344" i="88"/>
  <c r="Q343" i="88"/>
  <c r="Q342" i="88"/>
  <c r="Q341" i="88"/>
  <c r="Q340" i="88"/>
  <c r="Q339" i="88"/>
  <c r="Q338" i="88"/>
  <c r="Q337" i="88"/>
  <c r="Q336" i="88"/>
  <c r="Q335" i="88"/>
  <c r="Q334" i="88"/>
  <c r="Q333" i="88"/>
  <c r="Q332" i="88"/>
  <c r="Q331" i="88"/>
  <c r="Q330" i="88"/>
  <c r="Q329" i="88"/>
  <c r="Q328" i="88"/>
  <c r="Q327" i="88"/>
  <c r="Q326" i="88"/>
  <c r="Q296" i="88"/>
  <c r="Q295" i="88"/>
  <c r="Q294" i="88"/>
  <c r="Q293" i="88"/>
  <c r="Q292" i="88"/>
  <c r="Q291" i="88"/>
  <c r="Q290" i="88"/>
  <c r="Q289" i="88"/>
  <c r="Q288" i="88"/>
  <c r="Q287" i="88"/>
  <c r="Q286" i="88"/>
  <c r="Q284" i="88"/>
  <c r="Q282" i="88"/>
  <c r="Q280" i="88"/>
  <c r="Q278" i="88"/>
  <c r="Q276" i="88"/>
  <c r="Q274" i="88"/>
  <c r="Q272" i="88"/>
  <c r="Q270" i="88"/>
  <c r="Q266" i="88"/>
  <c r="Q265" i="88"/>
  <c r="Q264" i="88"/>
  <c r="Q263" i="88"/>
  <c r="Q262" i="88"/>
  <c r="Q261" i="88"/>
  <c r="Q260" i="88"/>
  <c r="Q259" i="88"/>
  <c r="Q258" i="88"/>
  <c r="Q257" i="88"/>
  <c r="Q256" i="88"/>
  <c r="Q255" i="88"/>
  <c r="Q254" i="88"/>
  <c r="Q253" i="88"/>
  <c r="Q252" i="88"/>
  <c r="Q251" i="88"/>
  <c r="Q250" i="88"/>
  <c r="Q249" i="88"/>
  <c r="Q248" i="88"/>
  <c r="Q247" i="88"/>
  <c r="Q246" i="88"/>
  <c r="Q245" i="88"/>
  <c r="Q244" i="88"/>
  <c r="Q243" i="88"/>
  <c r="Q242" i="88"/>
  <c r="Q241" i="88"/>
  <c r="Q240" i="88"/>
  <c r="Q239" i="88"/>
  <c r="Q238" i="88"/>
  <c r="Q237" i="88"/>
  <c r="Q236" i="88"/>
  <c r="Q235" i="88"/>
  <c r="Q234" i="88"/>
  <c r="Q233" i="88"/>
  <c r="Q232" i="88"/>
  <c r="Q231" i="88"/>
  <c r="Q230" i="88"/>
  <c r="Q229" i="88"/>
  <c r="Q228" i="88"/>
  <c r="Q227" i="88"/>
  <c r="Q226" i="88"/>
  <c r="Q225" i="88"/>
  <c r="Q224" i="88"/>
  <c r="Q223" i="88"/>
  <c r="Q222" i="88"/>
  <c r="Q221" i="88"/>
  <c r="Q220" i="88"/>
  <c r="Q219" i="88"/>
  <c r="Q218" i="88"/>
  <c r="Q217" i="88"/>
  <c r="Q216" i="88"/>
  <c r="Q215" i="88"/>
  <c r="Q214" i="88"/>
  <c r="Q213" i="88"/>
  <c r="Q212" i="88"/>
  <c r="Q211" i="88"/>
  <c r="Q210" i="88"/>
  <c r="Q209" i="88"/>
  <c r="Q208" i="88"/>
  <c r="Q207" i="88"/>
  <c r="Q285" i="88"/>
  <c r="Q283" i="88"/>
  <c r="Q281" i="88"/>
  <c r="Q279" i="88"/>
  <c r="Q277" i="88"/>
  <c r="Q275" i="88"/>
  <c r="Q273" i="88"/>
  <c r="Q271" i="88"/>
  <c r="Q269" i="88"/>
  <c r="Q206" i="88"/>
  <c r="Q204" i="88"/>
  <c r="Q202" i="88"/>
  <c r="Q200" i="88"/>
  <c r="Q198" i="88"/>
  <c r="Q196" i="88"/>
  <c r="Q194" i="88"/>
  <c r="Q192" i="88"/>
  <c r="Q190" i="88"/>
  <c r="Q188" i="88"/>
  <c r="Q186" i="88"/>
  <c r="Q184" i="88"/>
  <c r="Q182" i="88"/>
  <c r="Q180" i="88"/>
  <c r="Q178" i="88"/>
  <c r="Q176" i="88"/>
  <c r="Q174" i="88"/>
  <c r="Q173" i="88"/>
  <c r="Q172" i="88"/>
  <c r="Q171" i="88"/>
  <c r="Q170" i="88"/>
  <c r="Q169" i="88"/>
  <c r="Q168" i="88"/>
  <c r="Q167" i="88"/>
  <c r="Q166" i="88"/>
  <c r="Q165" i="88"/>
  <c r="Q164" i="88"/>
  <c r="Q163" i="88"/>
  <c r="Q162" i="8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72" i="88"/>
  <c r="Q70" i="88"/>
  <c r="Q68" i="88"/>
  <c r="Q66" i="88"/>
  <c r="Q64" i="88"/>
  <c r="Q62" i="88"/>
  <c r="Q60" i="88"/>
  <c r="Q59" i="88"/>
  <c r="Q56" i="88"/>
  <c r="Q55" i="88"/>
  <c r="Q53" i="88"/>
  <c r="Q51" i="88"/>
  <c r="Q49" i="88"/>
  <c r="Q47" i="88"/>
  <c r="Q45" i="88"/>
  <c r="Q43" i="88"/>
  <c r="Q41" i="88"/>
  <c r="Q39" i="88"/>
  <c r="Q205" i="88"/>
  <c r="Q203" i="88"/>
  <c r="Q201" i="88"/>
  <c r="Q199" i="88"/>
  <c r="Q197" i="88"/>
  <c r="Q195" i="88"/>
  <c r="Q193" i="88"/>
  <c r="Q191" i="88"/>
  <c r="Q189" i="88"/>
  <c r="Q187" i="88"/>
  <c r="Q185" i="88"/>
  <c r="Q183" i="88"/>
  <c r="Q181" i="88"/>
  <c r="Q179" i="88"/>
  <c r="Q177" i="88"/>
  <c r="Q175" i="88"/>
  <c r="Q80" i="88"/>
  <c r="Q79" i="88"/>
  <c r="Q78" i="88"/>
  <c r="Q77" i="88"/>
  <c r="Q76" i="88"/>
  <c r="Q75" i="88"/>
  <c r="Q74" i="88"/>
  <c r="Q73" i="88"/>
  <c r="Q71" i="88"/>
  <c r="Q69" i="88"/>
  <c r="Q67" i="88"/>
  <c r="Q65" i="88"/>
  <c r="Q63" i="88"/>
  <c r="Q61" i="88"/>
  <c r="Q58" i="88"/>
  <c r="Q57" i="88"/>
  <c r="Q54" i="88"/>
  <c r="Q52" i="88"/>
  <c r="Q50" i="88"/>
  <c r="Q48" i="88"/>
  <c r="Q46" i="88"/>
  <c r="Q44" i="88"/>
  <c r="Q42" i="88"/>
  <c r="Q40" i="88"/>
  <c r="C26" i="88"/>
  <c r="Q26" i="88"/>
  <c r="E27" i="88"/>
  <c r="C28" i="88"/>
  <c r="Q28" i="88"/>
  <c r="E29" i="88"/>
  <c r="C30" i="88"/>
  <c r="Q30" i="88"/>
  <c r="E31" i="88"/>
  <c r="C32" i="88"/>
  <c r="Q32" i="88"/>
  <c r="E33" i="88"/>
  <c r="C34" i="88"/>
  <c r="Q34" i="88"/>
  <c r="E35" i="88"/>
  <c r="C36" i="88"/>
  <c r="Q36" i="88"/>
  <c r="E37" i="88"/>
  <c r="C38" i="88"/>
  <c r="Q38" i="88"/>
  <c r="E39" i="88"/>
  <c r="E41" i="88"/>
  <c r="E43" i="88"/>
  <c r="E45" i="88"/>
  <c r="E47" i="88"/>
  <c r="E49" i="88"/>
  <c r="E51" i="88"/>
  <c r="E53" i="88"/>
  <c r="E55" i="88"/>
  <c r="E57" i="88"/>
  <c r="E59" i="88"/>
  <c r="E61" i="88"/>
  <c r="E63" i="88"/>
  <c r="E65" i="88"/>
  <c r="E67" i="88"/>
  <c r="E69" i="88"/>
  <c r="E71" i="88"/>
  <c r="E73" i="88"/>
  <c r="E75" i="88"/>
  <c r="E77" i="88"/>
  <c r="E79" i="88"/>
  <c r="E81" i="88"/>
  <c r="E83" i="88"/>
  <c r="E85" i="88"/>
  <c r="E87" i="88"/>
  <c r="E89" i="88"/>
  <c r="E91" i="88"/>
  <c r="E93" i="88"/>
  <c r="E95" i="88"/>
  <c r="E97" i="88"/>
  <c r="E99" i="88"/>
  <c r="E101" i="88"/>
  <c r="E103" i="88"/>
  <c r="E105" i="88"/>
  <c r="E107" i="88"/>
  <c r="E109" i="88"/>
  <c r="E111" i="88"/>
  <c r="E113" i="88"/>
  <c r="E115" i="88"/>
  <c r="E117" i="88"/>
  <c r="E119" i="88"/>
  <c r="E121" i="88"/>
  <c r="E123" i="88"/>
  <c r="E125" i="88"/>
  <c r="E127" i="88"/>
  <c r="E129" i="88"/>
  <c r="E131" i="88"/>
  <c r="E133" i="88"/>
  <c r="E135" i="88"/>
  <c r="E137" i="88"/>
  <c r="E139" i="88"/>
  <c r="E141" i="88"/>
  <c r="E143" i="88"/>
  <c r="E145" i="88"/>
  <c r="E147" i="88"/>
  <c r="E149" i="88"/>
  <c r="E151" i="88"/>
  <c r="E153" i="88"/>
  <c r="E155" i="88"/>
  <c r="E157" i="88"/>
  <c r="E159" i="88"/>
  <c r="E161" i="88"/>
  <c r="E163" i="88"/>
  <c r="E165" i="88"/>
  <c r="E167" i="88"/>
  <c r="E169" i="88"/>
  <c r="E171" i="88"/>
  <c r="E173" i="88"/>
  <c r="E524" i="88"/>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8" i="88"/>
  <c r="E447" i="88"/>
  <c r="E446" i="88"/>
  <c r="E445" i="88"/>
  <c r="E444" i="88"/>
  <c r="E443"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5" i="88"/>
  <c r="E354" i="88"/>
  <c r="E353" i="88"/>
  <c r="E352" i="88"/>
  <c r="E351" i="88"/>
  <c r="E350" i="88"/>
  <c r="E349" i="88"/>
  <c r="E348" i="88"/>
  <c r="E347" i="88"/>
  <c r="E346" i="88"/>
  <c r="E345" i="88"/>
  <c r="E344" i="88"/>
  <c r="E343" i="88"/>
  <c r="E342" i="88"/>
  <c r="E341" i="88"/>
  <c r="E340" i="88"/>
  <c r="E339" i="88"/>
  <c r="E338" i="88"/>
  <c r="E337" i="88"/>
  <c r="E336" i="88"/>
  <c r="E335" i="88"/>
  <c r="E334" i="88"/>
  <c r="E333" i="88"/>
  <c r="E332" i="88"/>
  <c r="E331" i="88"/>
  <c r="E330" i="88"/>
  <c r="E329" i="88"/>
  <c r="E328" i="88"/>
  <c r="E327" i="88"/>
  <c r="E326" i="88"/>
  <c r="E325" i="88"/>
  <c r="E324" i="88"/>
  <c r="E323" i="88"/>
  <c r="E322" i="88"/>
  <c r="E321" i="88"/>
  <c r="E320" i="88"/>
  <c r="E319" i="88"/>
  <c r="E318" i="88"/>
  <c r="E317" i="88"/>
  <c r="E316" i="88"/>
  <c r="E315" i="88"/>
  <c r="E314" i="88"/>
  <c r="E313" i="88"/>
  <c r="E312" i="88"/>
  <c r="E311" i="88"/>
  <c r="E310" i="88"/>
  <c r="E309" i="88"/>
  <c r="E308" i="88"/>
  <c r="E307" i="88"/>
  <c r="E306" i="88"/>
  <c r="E305" i="88"/>
  <c r="E304" i="88"/>
  <c r="E303" i="88"/>
  <c r="E302" i="88"/>
  <c r="E301" i="88"/>
  <c r="E300" i="88"/>
  <c r="E299" i="88"/>
  <c r="E298" i="88"/>
  <c r="E268" i="88"/>
  <c r="C40" i="88"/>
  <c r="C41" i="88"/>
  <c r="C42" i="88"/>
  <c r="C43" i="88"/>
  <c r="C44" i="88"/>
  <c r="C45" i="88"/>
  <c r="C46" i="88"/>
  <c r="C47" i="88"/>
  <c r="C48" i="88"/>
  <c r="C49" i="88"/>
  <c r="C50" i="88"/>
  <c r="C51" i="88"/>
  <c r="C52" i="88"/>
  <c r="C53" i="88"/>
  <c r="C54" i="88"/>
  <c r="C55" i="88"/>
  <c r="C56" i="88"/>
  <c r="C57" i="88"/>
  <c r="C58" i="88"/>
  <c r="C59" i="88"/>
  <c r="C60" i="88"/>
  <c r="C61" i="88"/>
  <c r="C62" i="88"/>
  <c r="C63" i="88"/>
  <c r="C64" i="88"/>
  <c r="C65" i="88"/>
  <c r="C66" i="88"/>
  <c r="C67" i="88"/>
  <c r="C68" i="88"/>
  <c r="C69" i="88"/>
  <c r="C70" i="88"/>
  <c r="C71" i="88"/>
  <c r="C72" i="88"/>
  <c r="C73" i="88"/>
  <c r="C74" i="88"/>
  <c r="C75" i="88"/>
  <c r="C76" i="88"/>
  <c r="C77" i="88"/>
  <c r="C78" i="88"/>
  <c r="C79" i="88"/>
  <c r="C80" i="88"/>
  <c r="C81" i="88"/>
  <c r="C82" i="88"/>
  <c r="C83" i="88"/>
  <c r="C84" i="88"/>
  <c r="C85" i="88"/>
  <c r="C86" i="88"/>
  <c r="C87" i="88"/>
  <c r="C88" i="88"/>
  <c r="C89" i="88"/>
  <c r="C90" i="88"/>
  <c r="C91" i="88"/>
  <c r="C92" i="88"/>
  <c r="C93" i="88"/>
  <c r="C94" i="88"/>
  <c r="C95" i="88"/>
  <c r="C96" i="88"/>
  <c r="C97" i="88"/>
  <c r="C98" i="88"/>
  <c r="C99" i="88"/>
  <c r="C100" i="88"/>
  <c r="C101" i="88"/>
  <c r="C102" i="88"/>
  <c r="C103" i="88"/>
  <c r="C104" i="88"/>
  <c r="C105" i="88"/>
  <c r="C106" i="88"/>
  <c r="C107" i="88"/>
  <c r="C108" i="88"/>
  <c r="C109" i="88"/>
  <c r="C110" i="88"/>
  <c r="C111" i="88"/>
  <c r="C112" i="88"/>
  <c r="C113" i="88"/>
  <c r="C114" i="88"/>
  <c r="C115" i="88"/>
  <c r="C116" i="88"/>
  <c r="C117" i="88"/>
  <c r="C118" i="88"/>
  <c r="C119" i="88"/>
  <c r="C120" i="88"/>
  <c r="C121" i="88"/>
  <c r="C122" i="88"/>
  <c r="C123" i="88"/>
  <c r="C124" i="88"/>
  <c r="C125" i="88"/>
  <c r="C126" i="88"/>
  <c r="C127" i="88"/>
  <c r="C128"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E174" i="88"/>
  <c r="C175" i="88"/>
  <c r="E176" i="88"/>
  <c r="C177" i="88"/>
  <c r="E178" i="88"/>
  <c r="C179" i="88"/>
  <c r="E180" i="88"/>
  <c r="C181" i="88"/>
  <c r="E182" i="88"/>
  <c r="C183" i="88"/>
  <c r="E184" i="88"/>
  <c r="C185" i="88"/>
  <c r="E186" i="88"/>
  <c r="C187" i="88"/>
  <c r="E188" i="88"/>
  <c r="C189" i="88"/>
  <c r="E190" i="88"/>
  <c r="C191" i="88"/>
  <c r="E192" i="88"/>
  <c r="C193" i="88"/>
  <c r="E194" i="88"/>
  <c r="C195" i="88"/>
  <c r="E196" i="88"/>
  <c r="C197" i="88"/>
  <c r="E198" i="88"/>
  <c r="C199" i="88"/>
  <c r="E200" i="88"/>
  <c r="C201" i="88"/>
  <c r="E202" i="88"/>
  <c r="C203" i="88"/>
  <c r="E204" i="88"/>
  <c r="C205" i="88"/>
  <c r="E206" i="88"/>
  <c r="C207" i="88"/>
  <c r="E208" i="88"/>
  <c r="E210" i="88"/>
  <c r="E212" i="88"/>
  <c r="E214" i="88"/>
  <c r="E216" i="88"/>
  <c r="E218" i="88"/>
  <c r="E220" i="88"/>
  <c r="E222" i="88"/>
  <c r="E224" i="88"/>
  <c r="E226" i="88"/>
  <c r="E228" i="88"/>
  <c r="E230" i="88"/>
  <c r="E232" i="88"/>
  <c r="E234" i="88"/>
  <c r="E236" i="88"/>
  <c r="E238" i="88"/>
  <c r="E240" i="88"/>
  <c r="E242" i="88"/>
  <c r="E244" i="88"/>
  <c r="E246" i="88"/>
  <c r="E248" i="88"/>
  <c r="E250" i="88"/>
  <c r="E252" i="88"/>
  <c r="E254" i="88"/>
  <c r="E256" i="88"/>
  <c r="E258" i="88"/>
  <c r="E260" i="88"/>
  <c r="E262" i="88"/>
  <c r="E264" i="88"/>
  <c r="E266" i="88"/>
  <c r="Q268" i="88"/>
  <c r="C174" i="88"/>
  <c r="E175" i="88"/>
  <c r="C176" i="88"/>
  <c r="E177" i="88"/>
  <c r="C178" i="88"/>
  <c r="E179" i="88"/>
  <c r="C180" i="88"/>
  <c r="E181" i="88"/>
  <c r="C182" i="88"/>
  <c r="E183" i="88"/>
  <c r="C184" i="88"/>
  <c r="E185" i="88"/>
  <c r="C186" i="88"/>
  <c r="E187" i="88"/>
  <c r="C188" i="88"/>
  <c r="E189" i="88"/>
  <c r="C190" i="88"/>
  <c r="E191" i="88"/>
  <c r="C192" i="88"/>
  <c r="E193" i="88"/>
  <c r="C194" i="88"/>
  <c r="E195" i="88"/>
  <c r="C196" i="88"/>
  <c r="E197" i="88"/>
  <c r="C198" i="88"/>
  <c r="E199" i="88"/>
  <c r="C200" i="88"/>
  <c r="E201" i="88"/>
  <c r="C202" i="88"/>
  <c r="E203" i="88"/>
  <c r="C204" i="88"/>
  <c r="E205" i="88"/>
  <c r="C206" i="88"/>
  <c r="E207" i="88"/>
  <c r="E209" i="88"/>
  <c r="E211" i="88"/>
  <c r="E213" i="88"/>
  <c r="E215" i="88"/>
  <c r="E217" i="88"/>
  <c r="E219" i="88"/>
  <c r="E221" i="88"/>
  <c r="E223" i="88"/>
  <c r="E225" i="88"/>
  <c r="E227" i="88"/>
  <c r="E229" i="88"/>
  <c r="E231" i="88"/>
  <c r="E233" i="88"/>
  <c r="E235" i="88"/>
  <c r="E237" i="88"/>
  <c r="E239" i="88"/>
  <c r="E241" i="88"/>
  <c r="E243" i="88"/>
  <c r="E245" i="88"/>
  <c r="E247" i="88"/>
  <c r="E249" i="88"/>
  <c r="E251" i="88"/>
  <c r="E253" i="88"/>
  <c r="E255" i="88"/>
  <c r="E257" i="88"/>
  <c r="E259" i="88"/>
  <c r="E261" i="88"/>
  <c r="E263" i="88"/>
  <c r="E265" i="88"/>
  <c r="E267" i="88"/>
  <c r="Q267" i="88"/>
  <c r="C208" i="88"/>
  <c r="C209" i="88"/>
  <c r="C210" i="88"/>
  <c r="C211" i="88"/>
  <c r="C212" i="88"/>
  <c r="C213" i="88"/>
  <c r="C214" i="88"/>
  <c r="C215" i="88"/>
  <c r="C216" i="88"/>
  <c r="C217" i="88"/>
  <c r="C218" i="88"/>
  <c r="C219" i="88"/>
  <c r="C220" i="88"/>
  <c r="C221" i="88"/>
  <c r="C222" i="88"/>
  <c r="C223" i="88"/>
  <c r="C224" i="88"/>
  <c r="C225" i="88"/>
  <c r="C226" i="88"/>
  <c r="C227" i="88"/>
  <c r="C228" i="88"/>
  <c r="C229" i="88"/>
  <c r="C230" i="88"/>
  <c r="C231" i="88"/>
  <c r="C232" i="88"/>
  <c r="C233" i="88"/>
  <c r="C234" i="88"/>
  <c r="C235" i="88"/>
  <c r="C236" i="88"/>
  <c r="C237" i="88"/>
  <c r="C238" i="88"/>
  <c r="C239" i="88"/>
  <c r="C240" i="88"/>
  <c r="C241" i="88"/>
  <c r="C242" i="88"/>
  <c r="C243" i="88"/>
  <c r="C244" i="88"/>
  <c r="C245" i="88"/>
  <c r="C246" i="88"/>
  <c r="C247" i="88"/>
  <c r="C248" i="88"/>
  <c r="C249" i="88"/>
  <c r="C250" i="88"/>
  <c r="C251" i="88"/>
  <c r="C252" i="88"/>
  <c r="C253" i="88"/>
  <c r="C254" i="88"/>
  <c r="C255" i="88"/>
  <c r="C256" i="88"/>
  <c r="C257" i="88"/>
  <c r="C258" i="88"/>
  <c r="C259" i="88"/>
  <c r="C260" i="88"/>
  <c r="C261" i="88"/>
  <c r="C262" i="88"/>
  <c r="C263" i="88"/>
  <c r="C264" i="88"/>
  <c r="C265" i="88"/>
  <c r="C266" i="88"/>
  <c r="C267" i="88"/>
  <c r="E270" i="88"/>
  <c r="C271" i="88"/>
  <c r="E272" i="88"/>
  <c r="C273" i="88"/>
  <c r="E274" i="88"/>
  <c r="C275" i="88"/>
  <c r="E276" i="88"/>
  <c r="C277" i="88"/>
  <c r="E278" i="88"/>
  <c r="C279" i="88"/>
  <c r="E280" i="88"/>
  <c r="C281" i="88"/>
  <c r="E282" i="88"/>
  <c r="C283" i="88"/>
  <c r="E284" i="88"/>
  <c r="C285" i="88"/>
  <c r="E286" i="88"/>
  <c r="E288" i="88"/>
  <c r="E290" i="88"/>
  <c r="E292" i="88"/>
  <c r="E294" i="88"/>
  <c r="E296" i="88"/>
  <c r="Q298" i="88"/>
  <c r="Q300" i="88"/>
  <c r="Q302" i="88"/>
  <c r="Q304" i="88"/>
  <c r="Q306" i="88"/>
  <c r="Q308" i="88"/>
  <c r="Q310" i="88"/>
  <c r="Q312" i="88"/>
  <c r="Q314" i="88"/>
  <c r="Q316" i="88"/>
  <c r="Q318" i="88"/>
  <c r="Q320" i="88"/>
  <c r="Q322" i="88"/>
  <c r="Q324" i="88"/>
  <c r="E269" i="88"/>
  <c r="C270" i="88"/>
  <c r="E271" i="88"/>
  <c r="C272" i="88"/>
  <c r="E273" i="88"/>
  <c r="C274" i="88"/>
  <c r="E275" i="88"/>
  <c r="C276" i="88"/>
  <c r="E277" i="88"/>
  <c r="C278" i="88"/>
  <c r="E279" i="88"/>
  <c r="C280" i="88"/>
  <c r="E281" i="88"/>
  <c r="C282" i="88"/>
  <c r="E283" i="88"/>
  <c r="C284" i="88"/>
  <c r="E285" i="88"/>
  <c r="C286" i="88"/>
  <c r="E287" i="88"/>
  <c r="E289" i="88"/>
  <c r="E291" i="88"/>
  <c r="E293" i="88"/>
  <c r="E295" i="88"/>
  <c r="E297" i="88"/>
  <c r="Q297" i="88"/>
  <c r="Q299" i="88"/>
  <c r="Q301" i="88"/>
  <c r="Q303" i="88"/>
  <c r="Q305" i="88"/>
  <c r="Q307" i="88"/>
  <c r="Q309" i="88"/>
  <c r="Q311" i="88"/>
  <c r="Q313" i="88"/>
  <c r="Q315" i="88"/>
  <c r="Q317" i="88"/>
  <c r="Q319" i="88"/>
  <c r="Q321" i="88"/>
  <c r="Q323" i="88"/>
  <c r="Q325" i="88"/>
  <c r="C287" i="88"/>
  <c r="C288" i="88"/>
  <c r="C289" i="88"/>
  <c r="C290" i="88"/>
  <c r="C291" i="88"/>
  <c r="C292" i="88"/>
  <c r="C293" i="88"/>
  <c r="C294" i="88"/>
  <c r="C295" i="88"/>
  <c r="C296" i="88"/>
  <c r="C297" i="88"/>
  <c r="F45" i="87"/>
  <c r="C47" i="87"/>
  <c r="D45" i="87" s="1"/>
  <c r="F40" i="87"/>
  <c r="C21" i="87"/>
  <c r="C92" i="86"/>
  <c r="C94" i="86"/>
  <c r="K120" i="86"/>
  <c r="D121" i="86"/>
  <c r="H112" i="86"/>
  <c r="H110" i="86"/>
  <c r="H111" i="86"/>
  <c r="D126" i="86" s="1"/>
  <c r="D127" i="86" s="1"/>
  <c r="F507" i="84"/>
  <c r="F319" i="84"/>
  <c r="C319" i="84"/>
  <c r="F315" i="84"/>
  <c r="C315" i="84"/>
  <c r="F310" i="84"/>
  <c r="C310" i="84"/>
  <c r="F222" i="84"/>
  <c r="C222" i="84"/>
  <c r="F186" i="84"/>
  <c r="C186" i="84"/>
  <c r="F153" i="84"/>
  <c r="C153" i="84"/>
  <c r="F134" i="84"/>
  <c r="C134" i="84"/>
  <c r="F119" i="84"/>
  <c r="C119" i="84"/>
  <c r="F92" i="84"/>
  <c r="C92" i="84"/>
  <c r="F67" i="84"/>
  <c r="C67" i="84"/>
  <c r="F41" i="84"/>
  <c r="C41" i="84"/>
  <c r="F30" i="84"/>
  <c r="C30" i="84"/>
  <c r="F27" i="84"/>
  <c r="C27" i="84"/>
  <c r="F6" i="84"/>
  <c r="F320" i="84" s="1"/>
  <c r="F508" i="84" s="1"/>
  <c r="C6" i="84"/>
  <c r="C320" i="84" s="1"/>
  <c r="C16" i="91"/>
  <c r="C14" i="91"/>
  <c r="C17" i="91"/>
  <c r="C18" i="91" l="1"/>
  <c r="C15" i="91"/>
  <c r="J18" i="91"/>
  <c r="J19" i="91"/>
  <c r="C33" i="91"/>
  <c r="C32" i="91"/>
  <c r="C49" i="91"/>
  <c r="C39" i="90"/>
  <c r="I7" i="21"/>
  <c r="G7" i="21"/>
  <c r="E7" i="21"/>
  <c r="I5" i="21"/>
  <c r="G5" i="21"/>
  <c r="E5" i="21"/>
  <c r="B36" i="81"/>
  <c r="I38" i="39"/>
  <c r="G38" i="39"/>
  <c r="E38" i="39"/>
  <c r="I11" i="39"/>
  <c r="G11" i="39"/>
  <c r="E11" i="39"/>
  <c r="M28" i="1"/>
  <c r="M26" i="1"/>
  <c r="M25" i="1"/>
  <c r="I7" i="39"/>
  <c r="G7" i="39"/>
  <c r="E7" i="39"/>
  <c r="I5" i="39"/>
  <c r="G5" i="39"/>
  <c r="E5" i="39"/>
  <c r="C19" i="91" l="1"/>
  <c r="C61" i="91"/>
  <c r="C46" i="90"/>
  <c r="C45" i="90" s="1"/>
  <c r="F19" i="6"/>
  <c r="E25" i="80"/>
  <c r="E26" i="80"/>
  <c r="E27" i="80"/>
  <c r="E28" i="80"/>
  <c r="E29" i="80"/>
  <c r="E30" i="80"/>
  <c r="E31" i="80"/>
  <c r="E32" i="80"/>
  <c r="E24" i="80"/>
  <c r="E33" i="80" s="1"/>
  <c r="F33" i="80"/>
  <c r="G33" i="80"/>
  <c r="H33" i="80"/>
  <c r="I33" i="80"/>
  <c r="H32" i="80"/>
  <c r="J31" i="80"/>
  <c r="F20" i="80"/>
  <c r="G20" i="80"/>
  <c r="H20" i="80"/>
  <c r="I20" i="80"/>
  <c r="E6" i="80"/>
  <c r="E7" i="80"/>
  <c r="E8" i="80"/>
  <c r="E9" i="80"/>
  <c r="E10" i="80"/>
  <c r="E11" i="80"/>
  <c r="E12" i="80"/>
  <c r="E13" i="80"/>
  <c r="E14" i="80"/>
  <c r="E15" i="80"/>
  <c r="E16" i="80"/>
  <c r="E17" i="80"/>
  <c r="E18" i="80"/>
  <c r="E19" i="80"/>
  <c r="E5" i="80"/>
  <c r="I19" i="80"/>
  <c r="H19" i="80"/>
  <c r="C20" i="91" l="1"/>
  <c r="C26" i="91" s="1"/>
  <c r="E20"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L47" i="91"/>
  <c r="L59" i="91" l="1"/>
  <c r="N59" i="91"/>
  <c r="I2" i="43"/>
  <c r="M1" i="43" s="1"/>
  <c r="Q74" i="91" l="1"/>
  <c r="Q61" i="9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P65" i="71"/>
  <c r="P66" i="71"/>
  <c r="O66" i="71"/>
  <c r="O65" i="71"/>
  <c r="D32" i="71"/>
  <c r="D40"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D83" i="21"/>
  <c r="E83" i="21" s="1"/>
  <c r="F83" i="21" s="1"/>
  <c r="G83" i="21" s="1"/>
  <c r="F21" i="21"/>
  <c r="AA21" i="21" s="1"/>
  <c r="D81" i="21"/>
  <c r="G20" i="20"/>
  <c r="B88" i="43" s="1"/>
  <c r="C22" i="20"/>
  <c r="B100" i="43" s="1"/>
  <c r="B57" i="43"/>
  <c r="C25" i="40"/>
  <c r="S25" i="40"/>
  <c r="S18" i="36"/>
  <c r="U18" i="36"/>
  <c r="F94" i="40"/>
  <c r="H25" i="40"/>
  <c r="G94" i="40"/>
  <c r="J25" i="40"/>
  <c r="H29" i="39"/>
  <c r="AB29" i="39" s="1"/>
  <c r="J29" i="39"/>
  <c r="AC29" i="39" s="1"/>
  <c r="J18" i="36"/>
  <c r="H18" i="35"/>
  <c r="U18" i="35" s="1"/>
  <c r="S18" i="35"/>
  <c r="J18" i="35"/>
  <c r="W18" i="35" s="1"/>
  <c r="H21" i="37"/>
  <c r="U21" i="37" s="1"/>
  <c r="F21" i="37"/>
  <c r="H21" i="34"/>
  <c r="F83" i="33"/>
  <c r="H21" i="33"/>
  <c r="F21" i="33"/>
  <c r="S21" i="33" s="1"/>
  <c r="H1" i="69"/>
  <c r="AC25" i="40"/>
  <c r="W25" i="40"/>
  <c r="AB25" i="40"/>
  <c r="U25" i="40"/>
  <c r="U29" i="39"/>
  <c r="W29" i="39"/>
  <c r="AC18" i="36"/>
  <c r="W18" i="36"/>
  <c r="AB21" i="37"/>
  <c r="AA21" i="37"/>
  <c r="S21" i="37"/>
  <c r="AB21" i="34"/>
  <c r="U21" i="34"/>
  <c r="U21" i="33"/>
  <c r="AB21" i="33"/>
  <c r="AA21" i="33"/>
  <c r="AB18" i="35"/>
  <c r="J21" i="37"/>
  <c r="J21" i="34"/>
  <c r="G83" i="33"/>
  <c r="J21" i="33"/>
  <c r="H21" i="21"/>
  <c r="U21" i="21" s="1"/>
  <c r="F38" i="69"/>
  <c r="E37" i="69"/>
  <c r="F36" i="69"/>
  <c r="F35" i="69"/>
  <c r="F21" i="69"/>
  <c r="F40" i="69" s="1"/>
  <c r="F20" i="69"/>
  <c r="F39" i="69" s="1"/>
  <c r="E10" i="69"/>
  <c r="E9" i="69"/>
  <c r="AC21" i="37"/>
  <c r="W21" i="37"/>
  <c r="AC21" i="34"/>
  <c r="W21" i="34"/>
  <c r="AC21" i="33"/>
  <c r="W21" i="33"/>
  <c r="AB21"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429" i="31"/>
  <c r="S427" i="31"/>
  <c r="S425"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502"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U31" i="35"/>
  <c r="S34" i="35"/>
  <c r="W34" i="35"/>
  <c r="W36" i="35"/>
  <c r="W22" i="35"/>
  <c r="S31" i="35"/>
  <c r="U34"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AC17" i="39" s="1"/>
  <c r="J27" i="39"/>
  <c r="AC27" i="39" s="1"/>
  <c r="F27" i="39"/>
  <c r="AA27" i="39" s="1"/>
  <c r="S40" i="21"/>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AA12" i="35"/>
  <c r="W14" i="37"/>
  <c r="AB28" i="37"/>
  <c r="U33" i="37"/>
  <c r="U39" i="37"/>
  <c r="W47" i="34"/>
  <c r="AB13" i="34"/>
  <c r="AC36" i="34"/>
  <c r="AA13" i="33"/>
  <c r="AC31" i="33"/>
  <c r="AC45" i="33"/>
  <c r="W44" i="33"/>
  <c r="U11" i="33"/>
  <c r="W44" i="21"/>
  <c r="U26" i="21"/>
  <c r="AC46" i="21"/>
  <c r="U12" i="21"/>
  <c r="F43" i="33"/>
  <c r="AA43" i="33"/>
  <c r="W15" i="34"/>
  <c r="AC15" i="34"/>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G100" i="39"/>
  <c r="H37" i="39"/>
  <c r="AB37" i="39"/>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U43" i="21"/>
  <c r="AC35" i="21"/>
  <c r="G8" i="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F20" i="36"/>
  <c r="AA20" i="36" s="1"/>
  <c r="J33" i="34"/>
  <c r="AC33" i="34" s="1"/>
  <c r="H23" i="39"/>
  <c r="U23" i="39" s="1"/>
  <c r="D48" i="9"/>
  <c r="M52" i="9" s="1"/>
  <c r="K9" i="1"/>
  <c r="M9" i="1" s="1"/>
  <c r="D93" i="9"/>
  <c r="K6" i="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AB27" i="39"/>
  <c r="U31" i="39"/>
  <c r="J21" i="39"/>
  <c r="W21" i="39" s="1"/>
  <c r="F21" i="39"/>
  <c r="AA21" i="39" s="1"/>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U22" i="35"/>
  <c r="S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6" i="21"/>
  <c r="AC40" i="21"/>
  <c r="J15" i="21"/>
  <c r="W15" i="21" s="1"/>
  <c r="F77" i="21"/>
  <c r="G77" i="21"/>
  <c r="E85" i="21"/>
  <c r="F23" i="21" s="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U13" i="39"/>
  <c r="AB13" i="39"/>
  <c r="AA13" i="39"/>
  <c r="S13" i="39"/>
  <c r="S14" i="39"/>
  <c r="AA14" i="39"/>
  <c r="U43" i="39"/>
  <c r="AB43" i="39"/>
  <c r="S27" i="39"/>
  <c r="W17" i="39"/>
  <c r="AC31" i="39"/>
  <c r="S23" i="39"/>
  <c r="AA45" i="39"/>
  <c r="AB39" i="39"/>
  <c r="U38"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A26" i="21"/>
  <c r="AB14" i="21"/>
  <c r="AB46" i="21"/>
  <c r="U40" i="21"/>
  <c r="AB31" i="21"/>
  <c r="U31" i="21"/>
  <c r="U13" i="21"/>
  <c r="AB13" i="21"/>
  <c r="S35" i="21"/>
  <c r="J37" i="21"/>
  <c r="W37" i="21" s="1"/>
  <c r="H15" i="21"/>
  <c r="U15" i="21" s="1"/>
  <c r="J17" i="21"/>
  <c r="AC17" i="21" s="1"/>
  <c r="AC14" i="21"/>
  <c r="W30" i="21"/>
  <c r="S46" i="21"/>
  <c r="H45" i="21"/>
  <c r="U45" i="21" s="1"/>
  <c r="F29" i="21"/>
  <c r="S29" i="21" s="1"/>
  <c r="F13" i="21"/>
  <c r="AA13" i="21" s="1"/>
  <c r="H32" i="21"/>
  <c r="U32" i="21" s="1"/>
  <c r="H9" i="21"/>
  <c r="U9" i="21" s="1"/>
  <c r="J9" i="21"/>
  <c r="J32" i="21"/>
  <c r="W32" i="21" s="1"/>
  <c r="F32" i="21"/>
  <c r="AA31" i="21"/>
  <c r="U17" i="21"/>
  <c r="W29" i="21"/>
  <c r="K141" i="21"/>
  <c r="K144" i="21"/>
  <c r="K143" i="21"/>
  <c r="U27" i="21"/>
  <c r="AB25" i="21"/>
  <c r="AB44" i="21"/>
  <c r="AA30" i="21"/>
  <c r="W13" i="21"/>
  <c r="AC45" i="21"/>
  <c r="F10" i="21"/>
  <c r="AA10" i="21" s="1"/>
  <c r="K145" i="21"/>
  <c r="W25" i="21"/>
  <c r="AA29" i="21"/>
  <c r="W31" i="21"/>
  <c r="S27" i="21"/>
  <c r="S17" i="21"/>
  <c r="AC27" i="21"/>
  <c r="AC26" i="21"/>
  <c r="AB29" i="21"/>
  <c r="S28" i="21"/>
  <c r="AC34" i="21"/>
  <c r="W12"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J23" i="21"/>
  <c r="AC23" i="21" s="1"/>
  <c r="F85" i="21"/>
  <c r="G85" i="21" s="1"/>
  <c r="H23" i="21"/>
  <c r="U23" i="21" s="1"/>
  <c r="S13" i="21"/>
  <c r="D6" i="52"/>
  <c r="AP7" i="1"/>
  <c r="AB45" i="21"/>
  <c r="AB9" i="21"/>
  <c r="AA32" i="21"/>
  <c r="S32" i="21"/>
  <c r="W9" i="21"/>
  <c r="AC9" i="21"/>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W23" i="21"/>
  <c r="H109" i="9"/>
  <c r="H112" i="9"/>
  <c r="D21" i="53" s="1"/>
  <c r="B39" i="72" s="1"/>
  <c r="H111" i="9"/>
  <c r="D126" i="9"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L48" i="91"/>
  <c r="D9" i="87"/>
  <c r="D34" i="9"/>
  <c r="M26" i="67"/>
  <c r="F8" i="67"/>
  <c r="M22" i="15"/>
  <c r="F7" i="15"/>
  <c r="M29" i="15"/>
  <c r="M9" i="15"/>
  <c r="B7" i="76"/>
  <c r="E11" i="76"/>
  <c r="E13" i="76"/>
  <c r="E8" i="76"/>
  <c r="M26" i="15"/>
  <c r="B11" i="76"/>
  <c r="L47" i="67"/>
  <c r="AO13" i="1"/>
  <c r="M6" i="15"/>
  <c r="M28" i="15"/>
  <c r="C76" i="67"/>
  <c r="F4" i="73"/>
  <c r="M8" i="15"/>
  <c r="F6" i="67"/>
  <c r="M8" i="67"/>
  <c r="C76" i="15"/>
  <c r="M24" i="67"/>
  <c r="F37" i="15"/>
  <c r="E2" i="69"/>
  <c r="B10" i="76"/>
  <c r="J15" i="15"/>
  <c r="F7" i="67"/>
  <c r="F36" i="15"/>
  <c r="F20" i="31"/>
  <c r="F38" i="15"/>
  <c r="F38" i="67"/>
  <c r="D6" i="73"/>
  <c r="F40" i="67"/>
  <c r="F7" i="73"/>
  <c r="F26" i="15"/>
  <c r="M24" i="15"/>
  <c r="E2" i="68"/>
  <c r="F16" i="67"/>
  <c r="B9" i="76"/>
  <c r="M23" i="15"/>
  <c r="B12" i="76"/>
  <c r="D3" i="73"/>
  <c r="L48" i="15"/>
  <c r="D35" i="9"/>
  <c r="F26" i="67"/>
  <c r="F6" i="73"/>
  <c r="F13" i="15"/>
  <c r="B13" i="76"/>
  <c r="D5" i="73"/>
  <c r="M22" i="67"/>
  <c r="L47" i="15"/>
  <c r="M9" i="67"/>
  <c r="M23" i="67"/>
  <c r="F3" i="73"/>
  <c r="F6" i="15"/>
  <c r="F37" i="67"/>
  <c r="F9" i="67"/>
  <c r="M28" i="67"/>
  <c r="F42" i="15"/>
  <c r="F40" i="15"/>
  <c r="E12" i="76"/>
  <c r="E10" i="76"/>
  <c r="F43" i="67"/>
  <c r="F13" i="67"/>
  <c r="F8" i="15"/>
  <c r="F36" i="67"/>
  <c r="F16" i="15"/>
  <c r="L48" i="67"/>
  <c r="F9" i="15"/>
  <c r="E9" i="76"/>
  <c r="J15" i="67"/>
  <c r="M29" i="67"/>
  <c r="M6" i="67"/>
  <c r="D7" i="73"/>
  <c r="E7" i="76"/>
  <c r="F5" i="73"/>
  <c r="F42" i="67"/>
  <c r="F43" i="15"/>
  <c r="B8" i="76"/>
  <c r="W28" i="35" l="1"/>
  <c r="AB20" i="35"/>
  <c r="AC20" i="35"/>
  <c r="AC18" i="35"/>
  <c r="AA16" i="35"/>
  <c r="AB16" i="35"/>
  <c r="W16" i="35"/>
  <c r="AC14" i="35"/>
  <c r="S14" i="35"/>
  <c r="L57" i="91"/>
  <c r="J53" i="91"/>
  <c r="I54" i="91"/>
  <c r="L56" i="91"/>
  <c r="J57" i="91"/>
  <c r="J55" i="91" s="1"/>
  <c r="J58" i="91" s="1"/>
  <c r="Q50" i="91" s="1"/>
  <c r="L60" i="91"/>
  <c r="L58" i="91"/>
  <c r="F42" i="21"/>
  <c r="G123" i="21"/>
  <c r="H123" i="21" s="1"/>
  <c r="I123" i="21" s="1"/>
  <c r="J123" i="21" s="1"/>
  <c r="K123" i="21" s="1"/>
  <c r="L123" i="21" s="1"/>
  <c r="M123" i="21" s="1"/>
  <c r="J42" i="21"/>
  <c r="AC42" i="21" s="1"/>
  <c r="C9" i="87"/>
  <c r="AP6" i="1"/>
  <c r="M18" i="86"/>
  <c r="B118" i="86" s="1"/>
  <c r="AC38" i="39"/>
  <c r="W17" i="21"/>
  <c r="AB42" i="21"/>
  <c r="W39" i="21"/>
  <c r="AC38" i="21"/>
  <c r="AA38" i="21"/>
  <c r="AB38" i="21"/>
  <c r="AB36" i="21"/>
  <c r="U35" i="21"/>
  <c r="AB32" i="21"/>
  <c r="AA23" i="21"/>
  <c r="S23" i="21"/>
  <c r="AB19" i="21"/>
  <c r="U19" i="21"/>
  <c r="AB23" i="21"/>
  <c r="S21" i="21"/>
  <c r="S19" i="21"/>
  <c r="AC19" i="21"/>
  <c r="AA15" i="21"/>
  <c r="AB15" i="21"/>
  <c r="AC15" i="21"/>
  <c r="S9" i="21"/>
  <c r="AC41" i="39"/>
  <c r="S21" i="39"/>
  <c r="U25" i="39"/>
  <c r="W34" i="39"/>
  <c r="AB34" i="39"/>
  <c r="S34" i="39"/>
  <c r="U32" i="39"/>
  <c r="AC25" i="39"/>
  <c r="W23" i="39"/>
  <c r="U21" i="39"/>
  <c r="D23" i="15"/>
  <c r="G26" i="12"/>
  <c r="G22" i="69"/>
  <c r="D19" i="53"/>
  <c r="B38" i="72" s="1"/>
  <c r="D16" i="53"/>
  <c r="B34" i="72" s="1"/>
  <c r="F7" i="1"/>
  <c r="G7" i="1" s="1"/>
  <c r="G16" i="1" s="1"/>
  <c r="F10" i="39" s="1"/>
  <c r="G14" i="3"/>
  <c r="AZ14" i="3"/>
  <c r="AZ557" i="3"/>
  <c r="C16" i="71"/>
  <c r="D17" i="71"/>
  <c r="G28" i="6"/>
  <c r="F29" i="6"/>
  <c r="U43" i="33"/>
  <c r="AA41" i="34"/>
  <c r="U46" i="33"/>
  <c r="AA13" i="35"/>
  <c r="AC9" i="34"/>
  <c r="W9" i="34"/>
  <c r="E15" i="71"/>
  <c r="E14" i="71" s="1"/>
  <c r="E13" i="71" s="1"/>
  <c r="E12" i="71" s="1"/>
  <c r="V16" i="71"/>
  <c r="D20" i="71"/>
  <c r="U20" i="71" s="1"/>
  <c r="T20" i="71"/>
  <c r="V20" i="71"/>
  <c r="G5" i="3"/>
  <c r="B3" i="3" s="1"/>
  <c r="E156" i="3" s="1"/>
  <c r="AA39" i="34"/>
  <c r="AA29" i="35"/>
  <c r="B73" i="43"/>
  <c r="B79" i="43"/>
  <c r="B76" i="43"/>
  <c r="B75" i="43"/>
  <c r="F9" i="34"/>
  <c r="AA9" i="34" s="1"/>
  <c r="H12" i="36"/>
  <c r="H24" i="36"/>
  <c r="J26" i="37"/>
  <c r="H26" i="37"/>
  <c r="F26" i="37"/>
  <c r="H44" i="39"/>
  <c r="F44" i="39"/>
  <c r="J39" i="40"/>
  <c r="H39" i="40"/>
  <c r="BA551" i="3"/>
  <c r="AZ551" i="3" s="1"/>
  <c r="AZ398" i="3"/>
  <c r="AZ405" i="3"/>
  <c r="AZ410" i="3"/>
  <c r="AZ415" i="3"/>
  <c r="AZ420" i="3"/>
  <c r="AZ426" i="3"/>
  <c r="AZ431" i="3"/>
  <c r="H23" i="35"/>
  <c r="J23" i="35"/>
  <c r="H25" i="37"/>
  <c r="J25" i="37"/>
  <c r="F25" i="37"/>
  <c r="F38" i="40"/>
  <c r="J38" i="40"/>
  <c r="H38" i="40"/>
  <c r="BL550" i="3"/>
  <c r="AZ550" i="3" s="1"/>
  <c r="AZ400" i="3"/>
  <c r="AZ424" i="3"/>
  <c r="AZ429" i="3"/>
  <c r="AZ439" i="3"/>
  <c r="AZ444" i="3"/>
  <c r="AZ448" i="3"/>
  <c r="AZ463" i="3"/>
  <c r="AZ474" i="3"/>
  <c r="AZ480" i="3"/>
  <c r="AZ486" i="3"/>
  <c r="AZ488" i="3"/>
  <c r="AZ397" i="3"/>
  <c r="AZ212" i="3"/>
  <c r="AZ217" i="3"/>
  <c r="AZ220" i="3"/>
  <c r="AZ228" i="3"/>
  <c r="AZ231" i="3"/>
  <c r="AZ244" i="3"/>
  <c r="AZ247" i="3"/>
  <c r="AZ260" i="3"/>
  <c r="AZ270" i="3"/>
  <c r="AZ274" i="3"/>
  <c r="AZ277" i="3"/>
  <c r="AZ284" i="3"/>
  <c r="AZ290" i="3"/>
  <c r="AZ293" i="3"/>
  <c r="AZ302" i="3"/>
  <c r="AZ113" i="3"/>
  <c r="AZ126" i="3"/>
  <c r="AZ129" i="3"/>
  <c r="AZ141" i="3"/>
  <c r="AZ205" i="3"/>
  <c r="AZ18" i="3"/>
  <c r="AZ23" i="3"/>
  <c r="AZ27" i="3"/>
  <c r="AZ52" i="3"/>
  <c r="AZ56" i="3"/>
  <c r="AZ68" i="3"/>
  <c r="AZ73" i="3"/>
  <c r="AZ87" i="3"/>
  <c r="AZ95" i="3"/>
  <c r="D35" i="71"/>
  <c r="C36" i="71"/>
  <c r="AZ96" i="3"/>
  <c r="AZ112" i="3"/>
  <c r="C43" i="71"/>
  <c r="D42" i="71"/>
  <c r="C47" i="71"/>
  <c r="D47" i="71" s="1"/>
  <c r="D46" i="71"/>
  <c r="S28" i="71"/>
  <c r="Y9" i="71"/>
  <c r="Z9" i="71" s="1"/>
  <c r="AA9" i="71"/>
  <c r="AB24" i="71"/>
  <c r="Y24" i="71"/>
  <c r="Z24" i="71" s="1"/>
  <c r="AB23" i="71"/>
  <c r="Y21" i="71"/>
  <c r="Z21" i="71" s="1"/>
  <c r="AA21" i="71"/>
  <c r="X21" i="71"/>
  <c r="X17" i="71"/>
  <c r="Y17" i="71"/>
  <c r="Z17" i="71" s="1"/>
  <c r="AA17" i="71"/>
  <c r="AB18" i="71"/>
  <c r="Y14" i="71"/>
  <c r="Z14" i="71" s="1"/>
  <c r="AB14" i="71"/>
  <c r="C21" i="68"/>
  <c r="C40" i="69"/>
  <c r="S21" i="34"/>
  <c r="C29" i="39"/>
  <c r="B68" i="43"/>
  <c r="B77" i="43"/>
  <c r="V28" i="71"/>
  <c r="X9" i="71"/>
  <c r="Y39" i="71"/>
  <c r="Z39" i="71" s="1"/>
  <c r="AA39" i="71"/>
  <c r="AB9" i="71"/>
  <c r="AB10" i="71"/>
  <c r="X24" i="71"/>
  <c r="AA24" i="71"/>
  <c r="AA23" i="71"/>
  <c r="AB21" i="71"/>
  <c r="Y18" i="71"/>
  <c r="Z18" i="71" s="1"/>
  <c r="X18" i="71"/>
  <c r="AA18" i="71"/>
  <c r="Y23" i="71"/>
  <c r="Z23" i="71" s="1"/>
  <c r="Y22" i="71"/>
  <c r="Z22" i="71" s="1"/>
  <c r="X22" i="71"/>
  <c r="AA22" i="71"/>
  <c r="X15" i="71"/>
  <c r="AA15" i="71"/>
  <c r="AA11" i="71"/>
  <c r="AA12" i="71"/>
  <c r="AA14" i="71"/>
  <c r="X10" i="71"/>
  <c r="X13" i="71"/>
  <c r="AB12" i="71"/>
  <c r="AB11" i="71"/>
  <c r="Y12" i="71"/>
  <c r="Z12" i="71" s="1"/>
  <c r="Y13" i="71"/>
  <c r="Z13" i="71" s="1"/>
  <c r="F67" i="71"/>
  <c r="AB15" i="71"/>
  <c r="AB17" i="71"/>
  <c r="AA10" i="71"/>
  <c r="AA13" i="71"/>
  <c r="X11" i="71"/>
  <c r="X12" i="71"/>
  <c r="X14" i="71"/>
  <c r="AB13" i="71"/>
  <c r="Y11" i="71"/>
  <c r="Z11" i="71" s="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F27" i="69"/>
  <c r="D9" i="69"/>
  <c r="C36" i="69"/>
  <c r="C16" i="15"/>
  <c r="G1" i="73"/>
  <c r="D4" i="73"/>
  <c r="C16" i="67"/>
  <c r="D9" i="68"/>
  <c r="Q66" i="91" l="1"/>
  <c r="Q57" i="91"/>
  <c r="Q52" i="91"/>
  <c r="F1" i="91"/>
  <c r="Q73" i="91"/>
  <c r="Q60" i="91"/>
  <c r="M11" i="91"/>
  <c r="J10" i="91" s="1"/>
  <c r="J5" i="91" s="1"/>
  <c r="F11" i="91"/>
  <c r="W42" i="21"/>
  <c r="AA42" i="21"/>
  <c r="S42" i="21"/>
  <c r="K16" i="1"/>
  <c r="AM6" i="3"/>
  <c r="E576" i="3"/>
  <c r="E404" i="3"/>
  <c r="E496" i="3"/>
  <c r="E295" i="3"/>
  <c r="E443" i="3"/>
  <c r="E32" i="3"/>
  <c r="E330" i="3"/>
  <c r="E29" i="3"/>
  <c r="E317" i="3"/>
  <c r="E121" i="3"/>
  <c r="E581" i="3"/>
  <c r="E448" i="3"/>
  <c r="E252" i="3"/>
  <c r="E256" i="3"/>
  <c r="E424" i="3"/>
  <c r="E128" i="3"/>
  <c r="E441" i="3"/>
  <c r="E44" i="3"/>
  <c r="E384" i="3"/>
  <c r="E316" i="3"/>
  <c r="E166" i="3"/>
  <c r="E88" i="3"/>
  <c r="E444" i="3"/>
  <c r="E558" i="3"/>
  <c r="P6" i="3"/>
  <c r="AG6" i="3"/>
  <c r="E164" i="3"/>
  <c r="E236" i="3"/>
  <c r="E394" i="3"/>
  <c r="E73" i="3"/>
  <c r="AE6" i="3"/>
  <c r="E437" i="3"/>
  <c r="E120" i="3"/>
  <c r="E238"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D26" i="43" s="1"/>
  <c r="C25" i="43"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B15" i="71"/>
  <c r="B14" i="71" s="1"/>
  <c r="B13" i="71" s="1"/>
  <c r="B12" i="71" s="1"/>
  <c r="S16" i="71"/>
  <c r="F66" i="71"/>
  <c r="Q67" i="71"/>
  <c r="T36" i="71"/>
  <c r="D36" i="71"/>
  <c r="AB38" i="40"/>
  <c r="U38" i="40"/>
  <c r="S38" i="40"/>
  <c r="AA38" i="40"/>
  <c r="AC25" i="37"/>
  <c r="W25" i="37"/>
  <c r="AC23" i="35"/>
  <c r="W23" i="35"/>
  <c r="U39" i="40"/>
  <c r="AB39" i="40"/>
  <c r="AA44" i="39"/>
  <c r="S44" i="39"/>
  <c r="AA26" i="37"/>
  <c r="S26" i="37"/>
  <c r="AC26" i="37"/>
  <c r="W26" i="37"/>
  <c r="U12" i="36"/>
  <c r="AB12"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22" i="3"/>
  <c r="E283" i="3"/>
  <c r="E323" i="3"/>
  <c r="E373" i="3"/>
  <c r="E82" i="3"/>
  <c r="E21" i="3"/>
  <c r="E250" i="3"/>
  <c r="E264" i="3"/>
  <c r="E309" i="3"/>
  <c r="E513" i="3"/>
  <c r="BA5" i="3"/>
  <c r="E27" i="6" s="1"/>
  <c r="K26" i="6" s="1"/>
  <c r="M26" i="6" s="1"/>
  <c r="I26" i="6" s="1"/>
  <c r="S26" i="6" s="1"/>
  <c r="C15" i="71"/>
  <c r="T16" i="71"/>
  <c r="D43" i="71"/>
  <c r="C44" i="71"/>
  <c r="AC38" i="40"/>
  <c r="W38" i="40"/>
  <c r="AA25" i="37"/>
  <c r="S25" i="37"/>
  <c r="U25" i="37"/>
  <c r="AB25" i="37"/>
  <c r="U23" i="35"/>
  <c r="AB23" i="35"/>
  <c r="W39" i="40"/>
  <c r="AC39" i="40"/>
  <c r="AB44" i="39"/>
  <c r="U44" i="39"/>
  <c r="AB26" i="37"/>
  <c r="U26" i="37"/>
  <c r="AB24" i="36"/>
  <c r="U24" i="36"/>
  <c r="BL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C33" i="21"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AE12" i="1"/>
  <c r="AE10" i="1"/>
  <c r="AE8" i="1"/>
  <c r="F27" i="68"/>
  <c r="J24" i="91" l="1"/>
  <c r="J26" i="91"/>
  <c r="F22" i="90"/>
  <c r="C24" i="90" s="1"/>
  <c r="F24" i="91"/>
  <c r="C53" i="91"/>
  <c r="C48" i="91" s="1"/>
  <c r="C10" i="91"/>
  <c r="C5" i="91" s="1"/>
  <c r="F41" i="90"/>
  <c r="L36" i="43"/>
  <c r="P36" i="43" s="1"/>
  <c r="F22" i="87"/>
  <c r="F33" i="21"/>
  <c r="H33" i="21"/>
  <c r="J33" i="21"/>
  <c r="AC6" i="3"/>
  <c r="H6" i="3"/>
  <c r="E65" i="39"/>
  <c r="D15" i="71"/>
  <c r="C14" i="71"/>
  <c r="T44" i="71"/>
  <c r="D44" i="71"/>
  <c r="Q66" i="71"/>
  <c r="Q65"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D10" i="87"/>
  <c r="M27" i="15"/>
  <c r="M27" i="67"/>
  <c r="C42" i="90" l="1"/>
  <c r="C43" i="90"/>
  <c r="C26" i="90"/>
  <c r="D22" i="90" s="1"/>
  <c r="C44" i="90"/>
  <c r="D41" i="90" s="1"/>
  <c r="C38" i="91"/>
  <c r="C24" i="91"/>
  <c r="C23" i="91"/>
  <c r="C66" i="91"/>
  <c r="C60" i="91"/>
  <c r="C10" i="87"/>
  <c r="C8" i="87" s="1"/>
  <c r="D19" i="87"/>
  <c r="D37" i="87" s="1"/>
  <c r="O36" i="43"/>
  <c r="N36" i="43"/>
  <c r="M36" i="43"/>
  <c r="Q36" i="43"/>
  <c r="F41" i="87"/>
  <c r="E6" i="3"/>
  <c r="AB33" i="21"/>
  <c r="U33" i="21"/>
  <c r="AC33" i="21"/>
  <c r="W33" i="21"/>
  <c r="AA33" i="21"/>
  <c r="S33" i="2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B21" i="1" s="1"/>
  <c r="C29" i="87" s="1"/>
  <c r="D27" i="87"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44" i="11"/>
  <c r="D41" i="11" s="1"/>
  <c r="C24" i="11"/>
  <c r="C66" i="67"/>
  <c r="C60" i="67"/>
  <c r="D10" i="69"/>
  <c r="C34" i="69"/>
  <c r="D10" i="68"/>
  <c r="C17" i="15"/>
  <c r="C14" i="67"/>
  <c r="C17" i="67"/>
  <c r="C41" i="90" l="1"/>
  <c r="C49" i="90" s="1"/>
  <c r="C29" i="91"/>
  <c r="M19" i="86"/>
  <c r="C118" i="86" s="1"/>
  <c r="M19" i="9"/>
  <c r="C118" i="9" s="1"/>
  <c r="B2" i="74" s="1"/>
  <c r="C44" i="87"/>
  <c r="D41" i="87" s="1"/>
  <c r="C24" i="87"/>
  <c r="B24" i="1"/>
  <c r="B23" i="1"/>
  <c r="C26" i="87" s="1"/>
  <c r="D22" i="87" s="1"/>
  <c r="C29" i="11"/>
  <c r="D27" i="11" s="1"/>
  <c r="C29" i="68"/>
  <c r="D27" i="68" s="1"/>
  <c r="C28" i="11"/>
  <c r="C27" i="11" s="1"/>
  <c r="C25" i="11"/>
  <c r="C12" i="71"/>
  <c r="D13" i="71"/>
  <c r="C18" i="67"/>
  <c r="C15" i="67"/>
  <c r="H23" i="6"/>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91"/>
  <c r="F35" i="91"/>
  <c r="C14" i="15"/>
  <c r="E6" i="76"/>
  <c r="B6" i="76"/>
  <c r="F11" i="12" l="1"/>
  <c r="C14" i="12" s="1"/>
  <c r="C16" i="12" s="1"/>
  <c r="F50" i="90"/>
  <c r="M59" i="91"/>
  <c r="C51" i="90"/>
  <c r="F63" i="91"/>
  <c r="C62" i="91" s="1"/>
  <c r="C59" i="91" s="1"/>
  <c r="C34" i="91"/>
  <c r="C31" i="91" s="1"/>
  <c r="J20" i="91"/>
  <c r="J17" i="91" s="1"/>
  <c r="C57" i="91"/>
  <c r="C64" i="91" s="1"/>
  <c r="Q49" i="91"/>
  <c r="C36" i="91"/>
  <c r="J14" i="91"/>
  <c r="C13" i="91"/>
  <c r="J59" i="91"/>
  <c r="J60" i="91" s="1"/>
  <c r="L18" i="86"/>
  <c r="L18" i="9"/>
  <c r="F34" i="11"/>
  <c r="C37" i="11" s="1"/>
  <c r="F50" i="87"/>
  <c r="E2" i="70"/>
  <c r="C23" i="11"/>
  <c r="C22" i="11" s="1"/>
  <c r="C26" i="11"/>
  <c r="D22" i="11" s="1"/>
  <c r="C26" i="68"/>
  <c r="D22" i="68" s="1"/>
  <c r="M59" i="67"/>
  <c r="J53" i="15"/>
  <c r="M59" i="15"/>
  <c r="L59" i="15" s="1"/>
  <c r="C29" i="12"/>
  <c r="D28" i="12" s="1"/>
  <c r="C26" i="12"/>
  <c r="D25" i="12" s="1"/>
  <c r="C8" i="68"/>
  <c r="C11" i="71"/>
  <c r="T12" i="71"/>
  <c r="D12" i="71"/>
  <c r="U12" i="71" s="1"/>
  <c r="C19" i="67"/>
  <c r="C20" i="67" s="1"/>
  <c r="C26" i="67" s="1"/>
  <c r="T16" i="1"/>
  <c r="C18" i="15"/>
  <c r="C15" i="15"/>
  <c r="C36" i="11"/>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34" i="87"/>
  <c r="F34" i="68"/>
  <c r="C36" i="87"/>
  <c r="C34" i="87"/>
  <c r="C75" i="91" l="1"/>
  <c r="Q70" i="91"/>
  <c r="C56" i="91"/>
  <c r="C65" i="91" s="1"/>
  <c r="C58" i="91" s="1"/>
  <c r="C67" i="91" s="1"/>
  <c r="C37" i="91"/>
  <c r="C30" i="91" s="1"/>
  <c r="C39" i="91" s="1"/>
  <c r="Q48" i="91"/>
  <c r="L46" i="91"/>
  <c r="J22" i="91"/>
  <c r="J13" i="91"/>
  <c r="J23" i="91" s="1"/>
  <c r="C34" i="11"/>
  <c r="C38" i="11" s="1"/>
  <c r="C35" i="87"/>
  <c r="C38" i="87"/>
  <c r="L19" i="86"/>
  <c r="L19" i="9"/>
  <c r="C37" i="87"/>
  <c r="C37" i="68"/>
  <c r="Q74" i="15"/>
  <c r="Q61" i="15"/>
  <c r="L56" i="15"/>
  <c r="Q52" i="15"/>
  <c r="F1" i="15"/>
  <c r="C31" i="11"/>
  <c r="C18" i="12"/>
  <c r="C21" i="12" s="1"/>
  <c r="J7" i="21"/>
  <c r="W7" i="21" s="1"/>
  <c r="C10" i="71"/>
  <c r="D11" i="71"/>
  <c r="C23" i="67"/>
  <c r="C29" i="67" s="1"/>
  <c r="J59" i="67" s="1"/>
  <c r="J60" i="67" s="1"/>
  <c r="Q48" i="67" s="1"/>
  <c r="C19" i="15"/>
  <c r="C20" i="15" s="1"/>
  <c r="C26" i="15" s="1"/>
  <c r="H27" i="6"/>
  <c r="R19" i="6"/>
  <c r="C24" i="68"/>
  <c r="C39" i="69"/>
  <c r="C43" i="69" s="1"/>
  <c r="C42" i="69"/>
  <c r="B3" i="76"/>
  <c r="J69" i="39"/>
  <c r="K67" i="39"/>
  <c r="U7" i="21"/>
  <c r="AB7" i="21"/>
  <c r="S7" i="21"/>
  <c r="AA7" i="21"/>
  <c r="J63" i="40"/>
  <c r="I65" i="40"/>
  <c r="K48" i="35"/>
  <c r="L48" i="35" s="1"/>
  <c r="M48" i="35" s="1"/>
  <c r="N48" i="35" s="1"/>
  <c r="O48" i="35" s="1"/>
  <c r="H7" i="35" s="1"/>
  <c r="J7" i="35"/>
  <c r="C34" i="68"/>
  <c r="AE7" i="1"/>
  <c r="C36" i="68"/>
  <c r="F41" i="91"/>
  <c r="F41" i="67"/>
  <c r="J16" i="91" l="1"/>
  <c r="J25" i="91" s="1"/>
  <c r="F69" i="91"/>
  <c r="C68" i="91" s="1"/>
  <c r="J29" i="91"/>
  <c r="C40" i="91"/>
  <c r="Q69" i="91"/>
  <c r="Q68" i="91" s="1"/>
  <c r="C80" i="91"/>
  <c r="C79" i="91" s="1"/>
  <c r="F69" i="67"/>
  <c r="C35" i="11"/>
  <c r="C33" i="11" s="1"/>
  <c r="C39" i="11" s="1"/>
  <c r="C33" i="87"/>
  <c r="C39" i="87" s="1"/>
  <c r="C43" i="87" s="1"/>
  <c r="C38" i="68"/>
  <c r="C35" i="68"/>
  <c r="H11" i="39"/>
  <c r="J11" i="39"/>
  <c r="F11" i="39"/>
  <c r="H11" i="21"/>
  <c r="F11" i="21"/>
  <c r="J11" i="21"/>
  <c r="AC7" i="21"/>
  <c r="C22" i="12"/>
  <c r="D10" i="71"/>
  <c r="C9" i="71"/>
  <c r="Q49" i="67"/>
  <c r="J14" i="67"/>
  <c r="J13" i="67" s="1"/>
  <c r="J23" i="67" s="1"/>
  <c r="C36" i="67"/>
  <c r="C57" i="67"/>
  <c r="C64" i="67" s="1"/>
  <c r="C13" i="67"/>
  <c r="Q70" i="67" s="1"/>
  <c r="C61" i="67"/>
  <c r="C23" i="15"/>
  <c r="C29" i="15" s="1"/>
  <c r="C41" i="69"/>
  <c r="R27" i="6"/>
  <c r="R6" i="1"/>
  <c r="C46" i="69"/>
  <c r="C45" i="69" s="1"/>
  <c r="L67" i="39"/>
  <c r="K69" i="39"/>
  <c r="W7" i="35"/>
  <c r="AC7" i="35"/>
  <c r="V38" i="35" s="1"/>
  <c r="I38" i="35" s="1"/>
  <c r="J65" i="40"/>
  <c r="K63" i="40"/>
  <c r="U7" i="35"/>
  <c r="AB7" i="35"/>
  <c r="T38" i="35" s="1"/>
  <c r="G38" i="35" s="1"/>
  <c r="F7" i="35"/>
  <c r="L51" i="91"/>
  <c r="F35" i="15"/>
  <c r="F35" i="67"/>
  <c r="M21" i="67"/>
  <c r="F41" i="15"/>
  <c r="M21" i="15"/>
  <c r="Q67" i="91" l="1"/>
  <c r="C45" i="91"/>
  <c r="C46" i="91" s="1"/>
  <c r="C71" i="91"/>
  <c r="Q47" i="91"/>
  <c r="Q53" i="91" s="1"/>
  <c r="C43" i="91"/>
  <c r="Q65" i="91"/>
  <c r="Q75" i="91" s="1"/>
  <c r="Q56" i="91"/>
  <c r="Q62" i="91" s="1"/>
  <c r="D2" i="91"/>
  <c r="C83" i="91"/>
  <c r="C82" i="91" s="1"/>
  <c r="C42" i="87"/>
  <c r="C41" i="87" s="1"/>
  <c r="C46" i="87"/>
  <c r="C45" i="87" s="1"/>
  <c r="F69" i="15"/>
  <c r="C33" i="68"/>
  <c r="C39" i="68" s="1"/>
  <c r="C43" i="68" s="1"/>
  <c r="W11" i="21"/>
  <c r="AC11" i="21"/>
  <c r="V48" i="21" s="1"/>
  <c r="I48" i="21" s="1"/>
  <c r="U11" i="21"/>
  <c r="AB11" i="21"/>
  <c r="T48" i="21" s="1"/>
  <c r="G48" i="21" s="1"/>
  <c r="G52" i="21" s="1"/>
  <c r="H52" i="21" s="1"/>
  <c r="AA11" i="39"/>
  <c r="S11" i="39"/>
  <c r="U11" i="39"/>
  <c r="AB11" i="39"/>
  <c r="S11" i="21"/>
  <c r="AA11" i="21"/>
  <c r="R48" i="21" s="1"/>
  <c r="E48" i="21" s="1"/>
  <c r="E52" i="21" s="1"/>
  <c r="F52" i="21" s="1"/>
  <c r="W11" i="39"/>
  <c r="AC11" i="39"/>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G42" i="35"/>
  <c r="H42" i="35" s="1"/>
  <c r="G43" i="35"/>
  <c r="H43" i="35" s="1"/>
  <c r="K65" i="40"/>
  <c r="L63" i="40"/>
  <c r="I42" i="35"/>
  <c r="J42" i="35" s="1"/>
  <c r="B3" i="91" l="1"/>
  <c r="B2" i="91"/>
  <c r="C49" i="87"/>
  <c r="C51" i="87" s="1"/>
  <c r="C46" i="68"/>
  <c r="C45" i="68" s="1"/>
  <c r="C42" i="68"/>
  <c r="C41" i="68" s="1"/>
  <c r="I52" i="21"/>
  <c r="J52" i="21" s="1"/>
  <c r="I53" i="21"/>
  <c r="J53" i="21" s="1"/>
  <c r="G53" i="21"/>
  <c r="H53" i="21" s="1"/>
  <c r="E53" i="21"/>
  <c r="F53" i="21" s="1"/>
  <c r="R49" i="21"/>
  <c r="C49" i="2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8" l="1"/>
  <c r="C51" i="68" s="1"/>
  <c r="C48" i="21"/>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8" i="12"/>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C20" i="9"/>
  <c r="D2" i="36"/>
  <c r="C103" i="9" l="1"/>
  <c r="C6" i="12"/>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C19" i="86"/>
  <c r="AO11" i="1"/>
  <c r="AO10" i="1"/>
  <c r="AO6" i="1"/>
  <c r="AO12" i="1"/>
  <c r="AO8" i="1"/>
  <c r="AO9" i="1"/>
  <c r="C102" i="86" l="1"/>
  <c r="C21" i="86"/>
  <c r="B3" i="35"/>
  <c r="L46" i="15"/>
  <c r="B2" i="15" s="1"/>
  <c r="R48" i="39"/>
  <c r="C48" i="39"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6"/>
  <c r="AO7" i="1"/>
  <c r="C103" i="86" l="1"/>
  <c r="B3" i="15"/>
  <c r="D6" i="12" s="1"/>
  <c r="D8" i="12"/>
  <c r="C4" i="12" s="1"/>
  <c r="B7" i="70"/>
  <c r="B2" i="70" s="1"/>
  <c r="B3" i="70" s="1"/>
  <c r="C47" i="39"/>
  <c r="B56" i="39"/>
  <c r="B63" i="39"/>
  <c r="F63" i="39" s="1"/>
  <c r="B64" i="39"/>
  <c r="F64" i="39" s="1"/>
  <c r="B60" i="39"/>
  <c r="F60" i="39" s="1"/>
  <c r="B61" i="39"/>
  <c r="F61" i="39" s="1"/>
  <c r="B57" i="39"/>
  <c r="F57" i="39" s="1"/>
  <c r="B58" i="39"/>
  <c r="F58" i="39" s="1"/>
  <c r="B62" i="39"/>
  <c r="B59" i="39"/>
  <c r="F59" i="39" s="1"/>
  <c r="I46" i="40"/>
  <c r="J46" i="40" s="1"/>
  <c r="R43" i="40"/>
  <c r="E42" i="40"/>
  <c r="G47" i="40"/>
  <c r="H47" i="40" s="1"/>
  <c r="G46" i="40"/>
  <c r="H46" i="40" s="1"/>
  <c r="F62" i="39" l="1"/>
  <c r="I7" i="90"/>
  <c r="C6" i="90" s="1"/>
  <c r="C7" i="90" s="1"/>
  <c r="C5" i="90" s="1"/>
  <c r="F56" i="39"/>
  <c r="C6" i="87" s="1"/>
  <c r="I7" i="69"/>
  <c r="C6" i="69" s="1"/>
  <c r="C6" i="68"/>
  <c r="C31" i="12"/>
  <c r="C23" i="12"/>
  <c r="C42" i="40"/>
  <c r="C43" i="40"/>
  <c r="E47" i="40"/>
  <c r="F47" i="40" s="1"/>
  <c r="E46" i="40"/>
  <c r="F46" i="40" s="1"/>
  <c r="I47" i="40"/>
  <c r="J47" i="40" s="1"/>
  <c r="F65" i="39" l="1"/>
  <c r="B2" i="39" s="1"/>
  <c r="B3" i="39" s="1"/>
  <c r="C20" i="90"/>
  <c r="C23" i="90"/>
  <c r="C7" i="69"/>
  <c r="C5" i="69" s="1"/>
  <c r="C7" i="87"/>
  <c r="C5" i="87" s="1"/>
  <c r="C30" i="12"/>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28" i="90" l="1"/>
  <c r="C27" i="90" s="1"/>
  <c r="C25" i="90"/>
  <c r="C22" i="90" s="1"/>
  <c r="C23" i="69"/>
  <c r="C20" i="69"/>
  <c r="C20" i="87"/>
  <c r="C23" i="87"/>
  <c r="C7" i="68"/>
  <c r="C5" i="68" s="1"/>
  <c r="C32" i="12"/>
  <c r="B2" i="12" s="1"/>
  <c r="C31" i="90" l="1"/>
  <c r="C52" i="90" s="1"/>
  <c r="B2" i="90" s="1"/>
  <c r="C28" i="69"/>
  <c r="C27" i="69" s="1"/>
  <c r="C25" i="69"/>
  <c r="C22" i="69" s="1"/>
  <c r="C28" i="87"/>
  <c r="C27" i="87" s="1"/>
  <c r="C25" i="87"/>
  <c r="C22" i="87" s="1"/>
  <c r="C23" i="68"/>
  <c r="C20" i="68"/>
  <c r="B3" i="12"/>
  <c r="C19" i="89"/>
  <c r="B3" i="90"/>
  <c r="C20" i="89" s="1"/>
  <c r="C103" i="89" l="1"/>
  <c r="C102" i="89"/>
  <c r="C21" i="89"/>
  <c r="C57" i="90"/>
  <c r="C56" i="90" s="1"/>
  <c r="C31" i="69"/>
  <c r="C52" i="69" s="1"/>
  <c r="C31" i="87"/>
  <c r="C52" i="87" s="1"/>
  <c r="B2" i="87" s="1"/>
  <c r="C28" i="68"/>
  <c r="C27" i="68" s="1"/>
  <c r="C25" i="68"/>
  <c r="C22" i="68" s="1"/>
  <c r="B3" i="87"/>
  <c r="B2" i="69" l="1"/>
  <c r="C57" i="69"/>
  <c r="C56" i="69" s="1"/>
  <c r="C57" i="87"/>
  <c r="C56" i="87" s="1"/>
  <c r="C31" i="68"/>
  <c r="C52" i="68" s="1"/>
  <c r="B3" i="69"/>
  <c r="B2" i="68" l="1"/>
  <c r="C57" i="68"/>
  <c r="C56" i="68" s="1"/>
  <c r="D19" i="89"/>
  <c r="D19" i="9"/>
  <c r="D19" i="86"/>
  <c r="D21" i="89" l="1"/>
  <c r="D102" i="89"/>
  <c r="D22" i="89"/>
  <c r="G19" i="89"/>
  <c r="G21" i="89" s="1"/>
  <c r="D21" i="86"/>
  <c r="D102" i="86"/>
  <c r="D22" i="86"/>
  <c r="G19" i="86"/>
  <c r="G21" i="86" s="1"/>
  <c r="D21" i="9"/>
  <c r="G19" i="9"/>
  <c r="G21" i="9" s="1"/>
  <c r="D102" i="9"/>
  <c r="D22" i="9"/>
  <c r="B3" i="68"/>
  <c r="D20" i="89" s="1"/>
  <c r="D20" i="9"/>
  <c r="D103" i="89" l="1"/>
  <c r="G20" i="89"/>
  <c r="G20" i="9"/>
  <c r="D103" i="9"/>
  <c r="D20" i="86"/>
  <c r="C32" i="89" l="1"/>
  <c r="C35" i="89" s="1"/>
  <c r="C34" i="89" s="1"/>
  <c r="R24" i="92"/>
  <c r="D103" i="86"/>
  <c r="G20" i="86"/>
  <c r="R24" i="88" s="1"/>
  <c r="R484" i="88"/>
  <c r="S484" i="88" s="1"/>
  <c r="R482" i="88"/>
  <c r="S482" i="88" s="1"/>
  <c r="R480" i="88"/>
  <c r="S480" i="88" s="1"/>
  <c r="R478" i="88"/>
  <c r="S478" i="88" s="1"/>
  <c r="R476" i="88"/>
  <c r="S476" i="88" s="1"/>
  <c r="R474" i="88"/>
  <c r="S474" i="88" s="1"/>
  <c r="R472" i="88"/>
  <c r="S472" i="88" s="1"/>
  <c r="R470" i="88"/>
  <c r="S470" i="88" s="1"/>
  <c r="R468" i="88"/>
  <c r="S468" i="88" s="1"/>
  <c r="R467" i="88"/>
  <c r="S467" i="88" s="1"/>
  <c r="R466" i="88"/>
  <c r="S466" i="88" s="1"/>
  <c r="R464" i="88"/>
  <c r="S464" i="88" s="1"/>
  <c r="R462" i="88"/>
  <c r="S462" i="88" s="1"/>
  <c r="R460" i="88"/>
  <c r="S460" i="88" s="1"/>
  <c r="R458" i="88"/>
  <c r="S458" i="88" s="1"/>
  <c r="R456" i="88"/>
  <c r="S456" i="88" s="1"/>
  <c r="R454" i="88"/>
  <c r="S454" i="88" s="1"/>
  <c r="R452" i="88"/>
  <c r="S452" i="88" s="1"/>
  <c r="R450" i="88"/>
  <c r="S450" i="88" s="1"/>
  <c r="R448" i="88"/>
  <c r="S448" i="88" s="1"/>
  <c r="R446" i="88"/>
  <c r="S446" i="88" s="1"/>
  <c r="R444" i="88"/>
  <c r="S444" i="88" s="1"/>
  <c r="R442" i="88"/>
  <c r="S442" i="88" s="1"/>
  <c r="R440" i="88"/>
  <c r="S440" i="88" s="1"/>
  <c r="R438" i="88"/>
  <c r="S438" i="88" s="1"/>
  <c r="R436" i="88"/>
  <c r="S436" i="88" s="1"/>
  <c r="R434" i="88"/>
  <c r="S434" i="88" s="1"/>
  <c r="R432" i="88"/>
  <c r="S432" i="88" s="1"/>
  <c r="R430" i="88"/>
  <c r="S430" i="88" s="1"/>
  <c r="R428" i="88"/>
  <c r="S428" i="88" s="1"/>
  <c r="R426" i="88"/>
  <c r="S426" i="88" s="1"/>
  <c r="R424" i="88"/>
  <c r="S424" i="88" s="1"/>
  <c r="R422" i="88"/>
  <c r="S422" i="88" s="1"/>
  <c r="R420" i="88"/>
  <c r="S420" i="88" s="1"/>
  <c r="R418" i="88"/>
  <c r="S418" i="88" s="1"/>
  <c r="R416" i="88"/>
  <c r="S416" i="88" s="1"/>
  <c r="R414" i="88"/>
  <c r="S414" i="88" s="1"/>
  <c r="R412" i="88"/>
  <c r="S412" i="88" s="1"/>
  <c r="R410" i="88"/>
  <c r="S410" i="88" s="1"/>
  <c r="R408" i="88"/>
  <c r="S408" i="88" s="1"/>
  <c r="R406" i="88"/>
  <c r="S406" i="88" s="1"/>
  <c r="R404" i="88"/>
  <c r="S404" i="88" s="1"/>
  <c r="R402" i="88"/>
  <c r="S402" i="88" s="1"/>
  <c r="R400" i="88"/>
  <c r="S400" i="88" s="1"/>
  <c r="R398" i="88"/>
  <c r="S398" i="88" s="1"/>
  <c r="R396" i="88"/>
  <c r="S396" i="88" s="1"/>
  <c r="R394" i="88"/>
  <c r="S394" i="88" s="1"/>
  <c r="R392" i="88"/>
  <c r="S392" i="88" s="1"/>
  <c r="R390" i="88"/>
  <c r="S390" i="88" s="1"/>
  <c r="R388" i="88"/>
  <c r="S388" i="88" s="1"/>
  <c r="R386" i="88"/>
  <c r="S386" i="88" s="1"/>
  <c r="R384" i="88"/>
  <c r="S384" i="88" s="1"/>
  <c r="R483" i="88"/>
  <c r="S483" i="88" s="1"/>
  <c r="R481" i="88"/>
  <c r="S481" i="88" s="1"/>
  <c r="R479" i="88"/>
  <c r="S479" i="88" s="1"/>
  <c r="R477" i="88"/>
  <c r="S477" i="88" s="1"/>
  <c r="R475" i="88"/>
  <c r="S475" i="88" s="1"/>
  <c r="R473" i="88"/>
  <c r="S473" i="88" s="1"/>
  <c r="R471" i="88"/>
  <c r="S471" i="88" s="1"/>
  <c r="R469" i="88"/>
  <c r="S469" i="88" s="1"/>
  <c r="R465" i="88"/>
  <c r="S465" i="88" s="1"/>
  <c r="R463" i="88"/>
  <c r="S463" i="88" s="1"/>
  <c r="R461" i="88"/>
  <c r="S461" i="88" s="1"/>
  <c r="R459" i="88"/>
  <c r="S459" i="88" s="1"/>
  <c r="R457" i="88"/>
  <c r="S457" i="88" s="1"/>
  <c r="R455" i="88"/>
  <c r="S455" i="88" s="1"/>
  <c r="R453" i="88"/>
  <c r="S453" i="88" s="1"/>
  <c r="R451" i="88"/>
  <c r="S451" i="88" s="1"/>
  <c r="R449" i="88"/>
  <c r="S449" i="88" s="1"/>
  <c r="R447" i="88"/>
  <c r="S447" i="88" s="1"/>
  <c r="R445" i="88"/>
  <c r="S445" i="88" s="1"/>
  <c r="R443" i="88"/>
  <c r="S443" i="88" s="1"/>
  <c r="R441" i="88"/>
  <c r="S441" i="88" s="1"/>
  <c r="R439" i="88"/>
  <c r="S439" i="88" s="1"/>
  <c r="R437" i="88"/>
  <c r="S437" i="88" s="1"/>
  <c r="R435" i="88"/>
  <c r="S435" i="88" s="1"/>
  <c r="R433" i="88"/>
  <c r="S433" i="88" s="1"/>
  <c r="R431" i="88"/>
  <c r="S431" i="88" s="1"/>
  <c r="R429" i="88"/>
  <c r="S429" i="88" s="1"/>
  <c r="R427" i="88"/>
  <c r="S427" i="88" s="1"/>
  <c r="R425" i="88"/>
  <c r="S425" i="88" s="1"/>
  <c r="R423" i="88"/>
  <c r="S423" i="88" s="1"/>
  <c r="R421" i="88"/>
  <c r="S421" i="88" s="1"/>
  <c r="R419" i="88"/>
  <c r="S419" i="88" s="1"/>
  <c r="R417" i="88"/>
  <c r="S417" i="88" s="1"/>
  <c r="R415" i="88"/>
  <c r="S415" i="88" s="1"/>
  <c r="R413" i="88"/>
  <c r="S413" i="88" s="1"/>
  <c r="R411" i="88"/>
  <c r="S411" i="88" s="1"/>
  <c r="R409" i="88"/>
  <c r="S409" i="88" s="1"/>
  <c r="R407" i="88"/>
  <c r="S407" i="88" s="1"/>
  <c r="R405" i="88"/>
  <c r="S405" i="88" s="1"/>
  <c r="R403" i="88"/>
  <c r="S403" i="88" s="1"/>
  <c r="R401" i="88"/>
  <c r="S401" i="88" s="1"/>
  <c r="R399" i="88"/>
  <c r="S399" i="88" s="1"/>
  <c r="R397" i="88"/>
  <c r="S397" i="88" s="1"/>
  <c r="R395" i="88"/>
  <c r="S395" i="88" s="1"/>
  <c r="R393" i="88"/>
  <c r="S393" i="88" s="1"/>
  <c r="R391" i="88"/>
  <c r="S391" i="88" s="1"/>
  <c r="R389" i="88"/>
  <c r="S389" i="88" s="1"/>
  <c r="R387" i="88"/>
  <c r="S387" i="88" s="1"/>
  <c r="R385" i="88"/>
  <c r="S385" i="88" s="1"/>
  <c r="R383" i="88"/>
  <c r="S383" i="88" s="1"/>
  <c r="R381" i="88"/>
  <c r="S381" i="88" s="1"/>
  <c r="R379" i="88"/>
  <c r="S379" i="88" s="1"/>
  <c r="R377" i="88"/>
  <c r="S377" i="88" s="1"/>
  <c r="R375" i="88"/>
  <c r="S375" i="88" s="1"/>
  <c r="R373" i="88"/>
  <c r="S373" i="88" s="1"/>
  <c r="R371" i="88"/>
  <c r="S371" i="88" s="1"/>
  <c r="R369" i="88"/>
  <c r="S369" i="88" s="1"/>
  <c r="R367" i="88"/>
  <c r="S367" i="88" s="1"/>
  <c r="R365" i="88"/>
  <c r="S365" i="88" s="1"/>
  <c r="R363" i="88"/>
  <c r="S363" i="88" s="1"/>
  <c r="R361" i="88"/>
  <c r="S361" i="88" s="1"/>
  <c r="R359" i="88"/>
  <c r="S359" i="88" s="1"/>
  <c r="R357" i="88"/>
  <c r="S357" i="88" s="1"/>
  <c r="R355" i="88"/>
  <c r="S355" i="88" s="1"/>
  <c r="R353" i="88"/>
  <c r="S353" i="88" s="1"/>
  <c r="R351" i="88"/>
  <c r="S351" i="88" s="1"/>
  <c r="R349" i="88"/>
  <c r="S349" i="88" s="1"/>
  <c r="R347" i="88"/>
  <c r="S347" i="88" s="1"/>
  <c r="R345" i="88"/>
  <c r="S345" i="88" s="1"/>
  <c r="R343" i="88"/>
  <c r="S343" i="88" s="1"/>
  <c r="R341" i="88"/>
  <c r="S341" i="88" s="1"/>
  <c r="R339" i="88"/>
  <c r="S339" i="88" s="1"/>
  <c r="R337" i="88"/>
  <c r="S337" i="88" s="1"/>
  <c r="R335" i="88"/>
  <c r="S335" i="88" s="1"/>
  <c r="R333" i="88"/>
  <c r="S333" i="88" s="1"/>
  <c r="R331" i="88"/>
  <c r="S331" i="88" s="1"/>
  <c r="R329" i="88"/>
  <c r="S329" i="88" s="1"/>
  <c r="R327" i="88"/>
  <c r="S327" i="88" s="1"/>
  <c r="R382" i="88"/>
  <c r="S382" i="88" s="1"/>
  <c r="R380" i="88"/>
  <c r="S380" i="88" s="1"/>
  <c r="R378" i="88"/>
  <c r="S378" i="88" s="1"/>
  <c r="R376" i="88"/>
  <c r="S376" i="88" s="1"/>
  <c r="R374" i="88"/>
  <c r="S374" i="88" s="1"/>
  <c r="R372" i="88"/>
  <c r="S372" i="88" s="1"/>
  <c r="R368" i="88"/>
  <c r="S368" i="88" s="1"/>
  <c r="R364" i="88"/>
  <c r="S364" i="88" s="1"/>
  <c r="R360" i="88"/>
  <c r="S360" i="88" s="1"/>
  <c r="R356" i="88"/>
  <c r="S356" i="88" s="1"/>
  <c r="R370" i="88"/>
  <c r="S370" i="88" s="1"/>
  <c r="R366" i="88"/>
  <c r="S366" i="88" s="1"/>
  <c r="R362" i="88"/>
  <c r="S362" i="88" s="1"/>
  <c r="R358" i="88"/>
  <c r="S358" i="88" s="1"/>
  <c r="R354" i="88"/>
  <c r="S354" i="88" s="1"/>
  <c r="R350" i="88"/>
  <c r="S350" i="88" s="1"/>
  <c r="R346" i="88"/>
  <c r="S346" i="88" s="1"/>
  <c r="R342" i="88"/>
  <c r="S342" i="88" s="1"/>
  <c r="R338" i="88"/>
  <c r="S338" i="88" s="1"/>
  <c r="R334" i="88"/>
  <c r="S334" i="88" s="1"/>
  <c r="R330" i="88"/>
  <c r="S330" i="88" s="1"/>
  <c r="R326" i="88"/>
  <c r="S326" i="88" s="1"/>
  <c r="R352" i="88"/>
  <c r="S352" i="88" s="1"/>
  <c r="R348" i="88"/>
  <c r="S348" i="88" s="1"/>
  <c r="R344" i="88"/>
  <c r="S344" i="88" s="1"/>
  <c r="R340" i="88"/>
  <c r="S340" i="88" s="1"/>
  <c r="R336" i="88"/>
  <c r="S336" i="88" s="1"/>
  <c r="R332" i="88"/>
  <c r="S332" i="88" s="1"/>
  <c r="R328" i="88"/>
  <c r="S328" i="88" s="1"/>
  <c r="R325" i="88"/>
  <c r="S325" i="88" s="1"/>
  <c r="R324" i="88"/>
  <c r="S324" i="88" s="1"/>
  <c r="R323" i="88"/>
  <c r="S323" i="88" s="1"/>
  <c r="R322" i="88"/>
  <c r="S322" i="88" s="1"/>
  <c r="R321" i="88"/>
  <c r="S321" i="88" s="1"/>
  <c r="R320" i="88"/>
  <c r="S320" i="88" s="1"/>
  <c r="R319" i="88"/>
  <c r="S319" i="88" s="1"/>
  <c r="R318" i="88"/>
  <c r="S318" i="88" s="1"/>
  <c r="R317" i="88"/>
  <c r="S317" i="88" s="1"/>
  <c r="R316" i="88"/>
  <c r="S316" i="88" s="1"/>
  <c r="R315" i="88"/>
  <c r="S315" i="88" s="1"/>
  <c r="R314" i="88"/>
  <c r="S314" i="88" s="1"/>
  <c r="R313" i="88"/>
  <c r="S313" i="88" s="1"/>
  <c r="R312" i="88"/>
  <c r="S312" i="88" s="1"/>
  <c r="R311" i="88"/>
  <c r="S311" i="88" s="1"/>
  <c r="R310" i="88"/>
  <c r="S310" i="88" s="1"/>
  <c r="R309" i="88"/>
  <c r="S309" i="88" s="1"/>
  <c r="R308" i="88"/>
  <c r="S308" i="88" s="1"/>
  <c r="R307" i="88"/>
  <c r="S307" i="88" s="1"/>
  <c r="R306" i="88"/>
  <c r="S306" i="88" s="1"/>
  <c r="R305" i="88"/>
  <c r="S305" i="88" s="1"/>
  <c r="R304" i="88"/>
  <c r="S304" i="88" s="1"/>
  <c r="R303" i="88"/>
  <c r="S303" i="88" s="1"/>
  <c r="R302" i="88"/>
  <c r="S302" i="88" s="1"/>
  <c r="R301" i="88"/>
  <c r="S301" i="88" s="1"/>
  <c r="R300" i="88"/>
  <c r="S300" i="88" s="1"/>
  <c r="R208" i="88"/>
  <c r="S208" i="88" s="1"/>
  <c r="R210" i="88"/>
  <c r="S210" i="88" s="1"/>
  <c r="R212" i="88"/>
  <c r="S212" i="88" s="1"/>
  <c r="R214" i="88"/>
  <c r="S214" i="88" s="1"/>
  <c r="R216" i="88"/>
  <c r="S216" i="88" s="1"/>
  <c r="R218" i="88"/>
  <c r="S218" i="88" s="1"/>
  <c r="R220" i="88"/>
  <c r="S220" i="88" s="1"/>
  <c r="R222" i="88"/>
  <c r="S222" i="88" s="1"/>
  <c r="R224" i="88"/>
  <c r="S224" i="88" s="1"/>
  <c r="R226" i="88"/>
  <c r="S226" i="88" s="1"/>
  <c r="R228" i="88"/>
  <c r="S228" i="88" s="1"/>
  <c r="R230" i="88"/>
  <c r="S230" i="88" s="1"/>
  <c r="R232" i="88"/>
  <c r="S232" i="88" s="1"/>
  <c r="R234" i="88"/>
  <c r="S234" i="88" s="1"/>
  <c r="R236" i="88"/>
  <c r="S236" i="88" s="1"/>
  <c r="R238" i="88"/>
  <c r="S238" i="88" s="1"/>
  <c r="R240" i="88"/>
  <c r="S240" i="88" s="1"/>
  <c r="R242" i="88"/>
  <c r="S242" i="88" s="1"/>
  <c r="R244" i="88"/>
  <c r="S244" i="88" s="1"/>
  <c r="R246" i="88"/>
  <c r="S246" i="88" s="1"/>
  <c r="R248" i="88"/>
  <c r="S248" i="88" s="1"/>
  <c r="R250" i="88"/>
  <c r="S250" i="88" s="1"/>
  <c r="R252" i="88"/>
  <c r="S252" i="88" s="1"/>
  <c r="R254" i="88"/>
  <c r="S254" i="88" s="1"/>
  <c r="R256" i="88"/>
  <c r="S256" i="88" s="1"/>
  <c r="R258" i="88"/>
  <c r="S258" i="88" s="1"/>
  <c r="R260" i="88"/>
  <c r="S260" i="88" s="1"/>
  <c r="R262" i="88"/>
  <c r="S262" i="88" s="1"/>
  <c r="R264" i="88"/>
  <c r="S264" i="88" s="1"/>
  <c r="R266" i="88"/>
  <c r="S266" i="88" s="1"/>
  <c r="R273" i="88"/>
  <c r="S273" i="88" s="1"/>
  <c r="R277" i="88"/>
  <c r="S277" i="88" s="1"/>
  <c r="R281" i="88"/>
  <c r="S281" i="88" s="1"/>
  <c r="R285" i="88"/>
  <c r="S285" i="88" s="1"/>
  <c r="R272" i="88"/>
  <c r="S272" i="88" s="1"/>
  <c r="R276" i="88"/>
  <c r="S276" i="88" s="1"/>
  <c r="R280" i="88"/>
  <c r="S280" i="88" s="1"/>
  <c r="R284" i="88"/>
  <c r="S284" i="88" s="1"/>
  <c r="R288" i="88"/>
  <c r="S288" i="88" s="1"/>
  <c r="R290" i="88"/>
  <c r="S290" i="88" s="1"/>
  <c r="R292" i="88"/>
  <c r="S292" i="88" s="1"/>
  <c r="R294" i="88"/>
  <c r="S294" i="88" s="1"/>
  <c r="R296" i="88"/>
  <c r="S296" i="88" s="1"/>
  <c r="R274" i="88"/>
  <c r="S274" i="88" s="1"/>
  <c r="R282" i="88"/>
  <c r="S282" i="88" s="1"/>
  <c r="R209" i="88"/>
  <c r="S209" i="88" s="1"/>
  <c r="R211" i="88"/>
  <c r="S211" i="88" s="1"/>
  <c r="R213" i="88"/>
  <c r="S213" i="88" s="1"/>
  <c r="R215" i="88"/>
  <c r="S215" i="88" s="1"/>
  <c r="R217" i="88"/>
  <c r="S217" i="88" s="1"/>
  <c r="R219" i="88"/>
  <c r="S219" i="88" s="1"/>
  <c r="R221" i="88"/>
  <c r="S221" i="88" s="1"/>
  <c r="R223" i="88"/>
  <c r="S223" i="88" s="1"/>
  <c r="R225" i="88"/>
  <c r="S225" i="88" s="1"/>
  <c r="R227" i="88"/>
  <c r="S227" i="88" s="1"/>
  <c r="R229" i="88"/>
  <c r="S229" i="88" s="1"/>
  <c r="R231" i="88"/>
  <c r="S231" i="88" s="1"/>
  <c r="R233" i="88"/>
  <c r="S233" i="88" s="1"/>
  <c r="R235" i="88"/>
  <c r="S235" i="88" s="1"/>
  <c r="R237" i="88"/>
  <c r="S237" i="88" s="1"/>
  <c r="R239" i="88"/>
  <c r="S239" i="88" s="1"/>
  <c r="R241" i="88"/>
  <c r="S241" i="88" s="1"/>
  <c r="R243" i="88"/>
  <c r="S243" i="88" s="1"/>
  <c r="R245" i="88"/>
  <c r="S245" i="88" s="1"/>
  <c r="R247" i="88"/>
  <c r="S247" i="88" s="1"/>
  <c r="R249" i="88"/>
  <c r="S249" i="88" s="1"/>
  <c r="R251" i="88"/>
  <c r="S251" i="88" s="1"/>
  <c r="R253" i="88"/>
  <c r="S253" i="88" s="1"/>
  <c r="R255" i="88"/>
  <c r="S255" i="88" s="1"/>
  <c r="R257" i="88"/>
  <c r="S257" i="88" s="1"/>
  <c r="R259" i="88"/>
  <c r="S259" i="88" s="1"/>
  <c r="R261" i="88"/>
  <c r="S261" i="88" s="1"/>
  <c r="R263" i="88"/>
  <c r="S263" i="88" s="1"/>
  <c r="R265" i="88"/>
  <c r="S265" i="88" s="1"/>
  <c r="R267" i="88"/>
  <c r="S267" i="88" s="1"/>
  <c r="R268" i="88"/>
  <c r="S268" i="88" s="1"/>
  <c r="R271" i="88"/>
  <c r="S271" i="88" s="1"/>
  <c r="R275" i="88"/>
  <c r="S275" i="88" s="1"/>
  <c r="R279" i="88"/>
  <c r="S279" i="88" s="1"/>
  <c r="R283" i="88"/>
  <c r="S283" i="88" s="1"/>
  <c r="R287" i="88"/>
  <c r="S287" i="88" s="1"/>
  <c r="R289" i="88"/>
  <c r="S289" i="88" s="1"/>
  <c r="R291" i="88"/>
  <c r="S291" i="88" s="1"/>
  <c r="R293" i="88"/>
  <c r="S293" i="88" s="1"/>
  <c r="R295" i="88"/>
  <c r="S295" i="88" s="1"/>
  <c r="R297" i="88"/>
  <c r="S297" i="88" s="1"/>
  <c r="R299" i="88"/>
  <c r="S299" i="88" s="1"/>
  <c r="R269" i="88"/>
  <c r="S269" i="88" s="1"/>
  <c r="R270" i="88"/>
  <c r="S270" i="88" s="1"/>
  <c r="R278" i="88"/>
  <c r="S278" i="88" s="1"/>
  <c r="R286" i="88"/>
  <c r="S286" i="88" s="1"/>
  <c r="R298" i="88"/>
  <c r="S298" i="88" s="1"/>
  <c r="C32" i="9"/>
  <c r="C35" i="9" s="1"/>
  <c r="C34" i="9" s="1"/>
  <c r="R24" i="31"/>
  <c r="C32" i="86" l="1"/>
  <c r="C35" i="86" s="1"/>
  <c r="C34" i="86" s="1"/>
  <c r="R177" i="88"/>
  <c r="S177" i="88" s="1"/>
  <c r="S24" i="31"/>
  <c r="R25" i="31"/>
  <c r="S25"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91" i="31"/>
  <c r="S191" i="31" s="1"/>
  <c r="R187" i="31"/>
  <c r="S187" i="31" s="1"/>
  <c r="R183" i="31"/>
  <c r="S183"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3" i="31"/>
  <c r="S193" i="31" s="1"/>
  <c r="R189" i="31"/>
  <c r="S189" i="31" s="1"/>
  <c r="R185" i="31"/>
  <c r="S185" i="31" s="1"/>
  <c r="R181" i="31"/>
  <c r="S181"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S24" i="92" l="1"/>
  <c r="R103" i="92"/>
  <c r="S103" i="92" s="1"/>
  <c r="R105" i="92"/>
  <c r="S105" i="92" s="1"/>
  <c r="R107" i="92"/>
  <c r="S107" i="92" s="1"/>
  <c r="R109" i="92"/>
  <c r="S109" i="92" s="1"/>
  <c r="R111" i="92"/>
  <c r="S111" i="92" s="1"/>
  <c r="R113" i="92"/>
  <c r="S113" i="92" s="1"/>
  <c r="R115" i="92"/>
  <c r="S115" i="92" s="1"/>
  <c r="R117" i="92"/>
  <c r="S117" i="92" s="1"/>
  <c r="R119" i="92"/>
  <c r="S119" i="92" s="1"/>
  <c r="R121" i="92"/>
  <c r="S121" i="92" s="1"/>
  <c r="R123" i="92"/>
  <c r="S123" i="92" s="1"/>
  <c r="R125" i="92"/>
  <c r="S125" i="92" s="1"/>
  <c r="R127" i="92"/>
  <c r="S127" i="92" s="1"/>
  <c r="R129" i="92"/>
  <c r="S129" i="92" s="1"/>
  <c r="R131" i="92"/>
  <c r="S131" i="92" s="1"/>
  <c r="R133" i="92"/>
  <c r="S133" i="92" s="1"/>
  <c r="R135" i="92"/>
  <c r="S135" i="92" s="1"/>
  <c r="R137" i="92"/>
  <c r="S137" i="92" s="1"/>
  <c r="R139" i="92"/>
  <c r="S139" i="92" s="1"/>
  <c r="R141" i="92"/>
  <c r="S141" i="92" s="1"/>
  <c r="R143" i="92"/>
  <c r="S143" i="92" s="1"/>
  <c r="R145" i="92"/>
  <c r="S145" i="92" s="1"/>
  <c r="R147" i="92"/>
  <c r="S147" i="92" s="1"/>
  <c r="R149" i="92"/>
  <c r="S149" i="92" s="1"/>
  <c r="R151" i="92"/>
  <c r="S151" i="92" s="1"/>
  <c r="R197" i="92"/>
  <c r="S197" i="92" s="1"/>
  <c r="R199" i="92"/>
  <c r="S199" i="92" s="1"/>
  <c r="R201" i="92"/>
  <c r="S201" i="92" s="1"/>
  <c r="R203" i="92"/>
  <c r="S203" i="92" s="1"/>
  <c r="R205" i="92"/>
  <c r="S205" i="92" s="1"/>
  <c r="R207" i="92"/>
  <c r="S207" i="92" s="1"/>
  <c r="R153" i="92"/>
  <c r="S153" i="92" s="1"/>
  <c r="R154" i="92"/>
  <c r="S154" i="92" s="1"/>
  <c r="R155" i="92"/>
  <c r="S155" i="92" s="1"/>
  <c r="R156" i="92"/>
  <c r="S156" i="92" s="1"/>
  <c r="R157" i="92"/>
  <c r="S157" i="92" s="1"/>
  <c r="R158" i="92"/>
  <c r="S158" i="92" s="1"/>
  <c r="R159" i="92"/>
  <c r="S159" i="92" s="1"/>
  <c r="R160" i="92"/>
  <c r="S160" i="92" s="1"/>
  <c r="R161" i="92"/>
  <c r="S161" i="92" s="1"/>
  <c r="R162" i="92"/>
  <c r="S162" i="92" s="1"/>
  <c r="R163" i="92"/>
  <c r="S163" i="92" s="1"/>
  <c r="R164" i="92"/>
  <c r="S164" i="92" s="1"/>
  <c r="R165" i="92"/>
  <c r="S165" i="92" s="1"/>
  <c r="R166" i="92"/>
  <c r="S166" i="92" s="1"/>
  <c r="R167" i="92"/>
  <c r="S167" i="92" s="1"/>
  <c r="R168" i="92"/>
  <c r="S168" i="92" s="1"/>
  <c r="R169" i="92"/>
  <c r="S169" i="92" s="1"/>
  <c r="R170" i="92"/>
  <c r="S170" i="92" s="1"/>
  <c r="R171" i="92"/>
  <c r="S171" i="92" s="1"/>
  <c r="R172" i="92"/>
  <c r="S172" i="92" s="1"/>
  <c r="R173" i="92"/>
  <c r="S173" i="92" s="1"/>
  <c r="R174" i="92"/>
  <c r="S174" i="92" s="1"/>
  <c r="R175" i="92"/>
  <c r="S175" i="92" s="1"/>
  <c r="R176" i="92"/>
  <c r="S176" i="92" s="1"/>
  <c r="R177" i="92"/>
  <c r="S177" i="92" s="1"/>
  <c r="R178" i="92"/>
  <c r="S178" i="92" s="1"/>
  <c r="R179" i="92"/>
  <c r="S179" i="92" s="1"/>
  <c r="R180" i="92"/>
  <c r="S180" i="92" s="1"/>
  <c r="R181" i="92"/>
  <c r="S181" i="92" s="1"/>
  <c r="R182" i="92"/>
  <c r="S182" i="92" s="1"/>
  <c r="R183" i="92"/>
  <c r="S183" i="92" s="1"/>
  <c r="R184" i="92"/>
  <c r="S184" i="92" s="1"/>
  <c r="R185" i="92"/>
  <c r="S185" i="92" s="1"/>
  <c r="R186" i="92"/>
  <c r="S186" i="92" s="1"/>
  <c r="R187" i="92"/>
  <c r="S187" i="92" s="1"/>
  <c r="R188" i="92"/>
  <c r="S188" i="92" s="1"/>
  <c r="R189" i="92"/>
  <c r="S189" i="92" s="1"/>
  <c r="R190" i="92"/>
  <c r="S190" i="92" s="1"/>
  <c r="R191" i="92"/>
  <c r="S191" i="92" s="1"/>
  <c r="R192" i="92"/>
  <c r="S192" i="92" s="1"/>
  <c r="R193" i="92"/>
  <c r="S193" i="92" s="1"/>
  <c r="R194" i="92"/>
  <c r="S194" i="92" s="1"/>
  <c r="R195" i="92"/>
  <c r="S195" i="92" s="1"/>
  <c r="R196" i="92"/>
  <c r="S196" i="92" s="1"/>
  <c r="R102" i="92"/>
  <c r="S102" i="92" s="1"/>
  <c r="R104" i="92"/>
  <c r="S104" i="92" s="1"/>
  <c r="R106" i="92"/>
  <c r="S106" i="92" s="1"/>
  <c r="R108" i="92"/>
  <c r="S108" i="92" s="1"/>
  <c r="R110" i="92"/>
  <c r="S110" i="92" s="1"/>
  <c r="R112" i="92"/>
  <c r="S112" i="92" s="1"/>
  <c r="R114" i="92"/>
  <c r="S114" i="92" s="1"/>
  <c r="R116" i="92"/>
  <c r="S116" i="92" s="1"/>
  <c r="R118" i="92"/>
  <c r="S118" i="92" s="1"/>
  <c r="R120" i="92"/>
  <c r="S120" i="92" s="1"/>
  <c r="R122" i="92"/>
  <c r="S122" i="92" s="1"/>
  <c r="R124" i="92"/>
  <c r="S124" i="92" s="1"/>
  <c r="R126" i="92"/>
  <c r="S126" i="92" s="1"/>
  <c r="R128" i="92"/>
  <c r="S128" i="92" s="1"/>
  <c r="R130" i="92"/>
  <c r="S130" i="92" s="1"/>
  <c r="R132" i="92"/>
  <c r="S132" i="92" s="1"/>
  <c r="R134" i="92"/>
  <c r="S134" i="92" s="1"/>
  <c r="R136" i="92"/>
  <c r="S136" i="92" s="1"/>
  <c r="R138" i="92"/>
  <c r="S138" i="92" s="1"/>
  <c r="R140" i="92"/>
  <c r="S140" i="92" s="1"/>
  <c r="R142" i="92"/>
  <c r="S142" i="92" s="1"/>
  <c r="R144" i="92"/>
  <c r="S144" i="92" s="1"/>
  <c r="R146" i="92"/>
  <c r="S146" i="92" s="1"/>
  <c r="R148" i="92"/>
  <c r="S148" i="92" s="1"/>
  <c r="R150" i="92"/>
  <c r="S150" i="92" s="1"/>
  <c r="R25" i="92"/>
  <c r="S25" i="92" s="1"/>
  <c r="R26" i="92"/>
  <c r="S26" i="92" s="1"/>
  <c r="R27" i="92"/>
  <c r="S27" i="92" s="1"/>
  <c r="R28" i="92"/>
  <c r="S28" i="92" s="1"/>
  <c r="R29" i="92"/>
  <c r="S29" i="92" s="1"/>
  <c r="R30" i="92"/>
  <c r="S30" i="92" s="1"/>
  <c r="R31" i="92"/>
  <c r="S31" i="92" s="1"/>
  <c r="R32" i="92"/>
  <c r="S32" i="92" s="1"/>
  <c r="R33" i="92"/>
  <c r="S33" i="92" s="1"/>
  <c r="R34" i="92"/>
  <c r="S34" i="92" s="1"/>
  <c r="R35" i="92"/>
  <c r="S35" i="92" s="1"/>
  <c r="R36" i="92"/>
  <c r="S36" i="92" s="1"/>
  <c r="R37" i="92"/>
  <c r="S37" i="92" s="1"/>
  <c r="R38" i="92"/>
  <c r="S38" i="92" s="1"/>
  <c r="R39" i="92"/>
  <c r="S39" i="92" s="1"/>
  <c r="R40" i="92"/>
  <c r="S40" i="92" s="1"/>
  <c r="R41" i="92"/>
  <c r="S41" i="92" s="1"/>
  <c r="R42" i="92"/>
  <c r="S42" i="92" s="1"/>
  <c r="R43" i="92"/>
  <c r="S43" i="92" s="1"/>
  <c r="R44" i="92"/>
  <c r="S44" i="92" s="1"/>
  <c r="R45" i="92"/>
  <c r="S45" i="92" s="1"/>
  <c r="R46" i="92"/>
  <c r="S46" i="92" s="1"/>
  <c r="R47" i="92"/>
  <c r="S47" i="92" s="1"/>
  <c r="R48" i="92"/>
  <c r="S48" i="92" s="1"/>
  <c r="R49" i="92"/>
  <c r="S49" i="92" s="1"/>
  <c r="R50" i="92"/>
  <c r="S50" i="92" s="1"/>
  <c r="R51" i="92"/>
  <c r="S51" i="92" s="1"/>
  <c r="R52" i="92"/>
  <c r="S52" i="92" s="1"/>
  <c r="R53" i="92"/>
  <c r="S53" i="92" s="1"/>
  <c r="R54" i="92"/>
  <c r="S54" i="92" s="1"/>
  <c r="R55" i="92"/>
  <c r="S55" i="92" s="1"/>
  <c r="R56" i="92"/>
  <c r="S56" i="92" s="1"/>
  <c r="R57" i="92"/>
  <c r="S57" i="92" s="1"/>
  <c r="R58" i="92"/>
  <c r="S58" i="92" s="1"/>
  <c r="R59" i="92"/>
  <c r="S59" i="92" s="1"/>
  <c r="R60" i="92"/>
  <c r="S60" i="92" s="1"/>
  <c r="R61" i="92"/>
  <c r="S61" i="92" s="1"/>
  <c r="R62" i="92"/>
  <c r="S62" i="92" s="1"/>
  <c r="R63" i="92"/>
  <c r="S63" i="92" s="1"/>
  <c r="R64" i="92"/>
  <c r="S64" i="92" s="1"/>
  <c r="R65" i="92"/>
  <c r="S65" i="92" s="1"/>
  <c r="R66" i="92"/>
  <c r="S66" i="92" s="1"/>
  <c r="R67" i="92"/>
  <c r="S67" i="92" s="1"/>
  <c r="R68" i="92"/>
  <c r="S68" i="92" s="1"/>
  <c r="R69" i="92"/>
  <c r="S69" i="92" s="1"/>
  <c r="R70" i="92"/>
  <c r="S70" i="92" s="1"/>
  <c r="R71" i="92"/>
  <c r="S71" i="92" s="1"/>
  <c r="R72" i="92"/>
  <c r="S72" i="92" s="1"/>
  <c r="R73" i="92"/>
  <c r="S73" i="92" s="1"/>
  <c r="R74" i="92"/>
  <c r="S74" i="92" s="1"/>
  <c r="R75" i="92"/>
  <c r="S75" i="92" s="1"/>
  <c r="R76" i="92"/>
  <c r="S76" i="92" s="1"/>
  <c r="R77" i="92"/>
  <c r="S77" i="92" s="1"/>
  <c r="R78" i="92"/>
  <c r="S78" i="92" s="1"/>
  <c r="R79" i="92"/>
  <c r="S79" i="92" s="1"/>
  <c r="R80" i="92"/>
  <c r="S80" i="92" s="1"/>
  <c r="R81" i="92"/>
  <c r="S81" i="92" s="1"/>
  <c r="R82" i="92"/>
  <c r="S82" i="92" s="1"/>
  <c r="R83" i="92"/>
  <c r="S83" i="92" s="1"/>
  <c r="R84" i="92"/>
  <c r="S84" i="92" s="1"/>
  <c r="R85" i="92"/>
  <c r="S85" i="92" s="1"/>
  <c r="R86" i="92"/>
  <c r="S86" i="92" s="1"/>
  <c r="R87" i="92"/>
  <c r="S87" i="92" s="1"/>
  <c r="R88" i="92"/>
  <c r="S88" i="92" s="1"/>
  <c r="R89" i="92"/>
  <c r="S89" i="92" s="1"/>
  <c r="R90" i="92"/>
  <c r="S90" i="92" s="1"/>
  <c r="R91" i="92"/>
  <c r="S91" i="92" s="1"/>
  <c r="R92" i="92"/>
  <c r="S92" i="92" s="1"/>
  <c r="R93" i="92"/>
  <c r="S93" i="92" s="1"/>
  <c r="R94" i="92"/>
  <c r="S94" i="92" s="1"/>
  <c r="R95" i="92"/>
  <c r="S95" i="92" s="1"/>
  <c r="R96" i="92"/>
  <c r="S96" i="92" s="1"/>
  <c r="R97" i="92"/>
  <c r="S97" i="92" s="1"/>
  <c r="R98" i="92"/>
  <c r="S98" i="92" s="1"/>
  <c r="R99" i="92"/>
  <c r="S99" i="92" s="1"/>
  <c r="R100" i="92"/>
  <c r="S100" i="92" s="1"/>
  <c r="R101" i="92"/>
  <c r="S101" i="92" s="1"/>
  <c r="R152" i="92"/>
  <c r="S152" i="92" s="1"/>
  <c r="R198" i="92"/>
  <c r="S198" i="92" s="1"/>
  <c r="R200" i="92"/>
  <c r="S200" i="92" s="1"/>
  <c r="R202" i="92"/>
  <c r="S202" i="92" s="1"/>
  <c r="R204" i="92"/>
  <c r="S204" i="92" s="1"/>
  <c r="R206" i="92"/>
  <c r="S206" i="92" s="1"/>
  <c r="R141" i="88"/>
  <c r="S141" i="88" s="1"/>
  <c r="R77" i="88"/>
  <c r="S77" i="88" s="1"/>
  <c r="R200" i="88"/>
  <c r="S200" i="88" s="1"/>
  <c r="R45" i="88"/>
  <c r="S45" i="88" s="1"/>
  <c r="R109" i="88"/>
  <c r="S109" i="88" s="1"/>
  <c r="R173" i="88"/>
  <c r="S173" i="88" s="1"/>
  <c r="R114" i="88"/>
  <c r="S114" i="88" s="1"/>
  <c r="R27" i="88"/>
  <c r="S27" i="88" s="1"/>
  <c r="R61" i="88"/>
  <c r="S61" i="88" s="1"/>
  <c r="R93" i="88"/>
  <c r="S93" i="88" s="1"/>
  <c r="R125" i="88"/>
  <c r="S125" i="88" s="1"/>
  <c r="R157" i="88"/>
  <c r="S157" i="88" s="1"/>
  <c r="R203" i="88"/>
  <c r="S203" i="88" s="1"/>
  <c r="R50" i="88"/>
  <c r="S50" i="88" s="1"/>
  <c r="R136" i="88"/>
  <c r="S136" i="88" s="1"/>
  <c r="R34" i="88"/>
  <c r="S34" i="88" s="1"/>
  <c r="R82" i="88"/>
  <c r="S82" i="88" s="1"/>
  <c r="R201" i="88"/>
  <c r="S201" i="88" s="1"/>
  <c r="R44" i="88"/>
  <c r="S44" i="88" s="1"/>
  <c r="R35" i="88"/>
  <c r="S35" i="88" s="1"/>
  <c r="R53" i="88"/>
  <c r="S53" i="88" s="1"/>
  <c r="R69" i="88"/>
  <c r="S69" i="88" s="1"/>
  <c r="R85" i="88"/>
  <c r="S85" i="88" s="1"/>
  <c r="R101" i="88"/>
  <c r="S101" i="88" s="1"/>
  <c r="R117" i="88"/>
  <c r="S117" i="88" s="1"/>
  <c r="R133" i="88"/>
  <c r="S133" i="88" s="1"/>
  <c r="R149" i="88"/>
  <c r="S149" i="88" s="1"/>
  <c r="R165" i="88"/>
  <c r="S165" i="88" s="1"/>
  <c r="R187" i="88"/>
  <c r="S187" i="88" s="1"/>
  <c r="R184" i="88"/>
  <c r="S184" i="88" s="1"/>
  <c r="R26" i="88"/>
  <c r="S26" i="88" s="1"/>
  <c r="R42" i="88"/>
  <c r="S42" i="88" s="1"/>
  <c r="R66" i="88"/>
  <c r="S66" i="88" s="1"/>
  <c r="R98" i="88"/>
  <c r="S98" i="88" s="1"/>
  <c r="R146" i="88"/>
  <c r="S146" i="88" s="1"/>
  <c r="R168" i="88"/>
  <c r="S168" i="88" s="1"/>
  <c r="R104" i="88"/>
  <c r="S104" i="88" s="1"/>
  <c r="R151" i="88"/>
  <c r="S151" i="88" s="1"/>
  <c r="R130" i="88"/>
  <c r="S130" i="88" s="1"/>
  <c r="R162" i="88"/>
  <c r="S162" i="88" s="1"/>
  <c r="R198" i="88"/>
  <c r="S198" i="88" s="1"/>
  <c r="R152" i="88"/>
  <c r="S152" i="88" s="1"/>
  <c r="R120" i="88"/>
  <c r="S120" i="88" s="1"/>
  <c r="R76" i="88"/>
  <c r="S76" i="88" s="1"/>
  <c r="R188" i="88"/>
  <c r="S188" i="88" s="1"/>
  <c r="R87" i="88"/>
  <c r="S87" i="88" s="1"/>
  <c r="R185" i="88"/>
  <c r="S185" i="88" s="1"/>
  <c r="R182" i="88"/>
  <c r="S182" i="88" s="1"/>
  <c r="R181" i="88"/>
  <c r="S181" i="88" s="1"/>
  <c r="R160" i="88"/>
  <c r="S160" i="88" s="1"/>
  <c r="R144" i="88"/>
  <c r="S144" i="88" s="1"/>
  <c r="R128" i="88"/>
  <c r="S128" i="88" s="1"/>
  <c r="R112" i="88"/>
  <c r="S112" i="88" s="1"/>
  <c r="R92" i="88"/>
  <c r="S92" i="88" s="1"/>
  <c r="R60" i="88"/>
  <c r="S60" i="88" s="1"/>
  <c r="R28" i="88"/>
  <c r="S28" i="88" s="1"/>
  <c r="R191" i="88"/>
  <c r="S191" i="88" s="1"/>
  <c r="R119" i="88"/>
  <c r="S119" i="88" s="1"/>
  <c r="R37" i="88"/>
  <c r="S37" i="88" s="1"/>
  <c r="R58" i="88"/>
  <c r="S58" i="88" s="1"/>
  <c r="R74" i="88"/>
  <c r="S74" i="88" s="1"/>
  <c r="R90" i="88"/>
  <c r="S90" i="88" s="1"/>
  <c r="R106" i="88"/>
  <c r="S106" i="88" s="1"/>
  <c r="R122" i="88"/>
  <c r="S122" i="88" s="1"/>
  <c r="R138" i="88"/>
  <c r="S138" i="88" s="1"/>
  <c r="R154" i="88"/>
  <c r="S154" i="88" s="1"/>
  <c r="R170" i="88"/>
  <c r="S170" i="88" s="1"/>
  <c r="R193" i="88"/>
  <c r="S193" i="88" s="1"/>
  <c r="R174" i="88"/>
  <c r="S174" i="88" s="1"/>
  <c r="R190" i="88"/>
  <c r="S190" i="88" s="1"/>
  <c r="R206" i="88"/>
  <c r="S206" i="88" s="1"/>
  <c r="R172" i="88"/>
  <c r="S172" i="88" s="1"/>
  <c r="R164" i="88"/>
  <c r="S164" i="88" s="1"/>
  <c r="R156" i="88"/>
  <c r="S156" i="88" s="1"/>
  <c r="R148" i="88"/>
  <c r="S148" i="88" s="1"/>
  <c r="R140" i="88"/>
  <c r="S140" i="88" s="1"/>
  <c r="R132" i="88"/>
  <c r="S132" i="88" s="1"/>
  <c r="R124" i="88"/>
  <c r="S124" i="88" s="1"/>
  <c r="R116" i="88"/>
  <c r="S116" i="88" s="1"/>
  <c r="R108" i="88"/>
  <c r="S108" i="88" s="1"/>
  <c r="R100" i="88"/>
  <c r="S100" i="88" s="1"/>
  <c r="R84" i="88"/>
  <c r="S84" i="88" s="1"/>
  <c r="R68" i="88"/>
  <c r="S68" i="88" s="1"/>
  <c r="R52" i="88"/>
  <c r="S52" i="88" s="1"/>
  <c r="R36" i="88"/>
  <c r="S36" i="88" s="1"/>
  <c r="R204" i="88"/>
  <c r="S204" i="88" s="1"/>
  <c r="R207" i="88"/>
  <c r="S207" i="88" s="1"/>
  <c r="R167" i="88"/>
  <c r="S167" i="88" s="1"/>
  <c r="R135" i="88"/>
  <c r="S135" i="88" s="1"/>
  <c r="R103" i="88"/>
  <c r="S103" i="88" s="1"/>
  <c r="R71" i="88"/>
  <c r="S71" i="88" s="1"/>
  <c r="R113" i="88"/>
  <c r="S113" i="88" s="1"/>
  <c r="R70" i="88"/>
  <c r="S70" i="88" s="1"/>
  <c r="R96" i="88"/>
  <c r="S96" i="88" s="1"/>
  <c r="R88" i="88"/>
  <c r="S88" i="88" s="1"/>
  <c r="R80" i="88"/>
  <c r="S80" i="88" s="1"/>
  <c r="R72" i="88"/>
  <c r="S72" i="88" s="1"/>
  <c r="R64" i="88"/>
  <c r="S64" i="88" s="1"/>
  <c r="R56" i="88"/>
  <c r="S56" i="88" s="1"/>
  <c r="R48" i="88"/>
  <c r="S48" i="88" s="1"/>
  <c r="R40" i="88"/>
  <c r="S40" i="88" s="1"/>
  <c r="R32" i="88"/>
  <c r="S32" i="88" s="1"/>
  <c r="R39" i="88"/>
  <c r="S39" i="88" s="1"/>
  <c r="R196" i="88"/>
  <c r="S196" i="88" s="1"/>
  <c r="R180" i="88"/>
  <c r="S180" i="88" s="1"/>
  <c r="R199" i="88"/>
  <c r="S199" i="88" s="1"/>
  <c r="R175" i="88"/>
  <c r="S175" i="88" s="1"/>
  <c r="R159" i="88"/>
  <c r="S159" i="88" s="1"/>
  <c r="R143" i="88"/>
  <c r="S143" i="88" s="1"/>
  <c r="R127" i="88"/>
  <c r="S127" i="88" s="1"/>
  <c r="R111" i="88"/>
  <c r="S111" i="88" s="1"/>
  <c r="R95" i="88"/>
  <c r="S95" i="88" s="1"/>
  <c r="R79" i="88"/>
  <c r="S79" i="88" s="1"/>
  <c r="R55" i="88"/>
  <c r="S55" i="88" s="1"/>
  <c r="R49" i="88"/>
  <c r="S49" i="88" s="1"/>
  <c r="R179" i="88"/>
  <c r="S179" i="88" s="1"/>
  <c r="R205" i="88"/>
  <c r="S205" i="88" s="1"/>
  <c r="R192" i="88"/>
  <c r="S192" i="88" s="1"/>
  <c r="R183" i="88"/>
  <c r="S183" i="88" s="1"/>
  <c r="R171" i="88"/>
  <c r="S171" i="88" s="1"/>
  <c r="R163" i="88"/>
  <c r="S163" i="88" s="1"/>
  <c r="R155" i="88"/>
  <c r="S155" i="88" s="1"/>
  <c r="R147" i="88"/>
  <c r="S147" i="88" s="1"/>
  <c r="R139" i="88"/>
  <c r="S139" i="88" s="1"/>
  <c r="R131" i="88"/>
  <c r="S131" i="88" s="1"/>
  <c r="R123" i="88"/>
  <c r="S123" i="88" s="1"/>
  <c r="R115" i="88"/>
  <c r="S115" i="88" s="1"/>
  <c r="R107" i="88"/>
  <c r="S107" i="88" s="1"/>
  <c r="R99" i="88"/>
  <c r="S99" i="88" s="1"/>
  <c r="R91" i="88"/>
  <c r="S91" i="88" s="1"/>
  <c r="R83" i="88"/>
  <c r="S83" i="88" s="1"/>
  <c r="R75" i="88"/>
  <c r="S75" i="88" s="1"/>
  <c r="R63" i="88"/>
  <c r="S63" i="88" s="1"/>
  <c r="R47" i="88"/>
  <c r="S47" i="88" s="1"/>
  <c r="R29" i="88"/>
  <c r="S29" i="88" s="1"/>
  <c r="R81" i="88"/>
  <c r="S81" i="88" s="1"/>
  <c r="R145" i="88"/>
  <c r="S145" i="88" s="1"/>
  <c r="R38" i="88"/>
  <c r="S38" i="88" s="1"/>
  <c r="R134" i="88"/>
  <c r="S134" i="88" s="1"/>
  <c r="R73" i="88"/>
  <c r="S73" i="88" s="1"/>
  <c r="R30" i="88"/>
  <c r="S30" i="88" s="1"/>
  <c r="R158" i="88"/>
  <c r="S158" i="88" s="1"/>
  <c r="R78" i="88"/>
  <c r="S78" i="88" s="1"/>
  <c r="R102" i="88"/>
  <c r="S102" i="88" s="1"/>
  <c r="R166" i="88"/>
  <c r="S166" i="88" s="1"/>
  <c r="R202" i="88"/>
  <c r="S202" i="88" s="1"/>
  <c r="R137" i="88"/>
  <c r="S137" i="88" s="1"/>
  <c r="R121" i="88"/>
  <c r="S121" i="88" s="1"/>
  <c r="R94" i="88"/>
  <c r="S94" i="88" s="1"/>
  <c r="R194" i="88"/>
  <c r="S194" i="88" s="1"/>
  <c r="R110" i="88"/>
  <c r="S110" i="88" s="1"/>
  <c r="R67" i="88"/>
  <c r="S67" i="88" s="1"/>
  <c r="R59" i="88"/>
  <c r="S59" i="88" s="1"/>
  <c r="R51" i="88"/>
  <c r="S51" i="88" s="1"/>
  <c r="R43" i="88"/>
  <c r="S43" i="88" s="1"/>
  <c r="R33" i="88"/>
  <c r="S33" i="88" s="1"/>
  <c r="R25" i="88"/>
  <c r="S25" i="88" s="1"/>
  <c r="R65" i="88"/>
  <c r="S65" i="88" s="1"/>
  <c r="R97" i="88"/>
  <c r="S97" i="88" s="1"/>
  <c r="R129" i="88"/>
  <c r="S129" i="88" s="1"/>
  <c r="R161" i="88"/>
  <c r="S161" i="88" s="1"/>
  <c r="R176" i="88"/>
  <c r="S176" i="88" s="1"/>
  <c r="R54" i="88"/>
  <c r="S54" i="88" s="1"/>
  <c r="R86" i="88"/>
  <c r="S86" i="88" s="1"/>
  <c r="R118" i="88"/>
  <c r="S118" i="88" s="1"/>
  <c r="R150" i="88"/>
  <c r="S150" i="88" s="1"/>
  <c r="R189" i="88"/>
  <c r="S189" i="88" s="1"/>
  <c r="R186" i="88"/>
  <c r="S186" i="88" s="1"/>
  <c r="R41" i="88"/>
  <c r="S41" i="88" s="1"/>
  <c r="R105" i="88"/>
  <c r="S105" i="88" s="1"/>
  <c r="R169" i="88"/>
  <c r="S169" i="88" s="1"/>
  <c r="R57" i="88"/>
  <c r="S57" i="88" s="1"/>
  <c r="R195" i="88"/>
  <c r="S195" i="88" s="1"/>
  <c r="R62" i="88"/>
  <c r="S62" i="88" s="1"/>
  <c r="R126" i="88"/>
  <c r="S126" i="88" s="1"/>
  <c r="R197" i="88"/>
  <c r="S197" i="88" s="1"/>
  <c r="R89" i="88"/>
  <c r="S89" i="88" s="1"/>
  <c r="R153" i="88"/>
  <c r="S153" i="88" s="1"/>
  <c r="R31" i="88"/>
  <c r="S31" i="88" s="1"/>
  <c r="S24" i="88"/>
  <c r="R46" i="88"/>
  <c r="S46" i="88" s="1"/>
  <c r="R178" i="88"/>
  <c r="S178" i="88" s="1"/>
  <c r="R142" i="88"/>
  <c r="S142" i="88" s="1"/>
  <c r="S22" i="31"/>
  <c r="S22" i="92" l="1"/>
  <c r="S22" i="88"/>
  <c r="R22" i="88" s="1"/>
  <c r="R22" i="31"/>
  <c r="B20" i="31"/>
  <c r="R22" i="92" l="1"/>
  <c r="B20" i="92"/>
  <c r="B21" i="92" s="1"/>
  <c r="B20" i="88"/>
  <c r="B21" i="88" s="1"/>
  <c r="B21" i="31"/>
  <c r="D14" i="74"/>
  <c r="G14" i="74" s="1"/>
  <c r="B6" i="74" s="1"/>
  <c r="D6" i="74" s="1"/>
  <c r="F14" i="74" l="1"/>
  <c r="E14" i="74"/>
  <c r="B5" i="74"/>
  <c r="D5" i="74" l="1"/>
  <c r="C104" i="89"/>
  <c r="H119" i="89"/>
  <c r="C105" i="89"/>
  <c r="H102" i="89"/>
  <c r="D52" i="89"/>
  <c r="D53" i="89"/>
  <c r="P57" i="89"/>
  <c r="N58" i="89"/>
  <c r="C104" i="86"/>
  <c r="H119" i="86"/>
  <c r="C105" i="86"/>
  <c r="H102" i="86"/>
  <c r="D52" i="86"/>
  <c r="D53" i="86"/>
  <c r="N58" i="86"/>
  <c r="P57" i="86"/>
  <c r="N60" i="9"/>
  <c r="N61" i="9"/>
  <c r="I4" i="52"/>
  <c r="C105" i="9"/>
  <c r="H4" i="52"/>
  <c r="C104" i="9"/>
  <c r="D53" i="9"/>
  <c r="D52" i="9"/>
  <c r="P57" i="9"/>
  <c r="N58" i="9"/>
  <c r="N61" i="86"/>
  <c r="N60" i="86"/>
  <c r="N61" i="89"/>
  <c r="N60" i="89"/>
  <c r="C81" i="89"/>
  <c r="E81" i="89"/>
  <c r="C78" i="86"/>
  <c r="C73" i="86"/>
  <c r="M65" i="89"/>
  <c r="C81" i="86"/>
  <c r="C93" i="9"/>
  <c r="C86" i="9"/>
  <c r="H119" i="9"/>
  <c r="H5" i="52"/>
  <c r="N59" i="86"/>
  <c r="B52" i="72"/>
  <c r="N59" i="9"/>
  <c r="M68" i="89"/>
  <c r="L68" i="89"/>
  <c r="L65" i="89"/>
  <c r="N59" i="89"/>
  <c r="M55" i="89"/>
  <c r="B30" i="72"/>
  <c r="C81" i="9"/>
  <c r="H108" i="86"/>
  <c r="M48" i="9"/>
  <c r="E81" i="86"/>
  <c r="L65" i="86"/>
  <c r="M65" i="86"/>
  <c r="B22" i="72"/>
  <c r="L66" i="86"/>
  <c r="M66" i="86"/>
  <c r="L68" i="9"/>
  <c r="M68" i="9"/>
  <c r="F119" i="86"/>
  <c r="E81" i="9"/>
  <c r="C72" i="89"/>
  <c r="C79" i="89"/>
  <c r="C80" i="89"/>
  <c r="E80" i="89"/>
  <c r="H108" i="89"/>
  <c r="D59" i="89"/>
  <c r="N69" i="9"/>
  <c r="L66" i="9"/>
  <c r="M66" i="9"/>
  <c r="B49" i="72"/>
  <c r="F119" i="89"/>
  <c r="M54" i="86"/>
  <c r="B51" i="72"/>
  <c r="F4" i="52"/>
  <c r="C6" i="74"/>
  <c r="L67" i="89"/>
  <c r="M67" i="89"/>
  <c r="N57" i="9"/>
  <c r="D9" i="52"/>
  <c r="G118" i="89"/>
  <c r="F118" i="89"/>
  <c r="M48" i="86"/>
  <c r="C78" i="89"/>
  <c r="C73" i="89"/>
  <c r="D55" i="9"/>
  <c r="M53" i="9"/>
  <c r="L64" i="9"/>
  <c r="M64" i="9"/>
  <c r="C5" i="74"/>
  <c r="C93" i="89"/>
  <c r="C86" i="89"/>
  <c r="E4" i="52"/>
  <c r="B48" i="72"/>
  <c r="H108" i="9"/>
  <c r="D15" i="53"/>
  <c r="B31" i="72"/>
  <c r="D59" i="9"/>
  <c r="M55" i="9"/>
  <c r="L67" i="86"/>
  <c r="M67" i="86"/>
  <c r="E96" i="9"/>
  <c r="E97" i="9"/>
  <c r="D122" i="86"/>
  <c r="D123" i="86"/>
  <c r="D55" i="86"/>
  <c r="M53" i="86"/>
  <c r="N57" i="86"/>
  <c r="D8" i="52"/>
  <c r="D122" i="9"/>
  <c r="D123" i="9"/>
  <c r="C68" i="89"/>
  <c r="D54" i="89"/>
  <c r="N69" i="89"/>
  <c r="D4" i="52"/>
  <c r="B47" i="72"/>
  <c r="D54" i="86"/>
  <c r="L66" i="89"/>
  <c r="M66" i="89"/>
  <c r="E97" i="86"/>
  <c r="B20" i="72"/>
  <c r="D5" i="53"/>
  <c r="D6" i="53"/>
  <c r="D122" i="89"/>
  <c r="D123" i="89"/>
  <c r="L65" i="9"/>
  <c r="M65" i="9"/>
  <c r="C67" i="89"/>
  <c r="M69" i="9"/>
  <c r="D13" i="53"/>
  <c r="D14" i="53"/>
  <c r="B32" i="72"/>
  <c r="L67" i="9"/>
  <c r="M67" i="9"/>
  <c r="M48" i="89"/>
  <c r="C97" i="86"/>
  <c r="D58" i="86"/>
  <c r="D56" i="86"/>
  <c r="M54" i="89"/>
  <c r="C68" i="9"/>
  <c r="D54" i="9"/>
  <c r="D56" i="89"/>
  <c r="D56" i="9"/>
  <c r="M54" i="9"/>
  <c r="L63" i="89"/>
  <c r="M63" i="89"/>
  <c r="M69" i="89"/>
  <c r="E97" i="89"/>
  <c r="D119" i="86"/>
  <c r="C72" i="9"/>
  <c r="C79" i="9"/>
  <c r="C80" i="9"/>
  <c r="E80" i="9"/>
  <c r="M69" i="86"/>
  <c r="N69" i="86"/>
  <c r="E96" i="89"/>
  <c r="C68" i="86"/>
  <c r="C96" i="86"/>
  <c r="E96" i="86"/>
  <c r="D58" i="9"/>
  <c r="C67" i="86"/>
  <c r="D59" i="86"/>
  <c r="M55" i="86"/>
  <c r="L64" i="86"/>
  <c r="M64" i="86"/>
  <c r="C64" i="86"/>
  <c r="C63" i="86"/>
  <c r="L68" i="86"/>
  <c r="M68" i="86"/>
  <c r="B53" i="72"/>
  <c r="G118" i="86"/>
  <c r="F118" i="86"/>
  <c r="D119" i="89"/>
  <c r="C80" i="86"/>
  <c r="E80" i="86"/>
  <c r="E118" i="9"/>
  <c r="D118" i="9"/>
  <c r="D119" i="9"/>
  <c r="D5" i="52"/>
  <c r="H107" i="9"/>
  <c r="M49" i="9"/>
  <c r="L63" i="9"/>
  <c r="M63" i="9"/>
  <c r="D55" i="89"/>
  <c r="M53" i="89"/>
  <c r="N57" i="89"/>
  <c r="C96" i="89"/>
  <c r="E118" i="86"/>
  <c r="D118" i="86"/>
  <c r="C64" i="9"/>
  <c r="C63" i="9"/>
  <c r="C67" i="9"/>
  <c r="H107" i="86"/>
  <c r="M49" i="86"/>
  <c r="L63" i="86"/>
  <c r="M63" i="86"/>
  <c r="C64" i="89"/>
  <c r="C63" i="89"/>
  <c r="C96" i="9"/>
  <c r="C97" i="9"/>
  <c r="G4" i="52"/>
  <c r="G118" i="9"/>
  <c r="F118" i="9"/>
  <c r="F119" i="9"/>
  <c r="F5" i="52"/>
  <c r="E118" i="89"/>
  <c r="D118" i="89"/>
  <c r="H107" i="89"/>
  <c r="M49" i="89"/>
  <c r="L64" i="89"/>
  <c r="M64" i="89"/>
  <c r="C93" i="86"/>
  <c r="C86" i="86"/>
  <c r="H102" i="9"/>
  <c r="D7" i="53"/>
  <c r="B21" i="72"/>
  <c r="C85" i="86"/>
  <c r="C95" i="86"/>
  <c r="I118" i="86"/>
  <c r="H118" i="86"/>
  <c r="H101" i="86"/>
  <c r="D45" i="86"/>
  <c r="C72" i="86"/>
  <c r="C79" i="86"/>
  <c r="C78" i="9"/>
  <c r="C73" i="9"/>
  <c r="I118" i="89"/>
  <c r="H118" i="89"/>
  <c r="H101" i="89"/>
  <c r="D45" i="89"/>
  <c r="C85" i="89"/>
  <c r="C95" i="89"/>
  <c r="C97" i="89"/>
  <c r="D58" i="8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<sst xmlns="http://schemas.openxmlformats.org/spreadsheetml/2006/main" count="13650" uniqueCount="4926">
  <si>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</si>
  <si>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</si>
  <si>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</si>
  <si>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</si>
  <si>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</si>
  <si>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</si>
  <si>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</si>
  <si>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</si>
  <si>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</si>
  <si>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</si>
  <si>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</si>
  <si>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</si>
  <si>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</si>
  <si>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</si>
  <si>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</si>
  <si>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</si>
  <si>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</si>
  <si>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</si>
  <si>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</si>
  <si>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</si>
  <si>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</si>
  <si>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</si>
  <si>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</si>
  <si>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</si>
  <si>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</si>
  <si>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</si>
  <si>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</si>
  <si>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</si>
  <si>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</si>
  <si>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</si>
  <si>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</si>
  <si>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</si>
  <si>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</si>
  <si>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</si>
  <si>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</si>
  <si>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</si>
  <si>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</si>
  <si>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</si>
  <si>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</si>
  <si>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</si>
  <si>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</si>
  <si>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</si>
  <si>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</si>
  <si>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</si>
  <si>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</si>
  <si>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</si>
  <si>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</si>
  <si>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</si>
  <si>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</si>
  <si>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</si>
  <si>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</si>
  <si>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</si>
  <si>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</si>
  <si>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</si>
  <si>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</si>
  <si>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</si>
  <si>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</si>
  <si>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</si>
  <si>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</si>
  <si>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</si>
  <si>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</si>
  <si>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</si>
  <si>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</si>
  <si>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</si>
  <si>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</si>
  <si>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</si>
  <si>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</si>
  <si>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</si>
  <si>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</si>
  <si>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</si>
  <si>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</si>
  <si>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</si>
  <si>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</si>
  <si>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</si>
  <si>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</si>
  <si>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</si>
  <si>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</si>
  <si>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</si>
  <si>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</si>
  <si>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</si>
  <si>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</si>
  <si>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</si>
  <si>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</si>
  <si>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</si>
  <si>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</si>
  <si>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</si>
  <si>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</si>
  <si>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</si>
  <si>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</si>
  <si>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</si>
  <si>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</si>
  <si>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</si>
  <si>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</si>
  <si>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</si>
  <si>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</si>
  <si>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</si>
  <si>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</si>
  <si>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</si>
  <si>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</si>
  <si>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</si>
  <si>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</si>
  <si>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</si>
  <si>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</si>
  <si>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</si>
  <si>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</si>
  <si>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</si>
  <si>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</si>
  <si>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</si>
  <si>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</si>
  <si>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</si>
  <si>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</si>
  <si>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</si>
  <si>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</si>
  <si>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</si>
  <si>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</si>
  <si>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</si>
  <si>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</si>
  <si>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</si>
  <si>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</si>
  <si>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</si>
  <si>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</si>
  <si>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</si>
  <si>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</si>
  <si>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</si>
  <si>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</si>
  <si>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</si>
  <si>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</si>
  <si>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</si>
  <si>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</si>
  <si>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</si>
  <si>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</si>
  <si>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</si>
  <si>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</si>
  <si>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</si>
  <si>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</si>
  <si>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</si>
  <si>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</si>
  <si>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</si>
  <si>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</si>
  <si>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</si>
  <si>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</si>
  <si>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</si>
  <si>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</si>
  <si>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</si>
  <si>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</si>
  <si>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</si>
  <si>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</si>
  <si>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</si>
  <si>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</si>
  <si>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</si>
  <si>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</si>
  <si>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</si>
  <si>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</si>
  <si>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</si>
  <si>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</si>
  <si>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</si>
  <si>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</si>
  <si>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</si>
  <si>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</si>
  <si>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</si>
  <si>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</si>
  <si>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</si>
  <si>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</si>
  <si>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</si>
  <si>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</si>
  <si>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</si>
  <si>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</si>
  <si>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</si>
  <si>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</si>
  <si>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</si>
  <si>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</si>
  <si>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</si>
  <si>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</si>
  <si>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</si>
  <si>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</si>
  <si>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</si>
  <si>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</si>
  <si>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</si>
  <si>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</si>
  <si>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</si>
  <si>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</si>
  <si>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</si>
  <si>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</si>
  <si>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</si>
  <si>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</si>
  <si>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</si>
  <si>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</si>
  <si>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</si>
  <si>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</si>
  <si>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</si>
  <si>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</si>
  <si>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</si>
  <si>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</si>
  <si>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</si>
  <si>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</si>
  <si>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</si>
  <si>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</si>
  <si>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</si>
  <si>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</si>
  <si>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</si>
  <si>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</si>
  <si>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</si>
  <si>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</si>
  <si>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</si>
  <si>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</si>
  <si>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</si>
  <si>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</si>
  <si>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</si>
  <si>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</si>
  <si>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</si>
  <si>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</si>
  <si>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</si>
  <si>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</si>
  <si>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</si>
  <si>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</si>
  <si>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</si>
  <si>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</si>
  <si>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</si>
  <si>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</si>
  <si>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</si>
  <si>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</si>
  <si>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</si>
  <si>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</si>
  <si>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</si>
  <si>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</si>
  <si>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</si>
  <si>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</si>
  <si>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</si>
  <si>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</si>
  <si>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</si>
  <si>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</si>
  <si>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</si>
  <si>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</si>
  <si>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</si>
  <si>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</si>
  <si>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</si>
  <si>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</si>
  <si>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</si>
  <si>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</si>
  <si>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</si>
  <si>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</si>
  <si>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</si>
  <si>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</si>
  <si>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</si>
  <si>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</si>
  <si>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</si>
  <si>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</si>
  <si>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</si>
  <si>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</si>
  <si>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</si>
  <si>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</si>
  <si>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</si>
  <si>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</si>
  <si>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</si>
  <si>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</si>
  <si>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</si>
  <si>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</si>
  <si>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</si>
  <si>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</si>
  <si>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</si>
  <si>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</si>
  <si>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</si>
  <si>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</si>
  <si>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</si>
  <si>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</si>
  <si>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</si>
  <si>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</si>
  <si>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</si>
  <si>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</si>
  <si>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</si>
  <si>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</si>
  <si>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</si>
  <si>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</si>
  <si>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</si>
  <si>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</si>
  <si>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</si>
  <si>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</si>
  <si>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</si>
  <si>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</si>
  <si>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</si>
  <si>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</si>
  <si>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</si>
  <si>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</si>
  <si>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</si>
  <si>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</si>
  <si>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</si>
  <si>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</si>
  <si>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</si>
  <si>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</si>
  <si>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</si>
  <si>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</si>
  <si>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</si>
  <si>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</si>
  <si>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</si>
  <si>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</si>
  <si>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</si>
  <si>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</si>
  <si>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</si>
  <si>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</si>
  <si>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</si>
  <si>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</si>
  <si>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</si>
  <si>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</si>
  <si>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</si>
  <si>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</si>
  <si>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</si>
  <si>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</si>
  <si>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</si>
  <si>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</si>
  <si>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</si>
  <si>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</si>
  <si>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</si>
  <si>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</si>
  <si>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</si>
  <si>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</si>
  <si>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</si>
  <si>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</si>
  <si>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</si>
  <si>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</si>
  <si>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</si>
  <si>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</si>
  <si>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</si>
  <si>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</si>
  <si>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</si>
  <si>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</si>
  <si>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</si>
  <si>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</si>
  <si>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</si>
  <si>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</si>
  <si>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</si>
  <si>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</si>
  <si>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</si>
  <si>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</si>
  <si>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</si>
  <si>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</si>
  <si>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</si>
  <si>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</si>
  <si>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</si>
  <si>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</si>
  <si>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</si>
  <si>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</si>
  <si>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</si>
  <si>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</si>
  <si>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</si>
  <si>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</si>
  <si>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</si>
  <si>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</si>
  <si>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</si>
  <si>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</si>
  <si>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</si>
  <si>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</si>
  <si>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</si>
  <si>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</si>
  <si>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</si>
  <si>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</si>
  <si>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</si>
  <si>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</si>
  <si>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</si>
  <si>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</si>
  <si>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</si>
  <si>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</si>
  <si>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</si>
  <si>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</si>
  <si>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</si>
  <si>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</si>
  <si>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</si>
  <si>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</si>
  <si>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</si>
  <si>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</si>
  <si>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</si>
  <si>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</si>
  <si>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</si>
  <si>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</si>
  <si>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</si>
  <si>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</si>
  <si>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</si>
  <si>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</si>
  <si>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</si>
  <si>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</si>
  <si>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</si>
  <si>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</si>
  <si>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</si>
  <si>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</si>
  <si>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</si>
  <si>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</si>
  <si>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</si>
  <si>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</si>
  <si>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</si>
  <si>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</si>
  <si>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</si>
  <si>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</si>
  <si>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</si>
  <si>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</si>
  <si>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</si>
  <si>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</si>
  <si>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</si>
  <si>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</si>
  <si>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</si>
  <si>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</si>
  <si>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</si>
  <si>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</si>
  <si>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</si>
  <si>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</si>
  <si>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</si>
  <si>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</si>
  <si>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</si>
  <si>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</si>
  <si>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</si>
  <si>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</si>
  <si>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</si>
  <si>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</si>
  <si>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</si>
  <si>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</si>
  <si>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</si>
  <si>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</si>
  <si>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</si>
  <si>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</si>
  <si>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</si>
  <si>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</si>
  <si>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</si>
  <si>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</si>
  <si>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</si>
  <si>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</si>
  <si>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</si>
  <si>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</si>
  <si>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</si>
  <si>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</si>
  <si>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</si>
  <si>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</si>
  <si>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</si>
  <si>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</si>
  <si>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</si>
  <si>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</si>
  <si>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</si>
  <si>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</si>
  <si>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</si>
  <si>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</si>
  <si>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</si>
  <si>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</si>
  <si>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</si>
  <si>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</si>
  <si>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</si>
  <si>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</si>
  <si>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</si>
  <si>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</si>
  <si>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</si>
  <si>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</si>
  <si>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</si>
  <si>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</si>
  <si>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</si>
  <si>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</si>
  <si>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</si>
  <si>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</si>
  <si>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</si>
  <si>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</si>
  <si>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</si>
  <si>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</si>
  <si>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</si>
  <si>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</si>
  <si>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</si>
  <si>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</si>
  <si>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</si>
  <si>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</si>
  <si>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</si>
  <si>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</si>
  <si>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</si>
  <si>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</si>
  <si>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</si>
  <si>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</si>
  <si>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</si>
  <si>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</si>
  <si>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</si>
  <si>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</si>
  <si>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</si>
  <si>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</si>
  <si>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</si>
  <si>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</si>
  <si>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</si>
  <si>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</si>
  <si>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</si>
  <si>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</si>
  <si>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</si>
  <si>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</si>
  <si>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</si>
  <si>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</si>
  <si>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</si>
  <si>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</si>
  <si>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</si>
  <si>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</si>
  <si>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</si>
  <si>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</si>
  <si>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</si>
  <si>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</si>
  <si>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</si>
  <si>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</si>
  <si>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</si>
  <si>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</si>
  <si>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</si>
  <si>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</si>
  <si>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</si>
  <si>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</si>
  <si>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</si>
  <si>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</si>
  <si>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</si>
  <si>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</si>
  <si>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</si>
  <si>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</si>
  <si>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</si>
  <si>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</si>
  <si>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</si>
  <si>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</si>
  <si>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</si>
  <si>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</si>
  <si>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</si>
  <si>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</si>
  <si>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</si>
  <si>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</si>
  <si>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</si>
  <si>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</si>
  <si>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</si>
  <si>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</si>
  <si>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</si>
  <si>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</si>
  <si>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</si>
  <si>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</si>
  <si>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</si>
  <si>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</si>
  <si>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</si>
  <si>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</si>
  <si>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</si>
  <si>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</si>
  <si>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</si>
  <si>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</si>
  <si>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</si>
  <si>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</si>
  <si>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</si>
  <si>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</si>
  <si>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</si>
  <si>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</si>
  <si>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</si>
  <si>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</si>
  <si>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</si>
  <si>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</si>
  <si>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</si>
  <si>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</si>
  <si>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</si>
  <si>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</si>
  <si>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</si>
  <si>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</si>
  <si>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</si>
  <si>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</si>
  <si>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</si>
  <si>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</si>
  <si>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</si>
  <si>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</si>
  <si>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</si>
  <si>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</si>
  <si>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</si>
  <si>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</si>
  <si>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</si>
  <si>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</si>
  <si>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</si>
  <si>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</si>
  <si>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</si>
  <si>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</si>
  <si>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</si>
  <si>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</si>
  <si>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</si>
  <si>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</si>
  <si>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</si>
  <si>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</si>
  <si>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</si>
  <si>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</si>
  <si>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</si>
  <si>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</si>
  <si>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</si>
  <si>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</si>
  <si>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</si>
  <si>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</si>
  <si>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</si>
  <si>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</si>
  <si>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</si>
  <si>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</si>
  <si>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</si>
  <si>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</si>
  <si>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</si>
  <si>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</si>
  <si>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</si>
  <si>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</si>
  <si>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</si>
  <si>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</si>
  <si>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</si>
  <si>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</si>
  <si>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</si>
  <si>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</si>
  <si>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</si>
  <si>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</si>
  <si>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</si>
  <si>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</si>
  <si>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</si>
  <si>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</si>
  <si>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</si>
  <si>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</si>
  <si>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</si>
  <si>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</si>
  <si>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</si>
  <si>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</si>
  <si>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</si>
  <si>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</si>
  <si>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</si>
  <si>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</si>
  <si>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</si>
  <si>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</si>
  <si>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</si>
  <si>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</si>
  <si>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</si>
  <si>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</si>
  <si>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</si>
  <si>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</si>
  <si>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</si>
  <si>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</si>
  <si>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</si>
  <si>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</si>
  <si>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</si>
  <si>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</si>
  <si>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</si>
  <si>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</si>
  <si>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</si>
  <si>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</si>
  <si>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</si>
  <si>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</si>
  <si>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</si>
  <si>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</si>
  <si>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</si>
  <si>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</si>
  <si>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</si>
  <si>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</si>
  <si>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</si>
  <si>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</si>
  <si>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</si>
  <si>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</si>
  <si>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</si>
  <si>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</si>
  <si>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</si>
  <si>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</si>
  <si>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</si>
  <si>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</si>
  <si>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</si>
  <si>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</si>
  <si>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</si>
  <si>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</si>
  <si>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</si>
  <si>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</si>
  <si>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</si>
  <si>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</si>
  <si>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</si>
  <si>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</si>
  <si>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</si>
  <si>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</si>
  <si>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</si>
  <si>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</si>
  <si>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</si>
  <si>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</si>
  <si>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</si>
  <si>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</si>
  <si>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</si>
  <si>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</si>
  <si>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</si>
  <si>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</si>
  <si>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</si>
  <si>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</si>
  <si>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</si>
  <si>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</si>
  <si>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</si>
  <si>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</si>
  <si>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</si>
  <si>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</si>
  <si>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</si>
  <si>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</si>
  <si>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</si>
  <si>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</si>
  <si>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</si>
  <si>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</si>
  <si>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</si>
  <si>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</si>
  <si>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</si>
  <si>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</si>
  <si>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</si>
  <si>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</si>
  <si>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</si>
  <si>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</si>
  <si>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</si>
  <si>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</si>
  <si>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</si>
  <si>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</si>
  <si>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</si>
  <si>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</si>
  <si>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</si>
  <si>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</si>
  <si>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</si>
  <si>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</si>
  <si>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</si>
  <si>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</si>
  <si>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</si>
  <si>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</si>
  <si>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</si>
  <si>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</si>
  <si>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</si>
  <si>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</si>
  <si>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</si>
  <si>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</si>
  <si>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</si>
  <si>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</si>
  <si>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</si>
  <si>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</si>
  <si>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</si>
  <si>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</si>
  <si>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</si>
  <si>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</si>
  <si>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</si>
  <si>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</si>
  <si>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</si>
  <si>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</si>
  <si>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</si>
  <si>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</si>
  <si>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</si>
  <si>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</si>
  <si>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</si>
  <si>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</si>
  <si>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</si>
  <si>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</si>
  <si>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</si>
  <si>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</si>
  <si>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</si>
  <si>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</si>
  <si>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</si>
  <si>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</si>
  <si>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</si>
  <si>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</si>
  <si>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</si>
  <si>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</si>
  <si>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</si>
  <si>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</si>
  <si>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</si>
  <si>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</si>
  <si>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</si>
  <si>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</si>
  <si>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</si>
  <si>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</si>
  <si>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</si>
  <si>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</si>
  <si>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</si>
  <si>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</si>
  <si>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</si>
  <si>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</si>
  <si>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</si>
  <si>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</si>
  <si>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</si>
  <si>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</si>
  <si>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</si>
  <si>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</si>
  <si>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</si>
  <si>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</si>
  <si>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</si>
  <si>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</si>
  <si>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</si>
  <si>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</si>
  <si>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</si>
  <si>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</si>
  <si>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</si>
  <si>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</si>
  <si>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</si>
  <si>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</si>
  <si>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</si>
  <si>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</si>
  <si>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</si>
  <si>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</si>
  <si>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</si>
  <si>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</si>
  <si>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</si>
  <si>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</si>
  <si>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</si>
  <si>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</si>
  <si>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</si>
  <si>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</si>
  <si>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</si>
  <si>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</si>
  <si>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</si>
  <si>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</si>
  <si>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</si>
  <si>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</si>
  <si>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</si>
  <si>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</si>
  <si>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</si>
  <si>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</si>
  <si>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</si>
  <si>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</si>
  <si>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</si>
  <si>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</si>
  <si>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</si>
  <si>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</si>
  <si>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</si>
  <si>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</si>
  <si>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</si>
  <si>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</si>
  <si>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</si>
  <si>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</si>
  <si>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</si>
  <si>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</si>
  <si>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</si>
  <si>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</si>
  <si>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</si>
  <si>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</si>
  <si>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</si>
  <si>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</si>
  <si>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</si>
  <si>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</si>
  <si>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</si>
  <si>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</si>
  <si>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</si>
  <si>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</si>
  <si>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</si>
  <si>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</si>
  <si>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</si>
  <si>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</si>
  <si>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</si>
  <si>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</si>
  <si>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</si>
  <si>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</si>
  <si>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</si>
  <si>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</si>
  <si>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</si>
  <si>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</si>
  <si>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</si>
  <si>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</si>
  <si>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</si>
  <si>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</si>
  <si>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</si>
  <si>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</si>
  <si>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</si>
  <si>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</si>
  <si>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</si>
  <si>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</si>
  <si>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</si>
  <si>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</si>
  <si>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</si>
  <si>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</si>
  <si>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</si>
  <si>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</si>
  <si>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</si>
  <si>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</si>
  <si>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</si>
  <si>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</si>
  <si>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</si>
  <si>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</si>
  <si>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</si>
  <si>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</si>
  <si>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</si>
  <si>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</si>
  <si>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</si>
  <si>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</si>
  <si>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</si>
  <si>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</si>
  <si>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</si>
  <si>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</si>
  <si>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</si>
  <si>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</si>
  <si>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</si>
  <si>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</si>
  <si>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</si>
  <si>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</si>
  <si>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</si>
  <si>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</si>
  <si>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</si>
  <si>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</si>
  <si>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</si>
  <si>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</si>
  <si>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</si>
  <si>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</si>
  <si>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</si>
  <si>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</si>
  <si>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</si>
  <si>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</si>
  <si>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</si>
  <si>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</si>
  <si>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</si>
  <si>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</si>
  <si>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</si>
  <si>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</si>
  <si>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</si>
  <si>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</si>
  <si>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</si>
  <si>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</si>
  <si>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</si>
  <si>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</si>
  <si>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</si>
  <si>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</si>
  <si>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</si>
  <si>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</si>
  <si>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</si>
  <si>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</si>
  <si>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</si>
  <si>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</si>
  <si>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</si>
  <si>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</si>
  <si>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</si>
  <si>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</si>
  <si>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</si>
  <si>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</si>
  <si>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</si>
  <si>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</si>
  <si>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</si>
  <si>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</si>
  <si>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</si>
  <si>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</si>
  <si>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</si>
  <si>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</si>
  <si>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</si>
  <si>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</si>
  <si>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</si>
  <si>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</si>
  <si>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</si>
  <si>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</si>
  <si>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</si>
  <si>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</si>
  <si>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</si>
  <si>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</si>
  <si>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</si>
  <si>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</si>
  <si>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</si>
  <si>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</si>
  <si>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</si>
  <si>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</si>
  <si>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</si>
  <si>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</si>
  <si>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</si>
  <si>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</si>
  <si>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</si>
  <si>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</si>
  <si>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</si>
  <si>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</si>
  <si>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</si>
  <si>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</si>
  <si>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</si>
  <si>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</si>
  <si>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</si>
  <si>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</si>
  <si>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</si>
  <si>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</si>
  <si>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</si>
  <si>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</si>
  <si>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</si>
  <si>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</si>
  <si>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</si>
  <si>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</si>
  <si>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</si>
  <si>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</si>
  <si>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</si>
  <si>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</si>
  <si>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</si>
  <si>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</si>
  <si>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</si>
  <si>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</si>
  <si>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</si>
  <si>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</si>
  <si>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</si>
  <si>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</si>
  <si>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</si>
  <si>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</si>
  <si>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</si>
  <si>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</si>
  <si>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</si>
  <si>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</si>
  <si>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</si>
  <si>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</si>
  <si>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</si>
  <si>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</si>
  <si>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</si>
  <si>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</si>
  <si>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</si>
  <si>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</si>
  <si>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</si>
  <si>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</si>
  <si>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</si>
  <si>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</si>
  <si>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</si>
  <si>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</si>
  <si>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</si>
  <si>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</si>
  <si>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</si>
  <si>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</si>
  <si>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</si>
  <si>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</si>
  <si>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</si>
  <si>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</si>
  <si>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</si>
  <si>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</si>
  <si>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</si>
  <si>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</si>
  <si>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</si>
  <si>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</si>
  <si>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</si>
  <si>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</si>
  <si>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</si>
  <si>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</si>
  <si>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</si>
  <si>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</si>
  <si>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</si>
  <si>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</si>
  <si>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</si>
  <si>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</si>
  <si>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</si>
  <si>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</si>
  <si>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</si>
  <si>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</si>
  <si>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</si>
  <si>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</si>
  <si>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</si>
  <si>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</si>
  <si>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</si>
  <si>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</si>
  <si>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</si>
  <si>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</si>
  <si>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</si>
  <si>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</si>
  <si>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</si>
  <si>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</si>
  <si>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</si>
  <si>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</si>
  <si>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</si>
  <si>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</si>
  <si>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</si>
  <si>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</si>
  <si>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</si>
  <si>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</si>
  <si>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</si>
  <si>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</si>
  <si>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</si>
  <si>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</si>
  <si>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</si>
  <si>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</si>
  <si>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</si>
  <si>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</si>
  <si>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</si>
  <si>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</si>
  <si>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</si>
  <si>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</si>
  <si>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</si>
  <si>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</si>
  <si>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</si>
  <si>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</si>
  <si>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</si>
  <si>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</si>
  <si>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</si>
  <si>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</si>
  <si>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</si>
  <si>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</si>
  <si>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</si>
  <si>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</si>
  <si>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</si>
  <si>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</si>
  <si>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</si>
  <si>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</si>
  <si>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</si>
  <si>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</si>
  <si>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</si>
  <si>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</si>
  <si>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</si>
  <si>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</si>
  <si>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</si>
  <si>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</si>
  <si>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</si>
  <si>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</si>
  <si>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</si>
  <si>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</si>
  <si>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</si>
  <si>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</si>
  <si>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</si>
  <si>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</si>
  <si>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</si>
  <si>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</si>
  <si>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</si>
  <si>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</si>
  <si>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</si>
  <si>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</si>
  <si>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</si>
  <si>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</si>
  <si>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</si>
  <si>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</si>
  <si>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</si>
  <si>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</si>
  <si>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</si>
  <si>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</si>
  <si>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</si>
  <si>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</si>
  <si>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</si>
  <si>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</si>
  <si>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</si>
  <si>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</si>
  <si>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</si>
  <si>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</si>
  <si>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</si>
  <si>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</si>
  <si>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</si>
  <si>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</si>
  <si>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</si>
  <si>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</si>
  <si>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</si>
  <si>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</si>
  <si>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</si>
  <si>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</si>
  <si>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</si>
  <si>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</si>
  <si>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</si>
  <si>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</si>
  <si>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</si>
  <si>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</si>
  <si>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</si>
  <si>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</si>
  <si>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</si>
  <si>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</si>
  <si>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</si>
  <si>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</si>
  <si>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</si>
  <si>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</si>
  <si>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</si>
  <si>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</si>
  <si>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</si>
  <si>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</si>
  <si>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</si>
  <si>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</si>
  <si>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</si>
  <si>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</si>
  <si>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</si>
  <si>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</si>
  <si>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</si>
  <si>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</si>
  <si>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</si>
  <si>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</si>
  <si>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</si>
  <si>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</si>
  <si>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</si>
  <si>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</si>
  <si>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</si>
  <si>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</si>
  <si>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</si>
  <si>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</si>
  <si>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</si>
  <si>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</si>
  <si>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</si>
  <si>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</si>
  <si>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</si>
  <si>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</si>
  <si>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</si>
  <si>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</si>
  <si>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</si>
  <si>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</si>
  <si>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</si>
  <si>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</si>
  <si>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</si>
  <si>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</si>
  <si>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</si>
  <si>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</si>
  <si>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</si>
  <si>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</si>
  <si>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</si>
  <si>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</si>
  <si>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</si>
  <si>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</si>
  <si>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</si>
  <si>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</si>
  <si>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</si>
  <si>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</si>
  <si>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</si>
  <si>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</si>
  <si>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</si>
  <si>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</si>
  <si>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</si>
  <si>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</si>
  <si>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</si>
  <si>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</si>
  <si>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</si>
  <si>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</si>
  <si>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</si>
  <si>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</si>
  <si>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</si>
  <si>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</si>
  <si>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</si>
  <si>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</si>
  <si>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</si>
  <si>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</si>
  <si>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</si>
  <si>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</si>
  <si>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</si>
  <si>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</si>
  <si>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</si>
  <si>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</si>
  <si>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</si>
  <si>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</si>
  <si>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</si>
  <si>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</si>
  <si>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</si>
  <si>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</si>
  <si>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</si>
  <si>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</si>
  <si>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</si>
  <si>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</si>
  <si>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</si>
  <si>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</si>
  <si>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</si>
  <si>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</si>
  <si>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</si>
  <si>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</si>
  <si>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</si>
  <si>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</si>
  <si>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</si>
  <si>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</si>
  <si>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</si>
  <si>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</si>
  <si>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</si>
  <si>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</si>
  <si>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</si>
  <si>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</si>
  <si>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</si>
  <si>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</si>
  <si>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</si>
  <si>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</si>
  <si>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</si>
  <si>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</si>
  <si>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</si>
  <si>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</si>
  <si>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</si>
  <si>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</si>
  <si>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</si>
  <si>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</si>
  <si>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</si>
  <si>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</si>
  <si>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</si>
  <si>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</si>
  <si>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</si>
  <si>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</si>
  <si>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</si>
  <si>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</si>
  <si>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</si>
  <si>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</si>
  <si>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</si>
  <si>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</si>
  <si>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</si>
  <si>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</si>
  <si>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</si>
  <si>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</si>
  <si>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</si>
  <si>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</si>
  <si>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</si>
  <si>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</si>
  <si>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</si>
  <si>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</si>
  <si>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</si>
  <si>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</si>
  <si>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</si>
  <si>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</si>
  <si>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</si>
  <si>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</si>
  <si>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</si>
  <si>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</si>
  <si>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</si>
  <si>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</si>
  <si>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</si>
  <si>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</si>
  <si>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</si>
  <si>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</si>
  <si>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</si>
  <si>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</si>
  <si>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</si>
  <si>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</si>
  <si>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</si>
  <si>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</si>
  <si>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</si>
  <si>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</si>
  <si>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</si>
  <si>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</si>
  <si>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</si>
  <si>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</si>
  <si>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</si>
  <si>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</si>
  <si>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</si>
  <si>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</si>
  <si>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</si>
  <si>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</si>
  <si>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</si>
  <si>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</si>
  <si>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</si>
  <si>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</si>
  <si>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</si>
  <si>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</si>
  <si>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</si>
  <si>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</si>
  <si>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</si>
  <si>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</si>
  <si>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</si>
  <si>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</si>
  <si>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</si>
  <si>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</si>
  <si>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</si>
  <si>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</si>
  <si>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</si>
  <si>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</si>
  <si>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</si>
  <si>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</si>
  <si>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</si>
  <si>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</si>
  <si>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</si>
  <si>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</si>
  <si>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</si>
  <si>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</si>
  <si>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</si>
  <si>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</si>
  <si>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</si>
  <si>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</si>
  <si>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</si>
  <si>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</si>
  <si>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</si>
  <si>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</si>
  <si>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</si>
  <si>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</si>
  <si>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</si>
  <si>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</si>
  <si>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</si>
  <si>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</si>
  <si>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</si>
  <si>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</si>
  <si>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</si>
  <si>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</si>
  <si>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</si>
  <si>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</si>
  <si>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</si>
  <si>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</si>
  <si>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</si>
  <si>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</si>
  <si>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</si>
  <si>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</si>
  <si>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</si>
  <si>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</si>
  <si>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</si>
  <si>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</si>
  <si>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</si>
  <si>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</si>
  <si>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</si>
  <si>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</si>
  <si>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</si>
  <si>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</si>
  <si>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</si>
  <si>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</si>
  <si>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</si>
  <si>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</si>
  <si>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</si>
  <si>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</si>
  <si>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</si>
  <si>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</si>
  <si>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</si>
  <si>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</si>
  <si>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</si>
  <si>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</si>
  <si>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</si>
  <si>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</si>
  <si>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</si>
  <si>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</si>
  <si>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</si>
  <si>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</si>
  <si>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</si>
  <si>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</si>
  <si>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</si>
  <si>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</si>
  <si>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</si>
  <si>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</si>
  <si>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</si>
  <si>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</si>
  <si>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</si>
  <si>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</si>
  <si>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</si>
  <si>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</si>
  <si>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</si>
  <si>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</si>
  <si>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</si>
  <si>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</si>
  <si>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</si>
  <si>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</si>
  <si>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</si>
  <si>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</si>
  <si>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</si>
  <si>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</si>
  <si>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</si>
  <si>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</si>
  <si>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</si>
  <si>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</si>
  <si>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</si>
  <si>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</si>
  <si>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</si>
  <si>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</si>
  <si>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</si>
  <si>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</si>
  <si>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</si>
  <si>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</si>
  <si>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</si>
  <si>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</si>
  <si>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</si>
  <si>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</si>
  <si>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</si>
  <si>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</si>
  <si>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</si>
  <si>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</si>
  <si>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</si>
  <si>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</si>
  <si>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</si>
  <si>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</si>
  <si>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</si>
  <si>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</si>
  <si>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</si>
  <si>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</si>
  <si>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</si>
  <si>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</si>
  <si>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</si>
  <si>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</si>
  <si>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</si>
  <si>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</si>
  <si>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</si>
  <si>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</si>
  <si>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</si>
  <si>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</si>
  <si>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</si>
  <si>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</si>
  <si>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</si>
  <si>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</si>
  <si>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</si>
  <si>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</si>
  <si>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</si>
  <si>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</si>
  <si>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</si>
  <si>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</si>
  <si>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</si>
  <si>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</si>
  <si>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</si>
  <si>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</si>
  <si>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</si>
  <si>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</si>
  <si>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</si>
  <si>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</si>
  <si>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</si>
  <si>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</si>
  <si>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</si>
  <si>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</si>
  <si>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</si>
  <si>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</si>
  <si>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</si>
  <si>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</si>
  <si>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</si>
  <si>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</si>
  <si>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</si>
  <si>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</si>
  <si>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</si>
  <si>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</si>
  <si>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</si>
  <si>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</si>
  <si>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</si>
  <si>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</si>
  <si>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</si>
  <si>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</si>
  <si>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</si>
  <si>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</si>
  <si>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</si>
  <si>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</si>
  <si>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</si>
  <si>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</si>
  <si>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</si>
  <si>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</si>
  <si>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</si>
  <si>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</si>
  <si>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</si>
  <si>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</si>
  <si>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</si>
  <si>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</si>
  <si>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</si>
  <si>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</si>
  <si>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</si>
  <si>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</si>
  <si>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</si>
  <si>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</si>
  <si>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</si>
  <si>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</si>
  <si>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</si>
  <si>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</si>
  <si>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</si>
  <si>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</si>
  <si>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</si>
  <si>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</si>
  <si>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</si>
  <si>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</si>
  <si>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</si>
  <si>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</si>
  <si>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</si>
  <si>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</si>
  <si>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</si>
  <si>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</si>
  <si>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</si>
  <si>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</si>
  <si>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</si>
  <si>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</si>
  <si>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</si>
  <si>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</si>
  <si>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</si>
  <si>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</si>
  <si>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</si>
  <si>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</si>
  <si>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</si>
  <si>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</si>
  <si>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</si>
  <si>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</si>
  <si>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</si>
  <si>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</si>
  <si>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</si>
  <si>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</si>
  <si>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</si>
  <si>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</si>
  <si>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</si>
  <si>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</si>
  <si>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</si>
  <si>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</si>
  <si>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</si>
  <si>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</si>
  <si>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</si>
  <si>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</si>
  <si>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</si>
  <si>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</si>
  <si>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</si>
  <si>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</si>
  <si>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</si>
  <si>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</si>
  <si>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</si>
  <si>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</si>
  <si>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</si>
  <si>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</si>
  <si>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</si>
  <si>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</si>
  <si>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</si>
  <si>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</si>
  <si>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</si>
  <si>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</si>
  <si>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</si>
  <si>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</si>
  <si>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</si>
  <si>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</si>
  <si>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</si>
  <si>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</si>
  <si>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</si>
  <si>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</si>
  <si>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</si>
  <si>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</si>
  <si>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</si>
  <si>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</si>
  <si>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</si>
  <si>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</si>
  <si>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</si>
  <si>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</si>
  <si>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</si>
  <si>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</si>
  <si>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</si>
  <si>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</si>
  <si>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</si>
  <si>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</si>
  <si>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</si>
  <si>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</si>
  <si>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</si>
  <si>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</si>
  <si>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</si>
  <si>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</si>
  <si>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</si>
  <si>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</si>
  <si>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</si>
  <si>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</si>
  <si>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</si>
  <si>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</si>
  <si>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</si>
  <si>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</si>
  <si>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</si>
  <si>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</si>
  <si>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</si>
  <si>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</si>
  <si>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</si>
  <si>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</si>
  <si>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</si>
  <si>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</si>
  <si>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</si>
  <si>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</si>
  <si>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</si>
  <si>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</si>
  <si>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</si>
  <si>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</si>
  <si>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</si>
  <si>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</si>
  <si>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</si>
  <si>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</si>
  <si>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</si>
  <si>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</si>
  <si>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</si>
  <si>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</si>
  <si>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</si>
  <si>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</si>
  <si>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</si>
  <si>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</si>
  <si>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</si>
  <si>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</si>
  <si>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</si>
  <si>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</si>
  <si>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</si>
  <si>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</si>
  <si>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</si>
  <si>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</si>
  <si>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</si>
  <si>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</si>
  <si>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</si>
  <si>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</si>
  <si>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</si>
  <si>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</si>
  <si>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</si>
  <si>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</si>
  <si>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</si>
  <si>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</si>
  <si>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</si>
  <si>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</si>
  <si>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</si>
  <si>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</si>
  <si>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</si>
  <si>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</si>
  <si>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</si>
  <si>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</si>
  <si>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</si>
  <si>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</si>
  <si>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</si>
  <si>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</si>
  <si>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</si>
  <si>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</si>
  <si>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</si>
  <si>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</si>
  <si>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</si>
  <si>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</si>
  <si>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</si>
  <si>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</si>
  <si>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</si>
  <si>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</si>
  <si>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</si>
  <si>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</si>
  <si>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</si>
  <si>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</si>
  <si>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</si>
  <si>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</si>
  <si>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</si>
  <si>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</si>
  <si>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</si>
  <si>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</si>
  <si>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</si>
  <si>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</si>
  <si>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</si>
  <si>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</si>
  <si>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</si>
  <si>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</si>
  <si>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</si>
  <si>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</si>
  <si>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</si>
  <si>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</si>
  <si>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</si>
  <si>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</si>
  <si>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</si>
  <si>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</si>
  <si>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</si>
  <si>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</si>
  <si>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</si>
  <si>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</si>
  <si>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</si>
  <si>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</si>
  <si>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</si>
  <si>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</si>
  <si>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</si>
  <si>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</si>
  <si>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</si>
  <si>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</si>
  <si>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</si>
  <si>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</si>
  <si>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</si>
  <si>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</si>
  <si>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</si>
  <si>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</si>
  <si>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</si>
  <si>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</si>
  <si>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</si>
  <si>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</si>
  <si>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</si>
  <si>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</si>
  <si>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</si>
  <si>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</si>
  <si>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</si>
  <si>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</si>
  <si>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</si>
  <si>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</si>
  <si>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</si>
  <si>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</si>
  <si>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</si>
  <si>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</si>
  <si>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</si>
  <si>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</si>
  <si>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</si>
  <si>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</si>
  <si>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</si>
  <si>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</si>
  <si>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</si>
  <si>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</si>
  <si>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</si>
  <si>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</si>
  <si>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</si>
  <si>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</si>
  <si>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</si>
  <si>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</si>
  <si>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</si>
  <si>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</si>
  <si>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</si>
  <si>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</si>
  <si>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</si>
  <si>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</si>
  <si>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</si>
  <si>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</si>
  <si>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</si>
  <si>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</si>
  <si>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</si>
  <si>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</si>
  <si>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</si>
  <si>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</si>
  <si>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</si>
  <si>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</si>
  <si>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</si>
  <si>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</si>
  <si>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</si>
  <si>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</si>
  <si>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</si>
  <si>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</si>
  <si>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</si>
  <si>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</si>
  <si>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</si>
  <si>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</si>
  <si>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</si>
  <si>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</si>
  <si>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</si>
  <si>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</si>
  <si>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</si>
  <si>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</si>
  <si>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</si>
  <si>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</si>
  <si>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</si>
  <si>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</si>
  <si>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</si>
  <si>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</si>
  <si>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</si>
  <si>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</si>
  <si>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</si>
  <si>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</si>
  <si>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</si>
  <si>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</si>
  <si>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</si>
  <si>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</si>
  <si>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</si>
  <si>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</si>
  <si>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</si>
  <si>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</si>
  <si>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</si>
  <si>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</si>
  <si>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</si>
  <si>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</si>
  <si>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</si>
  <si>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</si>
  <si>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</si>
  <si>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</si>
  <si>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</si>
  <si>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</si>
  <si>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</si>
  <si>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</si>
  <si>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</si>
  <si>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</si>
  <si>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</si>
  <si>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</si>
  <si>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</si>
  <si>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</si>
  <si>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</si>
  <si>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</si>
  <si>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</si>
  <si>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</si>
  <si>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</si>
  <si>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</si>
  <si>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</si>
  <si>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</si>
  <si>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</si>
  <si>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</si>
  <si>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</si>
  <si>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</si>
  <si>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</si>
  <si>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</si>
  <si>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</si>
  <si>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</si>
  <si>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</si>
  <si>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</si>
  <si>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</si>
  <si>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</si>
  <si>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</si>
  <si>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</si>
  <si>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</si>
  <si>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</si>
  <si>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</si>
  <si>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</si>
  <si>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</si>
  <si>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</si>
  <si>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</si>
  <si>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</si>
  <si>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</si>
  <si>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</si>
  <si>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</si>
  <si>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</si>
  <si>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</si>
  <si>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</si>
  <si>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</si>
  <si>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</si>
  <si>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</si>
  <si>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</si>
  <si>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</si>
  <si>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</si>
  <si>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</si>
  <si>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</si>
  <si>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</si>
  <si>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</si>
  <si>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</si>
  <si>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</si>
  <si>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</si>
  <si>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</si>
  <si>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</si>
  <si>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</si>
  <si>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</si>
  <si>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</si>
  <si>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</si>
  <si>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</si>
  <si>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</si>
  <si>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</si>
  <si>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</si>
  <si>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</si>
  <si>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</si>
  <si>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</si>
  <si>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</si>
  <si>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</si>
  <si>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</si>
  <si>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</si>
  <si>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</si>
  <si>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</si>
  <si>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</si>
  <si>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</si>
  <si>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</si>
  <si>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</si>
  <si>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</si>
  <si>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</si>
  <si>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</si>
  <si>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</si>
  <si>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</si>
  <si>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</si>
  <si>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</si>
  <si>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</si>
  <si>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</si>
  <si>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</si>
  <si>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</si>
  <si>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</si>
  <si>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</si>
  <si>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</si>
  <si>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</si>
  <si>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</si>
  <si>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</si>
  <si>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</si>
  <si>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</si>
  <si>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</si>
  <si>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</si>
  <si>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</si>
  <si>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</si>
  <si>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</si>
  <si>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</si>
  <si>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</si>
  <si>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</si>
  <si>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</si>
  <si>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</si>
  <si>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</si>
  <si>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</si>
  <si>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</si>
  <si>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</si>
  <si>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</si>
  <si>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</si>
  <si>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</si>
  <si>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</si>
  <si>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</si>
  <si>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</si>
  <si>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</si>
  <si>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</si>
  <si>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</si>
  <si>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</si>
  <si>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</si>
  <si>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</si>
  <si>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</si>
  <si>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</si>
  <si>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</si>
  <si>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</si>
  <si>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</si>
  <si>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</si>
  <si>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</si>
  <si>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</si>
  <si>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</si>
  <si>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</si>
  <si>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</si>
  <si>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</si>
  <si>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</si>
  <si>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</si>
  <si>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</si>
  <si>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</si>
  <si>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</si>
  <si>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</si>
  <si>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</si>
  <si>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</si>
  <si>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</si>
  <si>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</si>
  <si>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</si>
  <si>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</si>
  <si>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</si>
  <si>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</si>
  <si>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</si>
  <si>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</si>
  <si>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</si>
  <si>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</si>
  <si>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</si>
  <si>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</si>
  <si>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</si>
  <si>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</si>
  <si>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</si>
  <si>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</si>
  <si>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</si>
  <si>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</si>
  <si>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</si>
  <si>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</si>
  <si>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</si>
  <si>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</si>
  <si>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</si>
  <si>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</si>
  <si>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</si>
  <si>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</si>
  <si>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</si>
  <si>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</si>
  <si>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</si>
  <si>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</si>
  <si>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</si>
  <si>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</si>
  <si>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</si>
  <si>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</si>
  <si>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</si>
  <si>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</si>
  <si>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</si>
  <si>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</si>
  <si>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</si>
  <si>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</si>
  <si>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</si>
  <si>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</si>
  <si>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</si>
  <si>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</si>
  <si>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</si>
  <si>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</si>
  <si>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</si>
  <si>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</si>
  <si>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</si>
  <si>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</si>
  <si>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</si>
  <si>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</si>
  <si>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</si>
  <si>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</si>
  <si>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</si>
  <si>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</si>
  <si>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</si>
  <si>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</si>
  <si>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</si>
  <si>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</si>
  <si>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</si>
  <si>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</si>
  <si>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</si>
  <si>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</si>
  <si>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</si>
  <si>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</si>
  <si>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</si>
  <si>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</si>
  <si>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</si>
  <si>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</si>
  <si>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</si>
  <si>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</si>
  <si>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</si>
  <si>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</si>
  <si>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</si>
  <si>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</si>
  <si>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</si>
  <si>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</si>
  <si>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</si>
  <si>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</si>
  <si>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</si>
  <si>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</si>
  <si>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</si>
  <si>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</si>
  <si>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</si>
  <si>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</si>
  <si>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</si>
  <si>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</si>
  <si>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</si>
  <si>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</si>
  <si>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</si>
  <si>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</si>
  <si>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</si>
  <si>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</si>
  <si>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</si>
  <si>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</si>
  <si>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</si>
  <si>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</si>
  <si>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</si>
  <si>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</si>
  <si>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</si>
  <si>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</si>
  <si>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</si>
  <si>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</si>
  <si>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</si>
  <si>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</si>
  <si>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</si>
  <si>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</si>
  <si>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</si>
  <si>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</si>
  <si>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</si>
  <si>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</si>
  <si>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</si>
  <si>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</si>
  <si>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</si>
  <si>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</si>
  <si>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</si>
  <si>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</si>
  <si>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</si>
  <si>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</si>
  <si>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</si>
  <si>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</si>
  <si>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</si>
  <si>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</si>
  <si>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</si>
  <si>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</si>
  <si>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</si>
  <si>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</si>
  <si>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</si>
  <si>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</si>
  <si>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</si>
  <si>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</si>
  <si>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</si>
  <si>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</si>
  <si>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</si>
  <si>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</si>
  <si>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</si>
  <si>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</si>
  <si>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</si>
  <si>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</si>
  <si>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</si>
  <si>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</si>
  <si>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</si>
  <si>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</si>
  <si>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</si>
  <si>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</si>
  <si>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</si>
  <si>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</si>
  <si>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</si>
  <si>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</si>
  <si>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</si>
  <si>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</si>
  <si>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</si>
  <si>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</si>
  <si>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</si>
  <si>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</si>
  <si>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</si>
  <si>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</si>
  <si>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</si>
  <si>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</si>
  <si>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</si>
  <si>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</si>
  <si>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</si>
  <si>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</si>
  <si>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</si>
  <si>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</si>
  <si>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</si>
  <si>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</si>
  <si>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</si>
  <si>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</si>
  <si>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</si>
  <si>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</si>
  <si>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</si>
  <si>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</si>
  <si>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</si>
  <si>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</si>
  <si>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</si>
  <si>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</si>
  <si>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</si>
  <si>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</si>
  <si>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</si>
  <si>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</si>
  <si>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</si>
  <si>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</si>
  <si>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</si>
  <si>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</si>
  <si>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</si>
  <si>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</si>
  <si>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</si>
  <si>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</si>
  <si>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</si>
  <si>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</si>
  <si>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</si>
  <si>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</si>
  <si>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</si>
  <si>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</si>
  <si>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</si>
  <si>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</si>
  <si>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</si>
  <si>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</si>
  <si>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</si>
  <si>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</si>
  <si>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</si>
  <si>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</si>
  <si>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</si>
  <si>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</si>
  <si>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</si>
  <si>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</si>
  <si>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</si>
  <si>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</si>
  <si>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</si>
  <si>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</si>
  <si>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</si>
  <si>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</si>
  <si>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</si>
  <si>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</si>
  <si>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</si>
  <si>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</si>
  <si>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</si>
  <si>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</si>
  <si>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</si>
  <si>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</si>
  <si>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</si>
  <si>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</si>
  <si>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</si>
  <si>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</si>
  <si>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</si>
  <si>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</si>
  <si>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</si>
  <si>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</si>
  <si>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</si>
  <si>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</si>
  <si>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</si>
  <si>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</si>
  <si>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</si>
  <si>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</si>
  <si>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</si>
  <si>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</si>
  <si>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</si>
  <si>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</si>
  <si>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</si>
  <si>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</si>
  <si>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</si>
  <si>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</si>
  <si>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</si>
  <si>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</si>
  <si>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</si>
  <si>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</si>
  <si>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</si>
  <si>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</si>
  <si>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</si>
  <si>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</si>
  <si>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</si>
  <si>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</si>
  <si>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</si>
  <si>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</si>
  <si>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</si>
  <si>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</si>
  <si>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</si>
  <si>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</si>
  <si>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</si>
  <si>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</si>
  <si>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</si>
  <si>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</si>
  <si>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</si>
  <si>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</si>
  <si>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</si>
  <si>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</si>
  <si>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</si>
  <si>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</si>
  <si>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</si>
  <si>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</si>
  <si>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</si>
  <si>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</si>
  <si>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</si>
  <si>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</si>
  <si>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</si>
  <si>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</si>
  <si>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</si>
  <si>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</si>
  <si>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</si>
  <si>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</si>
  <si>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</si>
  <si>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</si>
  <si>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</si>
  <si>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</si>
  <si>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</si>
  <si>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</si>
  <si>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</si>
  <si>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</si>
  <si>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</si>
  <si>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</si>
  <si>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</si>
  <si>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</si>
  <si>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</si>
  <si>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</si>
  <si>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</si>
  <si>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</si>
  <si>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</si>
  <si>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</si>
  <si>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</si>
  <si>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</si>
  <si>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</si>
  <si>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</si>
  <si>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</si>
  <si>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</si>
  <si>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</si>
  <si>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</si>
  <si>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</si>
  <si>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</si>
  <si>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</si>
  <si>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</si>
  <si>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</si>
  <si>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</si>
  <si>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</si>
  <si>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</si>
  <si>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</si>
  <si>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</si>
  <si>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</si>
  <si>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</si>
  <si>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</si>
  <si>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</si>
  <si>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</si>
  <si>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</si>
  <si>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</si>
  <si>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</si>
  <si>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</si>
  <si>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</si>
  <si>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</si>
  <si>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</si>
  <si>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</si>
  <si>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</si>
  <si>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</si>
  <si>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</si>
  <si>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</si>
  <si>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</si>
  <si>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</si>
  <si>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</si>
  <si>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</si>
  <si>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</si>
  <si>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</si>
  <si>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</si>
  <si>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</si>
  <si>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</si>
  <si>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</si>
  <si>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</si>
  <si>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</si>
  <si>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</si>
  <si>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</si>
  <si>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</si>
  <si>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</si>
  <si>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</si>
  <si>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</si>
  <si>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</si>
  <si>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</si>
  <si>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</si>
  <si>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</si>
  <si>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</si>
  <si>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</si>
  <si>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</si>
  <si>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</si>
  <si>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</si>
  <si>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</si>
  <si>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</si>
  <si>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</si>
  <si>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</si>
  <si>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</si>
  <si>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</si>
  <si>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</si>
  <si>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</si>
  <si>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</si>
  <si>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</si>
  <si>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</si>
  <si>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</si>
  <si>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</si>
  <si>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</si>
  <si>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</si>
  <si>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</si>
  <si>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</si>
  <si>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</si>
  <si>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</si>
  <si>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</si>
  <si>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</si>
  <si>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</si>
  <si>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</si>
  <si>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</si>
  <si>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</si>
  <si>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</si>
  <si>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</si>
  <si>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</si>
  <si>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</si>
  <si>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</si>
  <si>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</si>
  <si>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</si>
  <si>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</si>
  <si>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</si>
  <si>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</si>
  <si>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</si>
  <si>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</si>
  <si>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</si>
  <si>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</si>
  <si>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</si>
  <si>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</si>
  <si>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</si>
  <si>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</si>
  <si>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</si>
  <si>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</si>
  <si>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</si>
  <si>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</si>
  <si>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</si>
  <si>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</si>
  <si>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</si>
  <si>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</si>
  <si>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</si>
  <si>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</si>
  <si>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</si>
  <si>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</si>
  <si>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</si>
  <si>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</si>
  <si>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</si>
  <si>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</si>
  <si>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</si>
  <si>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</si>
  <si>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</si>
  <si>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</si>
  <si>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</si>
  <si>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</si>
  <si>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</si>
  <si>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</si>
  <si>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</si>
  <si>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</si>
  <si>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</si>
  <si>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</si>
  <si>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</si>
  <si>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</si>
  <si>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</si>
  <si>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</si>
  <si>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</si>
  <si>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</si>
  <si>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</si>
  <si>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</si>
  <si>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</si>
  <si>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</si>
  <si>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</si>
  <si>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</si>
  <si>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</si>
  <si>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</si>
  <si>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</si>
  <si>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</si>
  <si>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</si>
  <si>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</si>
  <si>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</si>
  <si>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</si>
  <si>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</si>
  <si>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</si>
  <si>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</si>
  <si>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</si>
  <si>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</si>
  <si>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</si>
  <si>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</si>
  <si>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</si>
  <si>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</si>
  <si>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</si>
  <si>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</si>
  <si>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</si>
  <si>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</si>
  <si>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</si>
  <si>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</si>
  <si>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</si>
  <si>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</si>
  <si>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</si>
  <si>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</si>
  <si>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</si>
  <si>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</si>
  <si>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</si>
  <si>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</si>
  <si>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</si>
  <si>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</si>
  <si>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</si>
  <si>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</si>
  <si>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</si>
  <si>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</si>
  <si>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</si>
  <si>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</si>
  <si>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</si>
  <si>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</si>
  <si>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</si>
  <si>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</si>
  <si>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</si>
  <si>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</si>
  <si>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</si>
  <si>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</si>
  <si>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</si>
  <si>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</si>
  <si>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</si>
  <si>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</si>
  <si>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</si>
  <si>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</si>
  <si>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</si>
  <si>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</si>
  <si>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</si>
  <si>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</si>
  <si>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</si>
  <si>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</si>
  <si>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</si>
  <si>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</si>
  <si>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</si>
  <si>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</si>
  <si>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</si>
  <si>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</si>
  <si>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</si>
  <si>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</si>
  <si>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</si>
  <si>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</si>
  <si>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</si>
  <si>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</si>
  <si>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</si>
  <si>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</si>
  <si>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</si>
  <si>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</si>
  <si>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</si>
  <si>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</si>
  <si>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</si>
  <si>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</si>
  <si>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</si>
  <si>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</si>
  <si>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</si>
  <si>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</si>
  <si>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</si>
  <si>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</si>
  <si>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</si>
  <si>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</si>
  <si>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</si>
  <si>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</si>
  <si>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</si>
  <si>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</si>
  <si>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</si>
  <si>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</si>
  <si>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</si>
  <si>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</si>
  <si>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</si>
  <si>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</si>
  <si>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</si>
  <si>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</si>
  <si>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</si>
  <si>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</si>
  <si>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</si>
  <si>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</si>
  <si>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</si>
  <si>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</si>
  <si>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</si>
  <si>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</si>
  <si>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</si>
  <si>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</si>
  <si>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</si>
  <si>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</si>
  <si>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</si>
  <si>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</si>
  <si>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</si>
  <si>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</si>
  <si>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</si>
  <si>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</si>
  <si>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</si>
  <si>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</si>
  <si>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</si>
  <si>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</si>
  <si>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</si>
  <si>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</si>
  <si>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</si>
  <si>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</si>
  <si>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</si>
  <si>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</si>
  <si>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</si>
  <si>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</si>
  <si>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</si>
  <si>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</si>
  <si>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</si>
  <si>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</si>
  <si>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</si>
  <si>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</si>
  <si>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</si>
  <si>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</si>
  <si>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</si>
  <si>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</si>
  <si>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</si>
  <si>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</si>
  <si>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</si>
  <si>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</si>
  <si>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</si>
  <si>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</si>
  <si>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</si>
  <si>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</si>
  <si>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</si>
  <si>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</si>
  <si>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</si>
  <si>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</si>
  <si>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</si>
  <si>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</si>
  <si>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</si>
  <si>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</si>
  <si>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</si>
  <si>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</si>
  <si>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</si>
  <si>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</si>
  <si>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</si>
  <si>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</si>
  <si>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</si>
  <si>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</si>
  <si>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</si>
  <si>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</si>
  <si>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</si>
  <si>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</si>
  <si>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</si>
  <si>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</si>
  <si>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</si>
  <si>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</si>
  <si>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</si>
  <si>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</si>
  <si>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</si>
  <si>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</si>
  <si>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</si>
  <si>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</si>
  <si>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</si>
  <si>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</si>
  <si>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</si>
  <si>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</si>
  <si>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</si>
  <si>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</si>
  <si>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</si>
  <si>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</si>
  <si>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</si>
  <si>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</si>
  <si>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</si>
  <si>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</si>
  <si>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</si>
  <si>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</si>
  <si>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</si>
  <si>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</si>
  <si>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</si>
  <si>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</si>
  <si>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</si>
  <si>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</si>
  <si>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</si>
  <si>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</si>
  <si>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</si>
  <si>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</si>
  <si>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</si>
  <si>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</si>
  <si>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</si>
  <si>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</si>
  <si>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</si>
  <si>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</si>
  <si>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</si>
  <si>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</si>
  <si>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</si>
  <si>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</si>
  <si>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</si>
  <si>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</si>
  <si>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</si>
  <si>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</si>
  <si>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</si>
  <si>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</si>
  <si>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</si>
  <si>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</si>
  <si>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</si>
  <si>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</si>
  <si>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</si>
  <si>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</si>
  <si>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</si>
  <si>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</si>
  <si>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</si>
  <si>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</si>
  <si>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</si>
  <si>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</si>
  <si>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</si>
  <si>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</si>
  <si>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</si>
  <si>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</si>
  <si>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</si>
  <si>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</si>
  <si>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</si>
  <si>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</si>
  <si>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</si>
  <si>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</si>
  <si>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</si>
  <si>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</si>
  <si>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</si>
  <si>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</si>
  <si>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</si>
  <si>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</si>
  <si>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</si>
  <si>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</si>
  <si>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</si>
  <si>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</si>
  <si>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</si>
  <si>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</si>
  <si>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</si>
  <si>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</si>
  <si>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</si>
  <si>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</si>
  <si>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</si>
  <si>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</si>
  <si>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</si>
  <si>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</si>
  <si>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</si>
  <si>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</si>
  <si>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</si>
  <si>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</si>
  <si>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</si>
  <si>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</si>
  <si>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</si>
  <si>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</si>
  <si>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</si>
  <si>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</si>
  <si>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</si>
  <si>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</si>
  <si>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</si>
  <si>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</si>
  <si>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</si>
  <si>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</si>
  <si>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</si>
  <si>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</si>
  <si>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</si>
  <si>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</si>
  <si>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</si>
  <si>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</si>
  <si>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</si>
  <si>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</si>
  <si>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</si>
  <si>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</si>
  <si>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</si>
  <si>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</si>
  <si>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</si>
  <si>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</si>
  <si>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</si>
  <si>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</si>
  <si>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</si>
  <si>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</si>
  <si>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</si>
  <si>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</si>
  <si>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</si>
  <si>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</si>
  <si>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</si>
  <si>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</si>
  <si>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</si>
  <si>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</si>
  <si>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</si>
  <si>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</si>
  <si>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</si>
  <si>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</si>
  <si>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</si>
  <si>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</si>
  <si>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</si>
  <si>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</si>
  <si>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</si>
  <si>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</si>
  <si>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</si>
  <si>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</si>
  <si>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</si>
  <si>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</si>
  <si>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</si>
  <si>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</si>
  <si>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</si>
  <si>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</si>
  <si>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</si>
  <si>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</si>
  <si>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</si>
  <si>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</si>
  <si>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</si>
  <si>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</si>
  <si>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</si>
  <si>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</si>
  <si>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</si>
  <si>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</si>
  <si>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</si>
  <si>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</si>
  <si>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</si>
  <si>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</si>
  <si>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</si>
  <si>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</si>
  <si>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</si>
  <si>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</si>
  <si>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</si>
  <si>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</si>
  <si>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</si>
  <si>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</si>
  <si>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</si>
  <si>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</si>
  <si>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</si>
  <si>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</si>
  <si>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</si>
  <si>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</si>
  <si>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</si>
  <si>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</si>
  <si>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</si>
  <si>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</si>
  <si>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</si>
  <si>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</si>
  <si>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</si>
  <si>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</si>
  <si>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</si>
  <si>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</si>
  <si>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</si>
  <si>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</si>
  <si>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</si>
  <si>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</si>
  <si>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</si>
  <si>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</si>
  <si>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</si>
  <si>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</si>
  <si>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</si>
  <si>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</si>
  <si>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</si>
  <si>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</si>
  <si>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</si>
  <si>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</si>
  <si>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</si>
  <si>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</si>
  <si>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</si>
  <si>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</si>
  <si>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</si>
  <si>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</si>
  <si>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</si>
  <si>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</si>
  <si>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</si>
  <si>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</si>
  <si>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</si>
  <si>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</si>
  <si>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</si>
  <si>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</si>
  <si>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</si>
  <si>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</si>
  <si>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</si>
  <si>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</si>
  <si>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</si>
  <si>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</si>
  <si>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</si>
  <si>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</si>
  <si>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</si>
  <si>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</si>
  <si>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</si>
  <si>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</si>
  <si>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</si>
  <si>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</si>
  <si>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</si>
  <si>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</si>
  <si>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</si>
  <si>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</si>
  <si>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</si>
  <si>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</si>
  <si>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</si>
  <si>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</si>
  <si>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</si>
  <si>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</si>
  <si>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</si>
  <si>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</si>
  <si>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</si>
  <si>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</si>
  <si>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</si>
  <si>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</si>
  <si>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</si>
  <si>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</si>
  <si>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</si>
  <si>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</si>
  <si>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</si>
  <si>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</si>
  <si>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</si>
  <si>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</si>
  <si>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</si>
  <si>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</si>
  <si>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</si>
  <si>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</si>
  <si>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</si>
  <si>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</si>
  <si>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</si>
  <si>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</si>
  <si>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</si>
  <si>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</si>
  <si>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</si>
  <si>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</si>
  <si>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</si>
  <si>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</si>
  <si>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</si>
  <si>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</si>
  <si>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</si>
  <si>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</si>
  <si>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</si>
  <si>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</si>
  <si>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</si>
  <si>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</si>
  <si>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</si>
  <si>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</si>
  <si>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</si>
  <si>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</si>
  <si>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</si>
  <si>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</si>
  <si>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</si>
  <si>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</si>
  <si>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</si>
  <si>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</si>
  <si>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</si>
  <si>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</si>
  <si>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</si>
  <si>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</si>
  <si>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</si>
  <si>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</si>
  <si>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</si>
  <si>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</si>
  <si>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</si>
  <si>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</si>
  <si>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</si>
  <si>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</si>
  <si>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</si>
  <si>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</si>
  <si>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</si>
  <si>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</si>
  <si>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</si>
  <si>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</si>
  <si>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</si>
  <si>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</si>
  <si>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</si>
  <si>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</si>
  <si>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</si>
  <si>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</si>
  <si>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</si>
  <si>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</si>
  <si>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</si>
  <si>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</si>
  <si>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</si>
  <si>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</si>
  <si>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</si>
  <si>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</si>
  <si>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</si>
  <si>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</si>
  <si>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</si>
  <si>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</si>
  <si>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</si>
  <si>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</si>
  <si>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</si>
  <si>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</si>
  <si>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</si>
  <si>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</si>
  <si>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</si>
  <si>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</si>
  <si>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</si>
  <si>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</si>
  <si>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</si>
  <si>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</si>
  <si>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</si>
  <si>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</si>
  <si>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</si>
  <si>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</si>
  <si>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</si>
  <si>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</si>
  <si>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</si>
  <si>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</si>
  <si>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</si>
  <si>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</si>
  <si>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</si>
  <si>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</si>
  <si>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</si>
  <si>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</si>
  <si>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</si>
  <si>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</si>
  <si>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</si>
  <si>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</si>
  <si>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</si>
  <si>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</si>
  <si>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</si>
  <si>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</si>
  <si>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</si>
  <si>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</si>
  <si>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</si>
  <si>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</si>
  <si>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</si>
  <si>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</si>
  <si>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</si>
  <si>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</si>
  <si>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</si>
  <si>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</si>
  <si>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</si>
  <si>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</si>
  <si>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</si>
  <si>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</si>
  <si>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</si>
  <si>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</si>
  <si>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</si>
  <si>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</si>
  <si>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</si>
  <si>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</si>
  <si>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</si>
  <si>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</si>
  <si>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</si>
  <si>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</si>
  <si>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</si>
  <si>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</si>
  <si>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</si>
  <si>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</si>
  <si>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</si>
  <si>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</si>
  <si>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</si>
  <si>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</si>
  <si>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</si>
  <si>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</si>
  <si>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</si>
  <si>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</si>
  <si>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</si>
  <si>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</si>
  <si>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</si>
  <si>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</si>
  <si>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</si>
  <si>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</si>
  <si>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</si>
  <si>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</si>
  <si>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</si>
  <si>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</si>
  <si>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</si>
  <si>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</si>
  <si>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</si>
  <si>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</si>
  <si>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</si>
  <si>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</si>
  <si>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</si>
  <si>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</si>
  <si>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</si>
  <si>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</si>
  <si>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</si>
  <si>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</si>
  <si>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</si>
  <si>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</si>
  <si>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</si>
  <si>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</si>
  <si>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</si>
  <si>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</si>
  <si>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</si>
  <si>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</si>
  <si>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</si>
  <si>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</si>
  <si>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</si>
  <si>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</si>
  <si>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</si>
  <si>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</si>
  <si>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</si>
  <si>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</si>
  <si>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</si>
  <si>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</si>
  <si>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</si>
  <si>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</si>
  <si>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</si>
  <si>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</si>
  <si>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</si>
  <si>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</si>
  <si>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</si>
  <si>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</si>
  <si>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</si>
  <si>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</si>
  <si>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</si>
  <si>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</si>
  <si>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</si>
  <si>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</si>
  <si>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</si>
  <si>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</si>
  <si>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</si>
  <si>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</si>
  <si>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</si>
  <si>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</si>
  <si>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</si>
  <si>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</si>
  <si>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</si>
  <si>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</si>
  <si>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</si>
  <si>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</si>
  <si>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</si>
  <si>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</si>
  <si>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</si>
  <si>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</si>
  <si>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</si>
  <si>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</si>
  <si>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</si>
  <si>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</si>
  <si>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</si>
  <si>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</si>
  <si>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</si>
  <si>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</si>
  <si>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</si>
  <si>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</si>
  <si>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</si>
  <si>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</si>
  <si>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</si>
  <si>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</si>
  <si>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</si>
  <si>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</si>
  <si>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</si>
  <si>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</si>
  <si>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</si>
  <si>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</si>
  <si>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</si>
  <si>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</si>
  <si>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</si>
  <si>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</si>
  <si>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</si>
  <si>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</si>
  <si>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</si>
  <si>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</si>
  <si>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</si>
  <si>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</si>
  <si>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</si>
  <si>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</si>
  <si>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</si>
  <si>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</si>
  <si>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</si>
  <si>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</si>
  <si>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</si>
  <si>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</si>
  <si>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</si>
  <si>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</si>
  <si>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</si>
  <si>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</si>
  <si>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</si>
  <si>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</si>
  <si>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</si>
  <si>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</si>
  <si>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</si>
  <si>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</si>
  <si>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</si>
  <si>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</si>
  <si>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</si>
  <si>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</si>
  <si>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</si>
  <si>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</si>
  <si>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</si>
  <si>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</si>
  <si>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</si>
  <si>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</si>
  <si>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</si>
  <si>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</si>
  <si>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</si>
  <si>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</si>
  <si>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</si>
  <si>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</si>
  <si>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</si>
  <si>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</si>
  <si>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</si>
  <si>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</si>
  <si>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</si>
  <si>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</si>
  <si>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</si>
  <si>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</si>
  <si>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</si>
  <si>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</si>
  <si>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</si>
  <si>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</si>
  <si>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</si>
  <si>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</si>
  <si>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</si>
  <si>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</si>
  <si>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</si>
  <si>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</si>
  <si>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</si>
  <si>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</si>
  <si>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</si>
  <si>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</si>
  <si>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</si>
  <si>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</si>
  <si>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</si>
  <si>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</si>
  <si>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</si>
  <si>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</si>
  <si>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</si>
  <si>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</si>
  <si>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</si>
  <si>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</si>
  <si>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</si>
  <si>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</si>
  <si>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</si>
  <si>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</si>
  <si>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</si>
  <si>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</si>
  <si>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</si>
  <si>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</si>
  <si>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</si>
  <si>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</si>
  <si>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</si>
  <si>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</si>
  <si>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</si>
  <si>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</si>
  <si>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</si>
  <si>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</si>
  <si>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</si>
  <si>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</si>
  <si>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</si>
  <si>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</si>
  <si>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</si>
  <si>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</si>
  <si>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</si>
  <si>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</si>
  <si>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</si>
  <si>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</si>
  <si>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</si>
  <si>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</si>
  <si>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</si>
  <si>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</si>
  <si>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</si>
  <si>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</si>
  <si>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</si>
  <si>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</si>
  <si>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</si>
  <si>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</si>
  <si>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</si>
  <si>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</si>
  <si>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</si>
  <si>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</si>
  <si>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</si>
  <si>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</si>
  <si>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</si>
  <si>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</si>
  <si>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</si>
  <si>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</si>
  <si>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</si>
  <si>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</si>
  <si>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</si>
  <si>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</si>
  <si>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</si>
  <si>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</si>
  <si>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</si>
  <si>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</si>
  <si>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</si>
  <si>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</si>
  <si>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</si>
  <si>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</si>
  <si>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</si>
  <si>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</si>
  <si>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</si>
  <si>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</si>
  <si>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</si>
  <si>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</si>
  <si>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</si>
  <si>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</si>
  <si>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</si>
  <si>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</si>
  <si>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</si>
  <si>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</si>
  <si>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</si>
  <si>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</si>
  <si>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</si>
  <si>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</si>
  <si>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</si>
  <si>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</si>
  <si>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</si>
  <si>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</si>
  <si>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</si>
  <si>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</si>
  <si>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</si>
  <si>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</si>
  <si>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</si>
  <si>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</si>
  <si>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</si>
  <si>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</si>
  <si>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</si>
  <si>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</si>
  <si>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</si>
  <si>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</si>
  <si>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</si>
  <si>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</si>
  <si>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</si>
  <si>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</si>
  <si>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</si>
  <si>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</si>
  <si>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</si>
  <si>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</si>
  <si>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</si>
  <si>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</si>
  <si>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</si>
  <si>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</si>
  <si>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</si>
  <si>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</si>
  <si>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</si>
  <si>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</si>
  <si>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</si>
  <si>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</si>
  <si>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</si>
  <si>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</si>
  <si>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</si>
  <si>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</si>
  <si>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</si>
  <si>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</si>
  <si>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</si>
  <si>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</si>
  <si>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</si>
  <si>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</si>
  <si>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</si>
  <si>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</si>
  <si>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</si>
  <si>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</si>
  <si>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</si>
  <si>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</si>
  <si>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</si>
  <si>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</si>
  <si>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</si>
  <si>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</si>
  <si>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</si>
  <si>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</si>
  <si>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</si>
  <si>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</si>
  <si>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</si>
  <si>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</si>
  <si>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</si>
  <si>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</si>
  <si>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</si>
  <si>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</si>
  <si>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</si>
  <si>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</si>
  <si>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</si>
  <si>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</si>
  <si>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</si>
  <si>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</si>
  <si>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</si>
  <si>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</si>
  <si>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</si>
  <si>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</si>
  <si>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</si>
  <si>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</si>
  <si>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</si>
  <si>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</si>
  <si>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</si>
  <si>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</si>
  <si>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</si>
  <si>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</si>
  <si>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</si>
  <si>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</si>
  <si>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</si>
  <si>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</si>
  <si>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</si>
  <si>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</si>
  <si>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</si>
  <si>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</si>
  <si>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</si>
  <si>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</si>
  <si>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</si>
  <si>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</si>
  <si>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</si>
  <si>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</si>
  <si>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</si>
  <si>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</si>
  <si>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</si>
  <si>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</si>
  <si>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</si>
  <si>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</si>
  <si>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</si>
  <si>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</si>
  <si>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</si>
  <si>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</si>
  <si>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</si>
  <si>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</si>
  <si>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</si>
  <si>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</si>
  <si>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</si>
  <si>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</si>
  <si>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</si>
  <si>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</si>
  <si>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</si>
  <si>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</si>
  <si>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</si>
  <si>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</si>
  <si>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</si>
  <si>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</si>
  <si>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</si>
  <si>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</si>
  <si>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</si>
  <si>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</si>
  <si>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</si>
  <si>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</si>
  <si>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</si>
  <si>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</si>
  <si>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</si>
  <si>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</si>
  <si>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</si>
  <si>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</si>
  <si>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</si>
  <si>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</si>
  <si>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</si>
  <si>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</si>
  <si>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</si>
  <si>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</si>
  <si>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</si>
  <si>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</si>
  <si>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</si>
  <si>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</si>
  <si>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</si>
  <si>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</si>
  <si>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</si>
  <si>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</si>
  <si>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</si>
  <si>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</si>
  <si>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</si>
  <si>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</si>
  <si>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</si>
  <si>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</si>
  <si>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</si>
  <si>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</si>
  <si>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</si>
  <si>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</si>
  <si>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</si>
  <si>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</si>
  <si>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</si>
  <si>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</si>
  <si>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</si>
  <si>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</si>
  <si>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</si>
  <si>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</si>
  <si>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</si>
  <si>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</si>
  <si>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</si>
  <si>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</si>
  <si>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</si>
  <si>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</si>
  <si>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</si>
  <si>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</si>
  <si>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</si>
  <si>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</si>
  <si>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</si>
  <si>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</si>
  <si>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</si>
  <si>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</si>
  <si>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</si>
  <si>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</si>
  <si>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</si>
  <si>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</si>
  <si>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</si>
  <si>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</si>
  <si>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</si>
  <si>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</si>
  <si>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</si>
  <si>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</si>
  <si>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</si>
  <si>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</si>
  <si>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</si>
  <si>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</si>
  <si>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</si>
  <si>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</si>
  <si>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</si>
  <si>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</si>
  <si>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</si>
  <si>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</si>
  <si>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</si>
  <si>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</si>
  <si>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</si>
  <si>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</si>
  <si>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</si>
  <si>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</si>
  <si>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</si>
  <si>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3号楼</t>
    <phoneticPr fontId="134" type="noConversion"/>
  </si>
  <si>
    <t>6号楼</t>
    <phoneticPr fontId="134" type="noConversion"/>
  </si>
  <si>
    <t>住宅</t>
  </si>
  <si>
    <t>商业</t>
    <phoneticPr fontId="134" type="noConversion"/>
  </si>
  <si>
    <t>设备</t>
    <phoneticPr fontId="134" type="noConversion"/>
  </si>
  <si>
    <t>15号楼</t>
  </si>
  <si>
    <t>16号楼</t>
  </si>
  <si>
    <t>17号楼</t>
  </si>
  <si>
    <t>18号楼</t>
  </si>
  <si>
    <t>19号楼</t>
  </si>
  <si>
    <t>7号楼</t>
    <phoneticPr fontId="134" type="noConversion"/>
  </si>
  <si>
    <t>11号楼</t>
    <phoneticPr fontId="134" type="noConversion"/>
  </si>
  <si>
    <t>12号楼</t>
    <phoneticPr fontId="134" type="noConversion"/>
  </si>
  <si>
    <t>14号楼</t>
    <phoneticPr fontId="134" type="noConversion"/>
  </si>
  <si>
    <t>20号楼</t>
  </si>
  <si>
    <t>21号楼</t>
  </si>
  <si>
    <t>22号楼</t>
  </si>
  <si>
    <t>101幢</t>
    <phoneticPr fontId="134" type="noConversion"/>
  </si>
  <si>
    <t>地下</t>
  </si>
  <si>
    <t>二期</t>
    <phoneticPr fontId="134" type="noConversion"/>
  </si>
  <si>
    <t>2-17#住宅楼</t>
    <phoneticPr fontId="134" type="noConversion"/>
  </si>
  <si>
    <t>2-15#住宅及配套楼</t>
    <phoneticPr fontId="134" type="noConversion"/>
  </si>
  <si>
    <t>2-13#住宅楼</t>
    <phoneticPr fontId="134" type="noConversion"/>
  </si>
  <si>
    <t>2-11#住宅及配套楼</t>
    <phoneticPr fontId="134" type="noConversion"/>
  </si>
  <si>
    <t>2-9#住宅楼</t>
    <phoneticPr fontId="134" type="noConversion"/>
  </si>
  <si>
    <t>2-20#住宅楼</t>
    <phoneticPr fontId="134" type="noConversion"/>
  </si>
  <si>
    <t>2-6#住宅楼</t>
    <phoneticPr fontId="134" type="noConversion"/>
  </si>
  <si>
    <t>2-7#住宅楼</t>
    <phoneticPr fontId="134" type="noConversion"/>
  </si>
  <si>
    <t>2-5#住宅楼</t>
    <phoneticPr fontId="134" type="noConversion"/>
  </si>
  <si>
    <t>2-4#住宅楼</t>
    <phoneticPr fontId="134" type="noConversion"/>
  </si>
  <si>
    <t>2-19#住宅楼</t>
    <phoneticPr fontId="134" type="noConversion"/>
  </si>
  <si>
    <t>2-1#住宅楼</t>
    <phoneticPr fontId="134" type="noConversion"/>
  </si>
  <si>
    <t>2-3#住宅楼</t>
    <phoneticPr fontId="134" type="noConversion"/>
  </si>
  <si>
    <t>2-2#住宅楼</t>
    <phoneticPr fontId="134" type="noConversion"/>
  </si>
  <si>
    <t>2#地下车库</t>
    <phoneticPr fontId="134" type="noConversion"/>
  </si>
  <si>
    <t>现状楼号</t>
    <phoneticPr fontId="134" type="noConversion"/>
  </si>
  <si>
    <t>规证楼号</t>
    <phoneticPr fontId="134" type="noConversion"/>
  </si>
  <si>
    <t>三期</t>
    <phoneticPr fontId="134" type="noConversion"/>
  </si>
  <si>
    <t>车库</t>
    <phoneticPr fontId="134" type="noConversion"/>
  </si>
  <si>
    <t>地下设备</t>
    <phoneticPr fontId="134" type="noConversion"/>
  </si>
  <si>
    <t>地下设备</t>
    <phoneticPr fontId="134" type="noConversion"/>
  </si>
  <si>
    <t>2-8#住宅楼</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</si>
  <si>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</si>
  <si>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</si>
  <si>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</si>
  <si>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</si>
  <si>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</si>
  <si>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</si>
  <si>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</si>
  <si>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</si>
  <si>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</si>
  <si>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t>
    <phoneticPr fontId="134" type="noConversion"/>
  </si>
  <si>
    <t>二期</t>
    <phoneticPr fontId="3" type="noConversion"/>
  </si>
  <si>
    <t>是</t>
  </si>
  <si>
    <t>否</t>
  </si>
  <si>
    <t>地上</t>
  </si>
  <si>
    <t>住宅</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</si>
  <si>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</si>
  <si>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</si>
  <si>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</si>
  <si>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</si>
  <si>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</si>
  <si>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</si>
  <si>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</si>
  <si>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</si>
  <si>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</si>
  <si>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</si>
  <si>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</si>
  <si>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</si>
  <si>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</si>
  <si>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</si>
  <si>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</si>
  <si>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</si>
  <si>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</si>
  <si>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</si>
  <si>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</si>
  <si>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</si>
  <si>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</si>
  <si>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</si>
  <si>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</si>
  <si>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</si>
  <si>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</si>
  <si>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</si>
  <si>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</si>
  <si>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</si>
  <si>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</si>
  <si>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</si>
  <si>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</si>
  <si>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</si>
  <si>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</si>
  <si>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</si>
  <si>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</si>
  <si>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</si>
  <si>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</si>
  <si>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</si>
  <si>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</si>
  <si>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</si>
  <si>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</si>
  <si>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</si>
  <si>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</si>
  <si>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</si>
  <si>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</si>
  <si>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</si>
  <si>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</si>
  <si>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</si>
  <si>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北京市房山区城关中心区FS00-0230-0018地块R2二类居住用地</t>
  </si>
  <si>
    <t>北京市</t>
  </si>
  <si>
    <t>住宅用地</t>
  </si>
  <si>
    <t>房山区</t>
  </si>
  <si>
    <t>城关</t>
  </si>
  <si>
    <t>房山区城关街道</t>
  </si>
  <si>
    <t>京土储挂(房)[2023]028号</t>
  </si>
  <si>
    <t>≤2.8</t>
  </si>
  <si>
    <t>挂牌</t>
  </si>
  <si>
    <t>R2二类居住用地</t>
  </si>
  <si>
    <t>限地价,摇号/摇珠/抽签</t>
  </si>
  <si>
    <t>限地价</t>
  </si>
  <si>
    <t>未开工</t>
  </si>
  <si>
    <t>2023-05-26</t>
  </si>
  <si>
    <t>2023-06-15</t>
  </si>
  <si>
    <t>2023-06-30</t>
  </si>
  <si>
    <t>已成交</t>
  </si>
  <si>
    <t>北京建工地产有限责任公司</t>
  </si>
  <si>
    <t>北京建工集团有限责任公司</t>
  </si>
  <si>
    <t>居住70年商业40年办公50年</t>
  </si>
  <si>
    <t>4星</t>
  </si>
  <si>
    <t>北京市大兴区大兴新城西片区一期A组团土地一级开发项目DX00-0407-0002地块R2二类居住用地</t>
  </si>
  <si>
    <t>大兴区</t>
  </si>
  <si>
    <t>黄村北</t>
  </si>
  <si>
    <t>大兴区黄村镇</t>
  </si>
  <si>
    <t>京土储挂(兴)[2023]022号</t>
  </si>
  <si>
    <t>≤30%</t>
  </si>
  <si>
    <t>限地价,摇号/摇珠/抽签,限房价</t>
  </si>
  <si>
    <t>限地价,限房价</t>
  </si>
  <si>
    <t>2023-05-16</t>
  </si>
  <si>
    <t>2023-06-06</t>
  </si>
  <si>
    <t>2023-06-20</t>
  </si>
  <si>
    <t>中建三局城市投资运营有限公司、北京市大兴城镇建设综合开发集团有限公司</t>
  </si>
  <si>
    <t>北京兴创投资有限公司,中国建筑第三工程局有限公司</t>
  </si>
  <si>
    <t>住宅70年</t>
  </si>
  <si>
    <t>3星</t>
  </si>
  <si>
    <t>北京市通州经济开发区西区南扩区三、五、六期*棚户区改造项目北京城市副中心1102街区FZX-1102-6003、6004地块R2二类居住用地</t>
  </si>
  <si>
    <t>通州区</t>
  </si>
  <si>
    <t>张家湾</t>
  </si>
  <si>
    <t>副中心1102街区</t>
  </si>
  <si>
    <t>京土储挂(通)[2023]027号</t>
  </si>
  <si>
    <t>36米</t>
  </si>
  <si>
    <t>北京北投置业有限公司</t>
  </si>
  <si>
    <t>北京城市副中心投资建设集团有限公司</t>
  </si>
  <si>
    <t>2星</t>
  </si>
  <si>
    <t>北京经济技术开发区亦庄新城0202街区YZ00-0202-X47R1地块R2二类居住用地</t>
  </si>
  <si>
    <t>瀛海</t>
  </si>
  <si>
    <t>亦庄新城0202街区YZ00-0202-X47R1地块</t>
  </si>
  <si>
    <t>京土储挂(开)[2023]019号</t>
  </si>
  <si>
    <t>≤30</t>
  </si>
  <si>
    <t>≤80</t>
  </si>
  <si>
    <t>限地价,限房价,摇号/摇珠/抽签</t>
  </si>
  <si>
    <t>2023-05-12</t>
  </si>
  <si>
    <t>2023-06-02</t>
  </si>
  <si>
    <t>2023-06-16</t>
  </si>
  <si>
    <t>中皋置业有限公司</t>
  </si>
  <si>
    <t>富皋万泰集团有限公司</t>
  </si>
  <si>
    <t>居住70年、商业40年、办公50年</t>
  </si>
  <si>
    <t>北京市顺义区顺义新城第2街区SY00-0002-6022、SY00-0002-6023-1地块二类居住用地</t>
  </si>
  <si>
    <t>顺义区</t>
  </si>
  <si>
    <t>胜利街道、光明街道、石园街道、仁和镇</t>
  </si>
  <si>
    <t>顺义区顺义新城第2街区</t>
  </si>
  <si>
    <t>京土储挂(顺)[2023]017号</t>
  </si>
  <si>
    <t>2.2-2.4</t>
  </si>
  <si>
    <t>二类居住用地</t>
  </si>
  <si>
    <t>40%</t>
  </si>
  <si>
    <t>2023-05-11</t>
  </si>
  <si>
    <t>2023-05-31</t>
  </si>
  <si>
    <t>2023-06-14</t>
  </si>
  <si>
    <t>石家庄创世纪房地产开发有限公司</t>
  </si>
  <si>
    <t>北京市顺义区顺义新城第20街区SY00-0020-6001地块二类居住用地</t>
  </si>
  <si>
    <t>后沙峪</t>
  </si>
  <si>
    <t>顺义新城第20街区</t>
  </si>
  <si>
    <t>京土储挂(顺)[2023]011号</t>
  </si>
  <si>
    <t>30%</t>
  </si>
  <si>
    <t>限地价,摇号/摇珠/抽签,现房销售</t>
  </si>
  <si>
    <t>限地价,现房销售,摇号/摇珠/抽签</t>
  </si>
  <si>
    <t>地块内设置社区养老服务驿站1处(500平方米)</t>
  </si>
  <si>
    <t>2023-04-28</t>
  </si>
  <si>
    <t>2023-05-18</t>
  </si>
  <si>
    <t>2023-06-01</t>
  </si>
  <si>
    <t>中能建城市投资发展有限公司</t>
  </si>
  <si>
    <t>北京经济技术开发区亦庄新城0510街区YZ00-0510-0032地块R2二类居住用地</t>
  </si>
  <si>
    <t>台湖</t>
  </si>
  <si>
    <t>亦庄新城0510街区YZ00-0510-0032地块</t>
  </si>
  <si>
    <t>京土储挂(开)[2023]009号</t>
  </si>
  <si>
    <t>招商局地产(北京)有限公司</t>
  </si>
  <si>
    <t>招商局蛇口工业区控股股份有限公司</t>
  </si>
  <si>
    <t>北京市顺义区顺义新城第19街区19-69地块二类居住用地</t>
  </si>
  <si>
    <t>顺义区顺义新城</t>
  </si>
  <si>
    <t>京土储挂(顺)[2023]010号</t>
  </si>
  <si>
    <t>地块内设置社区养老服务驿站1处(1000平方米)</t>
  </si>
  <si>
    <t>福建雄旺房地产开发有限公司</t>
  </si>
  <si>
    <t>北京市通州区梨园镇东小马土地一级开发项目FZX-0306-6009地块R2二类居住用地国有建设用地使用权出让</t>
  </si>
  <si>
    <t>梨园</t>
  </si>
  <si>
    <t>通州区梨园镇</t>
  </si>
  <si>
    <t>京土储挂(通)〔2023〕006号</t>
  </si>
  <si>
    <t>2023-03-27</t>
  </si>
  <si>
    <t>2023-04-17</t>
  </si>
  <si>
    <t>居住*70年、商业40*年、办公*50*年</t>
  </si>
  <si>
    <t>大兴区瀛海镇区级统筹集建地YZ00-0803-2006、2029、2031地块F81集体产业用地</t>
  </si>
  <si>
    <t>瀛海镇</t>
  </si>
  <si>
    <t>京规自集使挂(兴)[2023]004号</t>
  </si>
  <si>
    <t>F81集体产业用地(建设共有产权住房)</t>
  </si>
  <si>
    <t>2023-03-20</t>
  </si>
  <si>
    <t>2023-04-09</t>
  </si>
  <si>
    <t>2023-04-24</t>
  </si>
  <si>
    <t>北京大兴发展集地开发有限公司</t>
  </si>
  <si>
    <t>北京兴创投资有限公司,北京万兴建筑集团有限公司</t>
  </si>
  <si>
    <t>70年</t>
  </si>
  <si>
    <t>大兴区瀛海镇区级统筹集建地YZ00-0803-2019、2057地块F81集体产业用地</t>
  </si>
  <si>
    <t>大兴区瀛海镇域西侧,京台高速公路以西</t>
  </si>
  <si>
    <t>京规自集使挂(兴)[2023]005号</t>
  </si>
  <si>
    <t>2023-04-11</t>
  </si>
  <si>
    <t>2023-04-23</t>
  </si>
  <si>
    <t>湖北文旅园区建设发展集团有限公司、中建壹品投资发展有限公司</t>
  </si>
  <si>
    <t>湖北文化旅游集团有限公司,中国建筑第三工程局有限公司</t>
  </si>
  <si>
    <t>北京市昌平新城东区三期土地一级开发项目CP00-1002-0001地块R2二类居住用地</t>
  </si>
  <si>
    <t>昌平区</t>
  </si>
  <si>
    <t>南邵</t>
  </si>
  <si>
    <t>昌平区南邵镇</t>
  </si>
  <si>
    <t>京土储挂(昌)[2023]002号</t>
  </si>
  <si>
    <t>36(局部45)</t>
  </si>
  <si>
    <t>2023-02-17</t>
  </si>
  <si>
    <t>2023-03-09</t>
  </si>
  <si>
    <t>2023-03-23</t>
  </si>
  <si>
    <t>北京首都开发股份有限公司</t>
  </si>
  <si>
    <t>北京市昌平区朱辛庄新区二期土地一级开发项目CP01-0801-0028地块R2二类居住用地</t>
  </si>
  <si>
    <t>回龙观</t>
  </si>
  <si>
    <t>昌平区史各庄街道</t>
  </si>
  <si>
    <t>京土储挂(昌)[2023]003号</t>
  </si>
  <si>
    <t>大华集团大连华旅置业有限公司</t>
  </si>
  <si>
    <t>大华（集团）有限公司</t>
  </si>
  <si>
    <t>北京市房山区良乡大学城主园区FS00-0120-0023地块R2二类居住用地</t>
  </si>
  <si>
    <t>长阳</t>
  </si>
  <si>
    <t>良乡高教园区</t>
  </si>
  <si>
    <t>京土储挂(房)[2022]077号</t>
  </si>
  <si>
    <t/>
  </si>
  <si>
    <t>限地价,现房销售,摇号/摇珠/抽签,限房价</t>
  </si>
  <si>
    <t>2022-12-30</t>
  </si>
  <si>
    <t>2023-01-19</t>
  </si>
  <si>
    <t>2023-02-07</t>
  </si>
  <si>
    <t>中建智地置业有限公司</t>
  </si>
  <si>
    <t>中国建筑一局（集团）有限公司</t>
  </si>
  <si>
    <t>北京市石景山区老古城综合改造土地一级开发项目1608-626地块R2二类居住用地</t>
  </si>
  <si>
    <t>石景山区</t>
  </si>
  <si>
    <t>苹果园、八角、金顶街</t>
  </si>
  <si>
    <t>石景山区老古城</t>
  </si>
  <si>
    <t>京土储挂(石)〔2022〕067号</t>
  </si>
  <si>
    <t>地块内含C级机构养老设施一处,建筑规模4000平方米;</t>
  </si>
  <si>
    <t>2022-10-25</t>
  </si>
  <si>
    <t>2022-11-14</t>
  </si>
  <si>
    <t>2022-11-28</t>
  </si>
  <si>
    <t>2022-11-29</t>
  </si>
  <si>
    <t>北京中海地产有限公司</t>
  </si>
  <si>
    <t>中国海外发展有限公司</t>
  </si>
  <si>
    <t>5星</t>
  </si>
  <si>
    <t>北京市门头沟区永定镇南区棚户区改造和环境整治项目MC00-0015-6050地块R2二类居住用地</t>
  </si>
  <si>
    <t>门头沟区</t>
  </si>
  <si>
    <t>永定</t>
  </si>
  <si>
    <t>门头沟区永定镇</t>
  </si>
  <si>
    <t>京土储挂(门)〔2022〕068号</t>
  </si>
  <si>
    <t>中建方程投资发展集团有限公司、中建信和地产有限公司</t>
  </si>
  <si>
    <t>中建方程投资发展集团有限公司,中国建筑第五工程局有限公司</t>
  </si>
  <si>
    <t>北京市通州区永顺镇邓家窑及永顺村南部地块土地一级开发项目FZX-0501-6007地块R2二类居住用地</t>
  </si>
  <si>
    <t>城市副中心0501街区</t>
  </si>
  <si>
    <t>京土储挂(通)〔2022〕069号</t>
  </si>
  <si>
    <t>限地价,现房销售,摇号/摇珠/抽签,90/70</t>
  </si>
  <si>
    <t>限地价,90/70</t>
  </si>
  <si>
    <t>北京城建兴华地产有限公司</t>
  </si>
  <si>
    <t>北京城建投资发展股份有限公司</t>
  </si>
  <si>
    <t>居住70年商业40年北办公50年</t>
  </si>
  <si>
    <t>北京市昌平区中关村生命科学园三期及“北四村”棚户区改造土地开发A地块CP02-0101-6004、6005地块R2二类居住用地</t>
  </si>
  <si>
    <t>昌平区回龙观街道</t>
  </si>
  <si>
    <t>京土储挂(昌)[2022]053号</t>
  </si>
  <si>
    <t>cp02-0101-6004地块2.8、6005地块2.7</t>
  </si>
  <si>
    <t>第三批</t>
  </si>
  <si>
    <t>CP02-0101-6004*地块内竞得人需建设地上建筑规模*4000*平方米残疾人托养所,地上建筑规模*300*平方米助残服务中心,无偿移交相关部门。</t>
  </si>
  <si>
    <t>2022-08-18</t>
  </si>
  <si>
    <t>2022-09-07</t>
  </si>
  <si>
    <t>2022-09-22</t>
  </si>
  <si>
    <t>2022-09-23</t>
  </si>
  <si>
    <t>北京兆昌房地产开发有限公司</t>
  </si>
  <si>
    <t>建发房地产集团有限公司</t>
  </si>
  <si>
    <t>北京经济技术开发区亦庄新城0510街区YZ00-0510-0033地块R2二类居住用地</t>
  </si>
  <si>
    <t>亦庄新城0510街区YZ00-0510-0033地块</t>
  </si>
  <si>
    <t>京土储挂(开)[2022]059号</t>
  </si>
  <si>
    <t>≤2.0</t>
  </si>
  <si>
    <t>45米</t>
  </si>
  <si>
    <t>限地价,摇号/摇珠/抽签,90/70</t>
  </si>
  <si>
    <t>北京亦庄博润置业有限公司、北京亦庄久筑工程管理有限公司</t>
  </si>
  <si>
    <t>北京亦庄投资控股有限公司</t>
  </si>
  <si>
    <t>北京市密云区十里堡镇王各庄棚户区改造项目MY00-0500-0001地块R2二类居住用地</t>
  </si>
  <si>
    <t>密云区</t>
  </si>
  <si>
    <t>西田各庄、十里堡</t>
  </si>
  <si>
    <t>密云区十里堡镇王各庄村</t>
  </si>
  <si>
    <t>京土储挂(密)[2022]058号</t>
  </si>
  <si>
    <t>托老所800平方米、老年活动场站200-250平方米</t>
  </si>
  <si>
    <t>北京住总置业有限公司、北京密云城市建设投资集团有限公司、北京建工地产有限责任公司、北京众智房地产开发有限公司</t>
  </si>
  <si>
    <t>北京密云经济开发区有限责任公司,北京住总集团有限责任公司,北京建工集团有限责任公司,北京密云城市建设投资集团有限公司</t>
  </si>
  <si>
    <t>1星</t>
  </si>
  <si>
    <t>北京市密云区水源路南侧B地块土地一级开发项目MY00-0104-6054地块R2二类居住用地</t>
  </si>
  <si>
    <t>密云</t>
  </si>
  <si>
    <t>密云区水源路南侧</t>
  </si>
  <si>
    <t>京土储挂(密)[2022]057号</t>
  </si>
  <si>
    <t>北京众智房地产开发有限公司</t>
  </si>
  <si>
    <t>北京密云经济开发区有限责任公司</t>
  </si>
  <si>
    <t>北京市顺义区顺义新城第1街区SY00-0001-0320地块R2二类居住用地</t>
  </si>
  <si>
    <t>京土储挂(顺)[2022]054号</t>
  </si>
  <si>
    <t>北京盟科置业有限公司、北京天竺房地产开发有限公司</t>
  </si>
  <si>
    <t>北京市顺义区国有资本经营管理有限公司,龙湖集团控股有限公司</t>
  </si>
  <si>
    <t>北京市昌平区北七家镇平西府土地一级开发项目B-02地块(CP-121101044009-012地块)R2二类居住用地</t>
  </si>
  <si>
    <t>东小口</t>
  </si>
  <si>
    <t>昌平区北七家镇</t>
  </si>
  <si>
    <t>京土储挂(昌)[2022]036号</t>
  </si>
  <si>
    <t>≤2.5</t>
  </si>
  <si>
    <t>第二批</t>
  </si>
  <si>
    <t>限地价,现房销售,摇号/摇珠/抽签,90/70,限房价</t>
  </si>
  <si>
    <t>限房价,限地价,90/70,现房销售</t>
  </si>
  <si>
    <t>增建满足老年人日常需求的养老服务设施(不低于500平方米不超过1000平方米),包括但不限于社区养老服务设施、医疗卫生设施,涉</t>
  </si>
  <si>
    <t>2022-04-19</t>
  </si>
  <si>
    <t>2022-05-10</t>
  </si>
  <si>
    <t>2022-05-31</t>
  </si>
  <si>
    <t>2022-06-01</t>
  </si>
  <si>
    <t>华润置地开发(北京)有限公司、中能建城市投资发展有限公司</t>
  </si>
  <si>
    <t>中能建城市投资发展有限公司,华润置地有限公司</t>
  </si>
  <si>
    <t>居住70年</t>
  </si>
  <si>
    <t>北京市昌平区六环路土城出口土城新村改造土地一级开发项目A-07地块R2二类居住用地</t>
  </si>
  <si>
    <t>昌平区马池口镇</t>
  </si>
  <si>
    <t>京土储挂(昌)[2022]034号</t>
  </si>
  <si>
    <t>≤1.8</t>
  </si>
  <si>
    <t>限房价,限地价,报高标准商品住宅建设方案,90/70</t>
  </si>
  <si>
    <t>限房价,限地价,90/70</t>
  </si>
  <si>
    <t>北京经济技术开发区亦庄新城0510街区YZ00-0510-0017地块R2二类居住用地</t>
  </si>
  <si>
    <t>亦庄新城0510街区YZ00-0510-0017地块</t>
  </si>
  <si>
    <t>京土储挂(开)[2022]*017*号</t>
  </si>
  <si>
    <t>第一批</t>
  </si>
  <si>
    <t>限房价,限地价,90/70,摇号/摇珠/抽签</t>
  </si>
  <si>
    <t>2022-01-07</t>
  </si>
  <si>
    <t>2022-01-28</t>
  </si>
  <si>
    <t>2022-02-16</t>
  </si>
  <si>
    <t>2022-02-17</t>
  </si>
  <si>
    <t>长春创诚房地产开发有限公司</t>
  </si>
  <si>
    <t>绿城中国控股有限公司</t>
  </si>
  <si>
    <t>北京市大兴区旧宫镇绿化隔离地区建设旧村二期1号地土地一级开发项目A2-2地块R2二类居住用地</t>
  </si>
  <si>
    <t>大兴区旧宫镇</t>
  </si>
  <si>
    <t>京土储挂(开)[2022]016号</t>
  </si>
  <si>
    <t>限房价,限地价,报高标准商品住宅建设方案,摇号/摇珠/抽签</t>
  </si>
  <si>
    <t>限房价,限地价</t>
  </si>
  <si>
    <t>京土储挂(开)[2022]*016*号</t>
  </si>
  <si>
    <t>中海企业发展集团有限公司</t>
  </si>
  <si>
    <t>北京市昌平区中关村生命科学园三期及“北四村”棚户区改造土地开发A地块CP02-0101-6006地块R2二类居住用地(配建“保障性租赁住房”)</t>
  </si>
  <si>
    <t>京土储挂(昌)[2022]011号</t>
  </si>
  <si>
    <t>保障性租赁住房</t>
  </si>
  <si>
    <t>限房价,限地价,90/70,摇号/摇珠/抽签,现房销售</t>
  </si>
  <si>
    <t>太仓建仓房地产开发有限公司</t>
  </si>
  <si>
    <t>北京市石景山区首钢园区东南区土地一级开发项目1612-824地块R2二类居住用地</t>
  </si>
  <si>
    <t>石景山区古城南街东侧</t>
  </si>
  <si>
    <t>京土储挂(石)[2022]005号</t>
  </si>
  <si>
    <t>含B级托老所一处,建筑规模约800平方米,</t>
  </si>
  <si>
    <t>华润置地开发(北京)有限公司</t>
  </si>
  <si>
    <t>华润置地有限公司</t>
  </si>
  <si>
    <t>北京市顺义区顺义新城第13街区SY00-0013-6050、6053地块二类居住用地</t>
  </si>
  <si>
    <t>马坡</t>
  </si>
  <si>
    <t>顺义区顺义新城13街区</t>
  </si>
  <si>
    <t>京土储挂(顺)[2022]013号</t>
  </si>
  <si>
    <t>已开工</t>
  </si>
  <si>
    <t>保利(北京)房地产开发有限公司、北京金地兴业房地产有限公司</t>
  </si>
  <si>
    <t>金地（集团）股份有限公司,保利发展控股集团股份有限公司</t>
  </si>
  <si>
    <t>北京市房山区拱辰街道办事处FS00-LX05-0045地块R2二类居住用地</t>
  </si>
  <si>
    <t>房山区拱辰街道办事处</t>
  </si>
  <si>
    <t>京土储挂(房)[2022]014号</t>
  </si>
  <si>
    <t>限房价,限地价,报高标准商品住宅建设方案,现房销售</t>
  </si>
  <si>
    <t>北京市昌平区中关村国家工程技术创新基地C-30地块R2二类居住用地</t>
  </si>
  <si>
    <t>昌平区沙河镇</t>
  </si>
  <si>
    <t>京土储挂(昌)[2022]010号</t>
  </si>
  <si>
    <t>北京市房山区拱辰街道FS00-0111-0017,0019地块R2二类居住用地(配建“保障性租赁住房”)</t>
  </si>
  <si>
    <t>房山区拱辰街道东羊庄村</t>
  </si>
  <si>
    <t>京土整储挂(房)[2021]084号</t>
  </si>
  <si>
    <t>25%</t>
  </si>
  <si>
    <t>限房价,限地价,报高标准商品住宅建设方案</t>
  </si>
  <si>
    <t>开工中</t>
  </si>
  <si>
    <t>2021-11-19</t>
  </si>
  <si>
    <t>2021-12-10</t>
  </si>
  <si>
    <t>2021-12-24</t>
  </si>
  <si>
    <t>2021-12-27</t>
  </si>
  <si>
    <t>居住70年,商业40年,办公54年</t>
  </si>
  <si>
    <t>北京市密云区水源路南侧MY00-0104-6016等地块R2二类居住用地</t>
  </si>
  <si>
    <t>京土整储挂(密)[2021]087号</t>
  </si>
  <si>
    <t>限房价,限地价,摇号/摇珠/抽签,现房销售</t>
  </si>
  <si>
    <t>北京祥业房地产有限公司、北京首都开发股份有限公司、北京旭科置业有限公司和北京密云城市建设投资开发有限公司</t>
  </si>
  <si>
    <t>北京住总集团有限责任公司,旭辉控股*（集团）*有限公司,北京密云城市建设投资集团有限公司,北京首都开发股份有限公司</t>
  </si>
  <si>
    <t>居住70年,商业40年,办公53年</t>
  </si>
  <si>
    <t>北京市门头沟区永定镇MC00-0605-0002,0005等地块R2二类居住用地(配建“保障性租赁住房”)</t>
  </si>
  <si>
    <t>京土整储挂(门)[2021]086号</t>
  </si>
  <si>
    <t>北京金地兴业房地产有限公司</t>
  </si>
  <si>
    <t>金地（集团）股份有限公司</t>
  </si>
  <si>
    <t>居住70年,商业40年,办公55年</t>
  </si>
  <si>
    <t>北京市门头沟区永定镇MC00-0605-0001,0003等地块R2二类居住用地(配建“保障性租赁住房”)</t>
  </si>
  <si>
    <t>京土整储挂(门)[2021]085号</t>
  </si>
  <si>
    <t>北京方兴亦城置业有限公司</t>
  </si>
  <si>
    <t>中国金茂控股集团有限公司</t>
  </si>
  <si>
    <t>居住70年,商业40年,办公57年</t>
  </si>
  <si>
    <t>北京市大兴区瀛海镇集体经营性建设用地入市试点(一期)*YZ00-0803-0012*地块</t>
  </si>
  <si>
    <t>大兴区瀛海镇,东至瀛坤路,西至瀛达路,北至瀛元街,南至瀛成路</t>
  </si>
  <si>
    <t>YZ00-0803-0012</t>
  </si>
  <si>
    <t>F81绿隔产业用地(建设人才公寓)</t>
  </si>
  <si>
    <t>2021-11-16</t>
  </si>
  <si>
    <t>2021-12-06</t>
  </si>
  <si>
    <t>2021-12-20</t>
  </si>
  <si>
    <t>京规自集使挂*(兴)*[2021]002*号</t>
  </si>
  <si>
    <t>北京博大新元房地产开发有限公司</t>
  </si>
  <si>
    <t>北京亦庄国际人才发展集团有限公司</t>
  </si>
  <si>
    <t>北京市昌平区昌平镇东环路136号(原六亭饭店)CP00-0205-0021地块R2二类居住用地</t>
  </si>
  <si>
    <t>城北街道</t>
  </si>
  <si>
    <t>昌平区城北街道</t>
  </si>
  <si>
    <t>京土整储挂(昌)[2021]059号</t>
  </si>
  <si>
    <t>60米</t>
  </si>
  <si>
    <t>限房价,限地价,摇号/摇珠/抽签</t>
  </si>
  <si>
    <t>2021-08-30</t>
  </si>
  <si>
    <t>2021-09-23</t>
  </si>
  <si>
    <t>2021-10-13</t>
  </si>
  <si>
    <t>中铁置业集团北京有限公司</t>
  </si>
  <si>
    <t>中国中铁股份有限公司</t>
  </si>
  <si>
    <t>北京市石景山区首钢园区东南区土地一级开发项目1612-829地块F1住宅混合公建用地(配建“保障性租赁住房”)</t>
  </si>
  <si>
    <t>京土整储挂(石)[2021]051号</t>
  </si>
  <si>
    <t>F1住宅混合公建用地</t>
  </si>
  <si>
    <t>2021-10-12</t>
  </si>
  <si>
    <t>北京市大兴区西红门镇DX04-0102-6011、6014地块R2二类居住用地(配建“保障性租赁住房”)</t>
  </si>
  <si>
    <t>西红门</t>
  </si>
  <si>
    <t>大兴区西红门镇</t>
  </si>
  <si>
    <t>京土整储挂(兴)[2021]061号</t>
  </si>
  <si>
    <t>＜2.5</t>
  </si>
  <si>
    <t>华润置地开发(北京)有限公司、中铁置业集团北京有限公司</t>
  </si>
  <si>
    <t>华润置地有限公司,中国中铁股份有限公司</t>
  </si>
  <si>
    <t>北京市房山区长沟镇新型城镇化建设北部浅山区土地一级开发项目FS12-0100-6017地块R2二类居住用地</t>
  </si>
  <si>
    <t>大石窝、长沟</t>
  </si>
  <si>
    <t>房山区长沟镇</t>
  </si>
  <si>
    <t>京土整储挂(房)[2021]067号</t>
  </si>
  <si>
    <t>北京城建房地产开发有限公司</t>
  </si>
  <si>
    <t>北京市密云区檀营乡6005地块R2二类居住用地</t>
  </si>
  <si>
    <t>檀营满族蒙族乡</t>
  </si>
  <si>
    <t>密云区檀营乡</t>
  </si>
  <si>
    <t>京土整储挂(密)[2021]026号</t>
  </si>
  <si>
    <t>≤30米(局部45米)</t>
  </si>
  <si>
    <t>限地价,报高标准商品住宅建设方案</t>
  </si>
  <si>
    <t>2021-03-31</t>
  </si>
  <si>
    <t>2021-04-22</t>
  </si>
  <si>
    <t>2021-05-08</t>
  </si>
  <si>
    <t>2021-05-25</t>
  </si>
  <si>
    <t>北京祥业房地产有限公司、北京首都开发股份有限公司、北京兴添咨询服务有限公司、北京花亿里房地产开发有限公司</t>
  </si>
  <si>
    <t>北京住总集团有限责任公司,北京首都开发股份有限公司</t>
  </si>
  <si>
    <t>北京市昌平区东小口镇马连店1803-610地块R2二类居住用地</t>
  </si>
  <si>
    <t>昌平区东小口马连店</t>
  </si>
  <si>
    <t>京土整储挂(昌)[2021]024号</t>
  </si>
  <si>
    <t>80米</t>
  </si>
  <si>
    <t>公共租赁房</t>
  </si>
  <si>
    <t>限地价,竞配建,90/70</t>
  </si>
  <si>
    <t>2021-05-11</t>
  </si>
  <si>
    <t>华通置业有限公司、北京领华房地产开发有限公司、北京嘉晨置业合伙企业(有限合伙)</t>
  </si>
  <si>
    <t>卓越置业集团有限公司,中交地产股份有限公司</t>
  </si>
  <si>
    <t>北京市昌平区北七家镇中心起步区(暨海鶄落新村建设)土地一级开发项目一期HQL-09地块R2二类居住用地</t>
  </si>
  <si>
    <t>北七家</t>
  </si>
  <si>
    <t>京土整储挂(昌)[2021]022号</t>
  </si>
  <si>
    <t>≤1.6</t>
  </si>
  <si>
    <t>24米</t>
  </si>
  <si>
    <t>限地价,竞配建,报高标准商品住宅建设方案</t>
  </si>
  <si>
    <t>限地价,竞配建</t>
  </si>
  <si>
    <t>北京天时汤山房地产投资发展有限公司</t>
  </si>
  <si>
    <t>北京市大兴区榆垡镇中心区DX09-0102-0027、0044地块R2二类居住用地</t>
  </si>
  <si>
    <t>榆垡</t>
  </si>
  <si>
    <t>大兴区榆垡镇</t>
  </si>
  <si>
    <t>京土整储挂(兴)[2021]018号</t>
  </si>
  <si>
    <t>保利(北京)房地产开发有限公司、北京新航城建设实业发展有限公司、北京首都开发股份有限公司</t>
  </si>
  <si>
    <t>北京亦庄投资控股有限公司,保利发展控股集团股份有限公司,北京首都开发股份有限公司</t>
  </si>
  <si>
    <t>北京市顺义新城第23街区新国展三期项目(原22街区南部)22-02-007-1、22-02-007-2地块R2二类居住用地</t>
  </si>
  <si>
    <t>顺义新城第23街区</t>
  </si>
  <si>
    <t>京土整储挂(顺)[2020]062号</t>
  </si>
  <si>
    <t>≤35%</t>
  </si>
  <si>
    <t>限地价,竞自持,竞配建</t>
  </si>
  <si>
    <t>2020-12-30</t>
  </si>
  <si>
    <t>2021-01-19</t>
  </si>
  <si>
    <t>2021-02-02</t>
  </si>
  <si>
    <t>北京润置商业运营管理有限公司、保利(北京)房地产开发有限公司</t>
  </si>
  <si>
    <t>华润置地有限公司,保利发展控股集团股份有限公司</t>
  </si>
  <si>
    <t>北京市顺义区顺义新城第13街区SY00-0013-6055、6056地块二类居住用地</t>
  </si>
  <si>
    <t>顺义区新城第13街区</t>
  </si>
  <si>
    <t>京土整储挂(顺)[2020]054号</t>
  </si>
  <si>
    <t>≤30米</t>
  </si>
  <si>
    <t>限地价,竞自持,报高标准商品住宅建设方案</t>
  </si>
  <si>
    <t>2020-12-23</t>
  </si>
  <si>
    <t>2021-01-12</t>
  </si>
  <si>
    <t>2021-01-26</t>
  </si>
  <si>
    <t>北京宏远泰业科技有限公司、保利(北京)房地产开发有限公司</t>
  </si>
  <si>
    <t>北京市大兴区旧宫镇南郊农场棚户区改造项目DX05-0200-0037、0038、6002等地块R2二类居住用地</t>
  </si>
  <si>
    <t>旧宫</t>
  </si>
  <si>
    <t>京土整储挂(开)【2020】056号</t>
  </si>
  <si>
    <t>≤2.3</t>
  </si>
  <si>
    <t>北京盛宏辰悦房地产开发有限公司</t>
  </si>
  <si>
    <t>合生创展集团有限公司</t>
  </si>
  <si>
    <t>北京市石景山区北辛安棚户区改造B区土地开发项目1608-673-A地块二类居住用地</t>
  </si>
  <si>
    <t>石景山区北辛安地区</t>
  </si>
  <si>
    <t>京土整储挂(石)[2020]044号</t>
  </si>
  <si>
    <t>≤80米</t>
  </si>
  <si>
    <t>2020-11-10</t>
  </si>
  <si>
    <t>2021-01-14</t>
  </si>
  <si>
    <t>北京鑫安兴业房地产开发有限公司</t>
  </si>
  <si>
    <t>北京市怀柔区雁栖镇陈各庄村HR00-0010-6040地块R2二类居住用地</t>
  </si>
  <si>
    <t>怀柔区</t>
  </si>
  <si>
    <t>怀北、怀柔</t>
  </si>
  <si>
    <t>怀柔区雁栖镇陈各庄村</t>
  </si>
  <si>
    <t>京土整储挂(怀)[2020]031号</t>
  </si>
  <si>
    <t>2020-07-13</t>
  </si>
  <si>
    <t>2020-08-03</t>
  </si>
  <si>
    <t>2020-08-17</t>
  </si>
  <si>
    <t>北京科控置地有限公司</t>
  </si>
  <si>
    <t>北京科技园建设（集团）股份有限公司</t>
  </si>
  <si>
    <t>正常</t>
  </si>
  <si>
    <t>抵押</t>
  </si>
  <si>
    <t>房地产抵押价值</t>
  </si>
  <si>
    <t>企业</t>
  </si>
  <si>
    <t>基础工程</t>
    <phoneticPr fontId="3" type="noConversion"/>
  </si>
  <si>
    <t>地上建筑工程</t>
    <phoneticPr fontId="3" type="noConversion"/>
  </si>
  <si>
    <t>安装工程</t>
    <phoneticPr fontId="3" type="noConversion"/>
  </si>
  <si>
    <t>精装</t>
    <phoneticPr fontId="3" type="noConversion"/>
  </si>
  <si>
    <t>未包含在土地购买价格中</t>
  </si>
  <si>
    <t>全部缴纳</t>
  </si>
  <si>
    <t>已包含在土地取得成本中</t>
  </si>
  <si>
    <t>较好</t>
    <phoneticPr fontId="30" type="noConversion"/>
  </si>
  <si>
    <t>一般</t>
    <phoneticPr fontId="30" type="noConversion"/>
  </si>
  <si>
    <t>较好</t>
    <phoneticPr fontId="30" type="noConversion"/>
  </si>
  <si>
    <t>八级</t>
    <phoneticPr fontId="30" type="noConversion"/>
  </si>
  <si>
    <t>七级</t>
    <phoneticPr fontId="30" type="noConversion"/>
  </si>
  <si>
    <t>九级</t>
    <phoneticPr fontId="30" type="noConversion"/>
  </si>
  <si>
    <t>六通</t>
    <phoneticPr fontId="30" type="noConversion"/>
  </si>
  <si>
    <t>五通</t>
    <phoneticPr fontId="30" type="noConversion"/>
  </si>
  <si>
    <t>七通</t>
    <phoneticPr fontId="30" type="noConversion"/>
  </si>
  <si>
    <t>五通</t>
    <phoneticPr fontId="30" type="noConversion"/>
  </si>
  <si>
    <t>地下车库</t>
  </si>
  <si>
    <t>售价</t>
  </si>
  <si>
    <t>自定义</t>
  </si>
  <si>
    <t>钢混</t>
  </si>
  <si>
    <t>非生产用房</t>
  </si>
  <si>
    <t>在建（套用方法）</t>
  </si>
  <si>
    <t>B1170</t>
  </si>
  <si>
    <t>B1171</t>
  </si>
  <si>
    <t>B1172</t>
  </si>
  <si>
    <t>B1173</t>
  </si>
  <si>
    <t>B1174</t>
  </si>
  <si>
    <t>B1175</t>
  </si>
  <si>
    <t>B1176</t>
  </si>
  <si>
    <t>B1177</t>
  </si>
  <si>
    <t>B1178</t>
  </si>
  <si>
    <t>B1179</t>
  </si>
  <si>
    <t>B1180</t>
  </si>
  <si>
    <t>B1181</t>
  </si>
  <si>
    <t>B1182</t>
  </si>
  <si>
    <t>B1183</t>
  </si>
  <si>
    <t>B1184</t>
  </si>
  <si>
    <t>B1185</t>
  </si>
  <si>
    <t>B1186</t>
  </si>
  <si>
    <t>B1187</t>
  </si>
  <si>
    <t>B1188</t>
  </si>
  <si>
    <t>B1159</t>
    <phoneticPr fontId="134" type="noConversion"/>
  </si>
  <si>
    <t>B1160</t>
  </si>
  <si>
    <t>B1161</t>
  </si>
  <si>
    <t>B1162</t>
  </si>
  <si>
    <t>B1163</t>
  </si>
  <si>
    <t>B1164</t>
  </si>
  <si>
    <t>B1165</t>
  </si>
  <si>
    <t>B1166</t>
  </si>
  <si>
    <t>B1167</t>
  </si>
  <si>
    <t>B1168</t>
  </si>
  <si>
    <t>B1169</t>
  </si>
  <si>
    <t>机械车位</t>
    <phoneticPr fontId="134" type="noConversion"/>
  </si>
  <si>
    <t>普通车位</t>
    <phoneticPr fontId="134" type="noConversion"/>
  </si>
  <si>
    <t>机械车位</t>
    <phoneticPr fontId="134" type="noConversion"/>
  </si>
  <si>
    <t>中海云筑</t>
    <phoneticPr fontId="134" type="noConversion"/>
  </si>
  <si>
    <t>大兴金茂悦</t>
    <phoneticPr fontId="134" type="noConversion"/>
  </si>
  <si>
    <t>中海云熙</t>
    <phoneticPr fontId="134" type="noConversion"/>
  </si>
  <si>
    <t>正常</t>
    <phoneticPr fontId="24" type="noConversion"/>
  </si>
  <si>
    <t>正常</t>
    <phoneticPr fontId="24" type="noConversion"/>
  </si>
  <si>
    <t>住宅</t>
    <phoneticPr fontId="24" type="noConversion"/>
  </si>
  <si>
    <t>一般</t>
    <phoneticPr fontId="24" type="noConversion"/>
  </si>
  <si>
    <t>七通</t>
    <phoneticPr fontId="24" type="noConversion"/>
  </si>
  <si>
    <t>七通</t>
    <phoneticPr fontId="24" type="noConversion"/>
  </si>
  <si>
    <t>较好</t>
    <phoneticPr fontId="24" type="noConversion"/>
  </si>
  <si>
    <t>较好</t>
    <phoneticPr fontId="24" type="noConversion"/>
  </si>
  <si>
    <t>高层</t>
    <phoneticPr fontId="24" type="noConversion"/>
  </si>
  <si>
    <t>小高层</t>
    <phoneticPr fontId="24" type="noConversion"/>
  </si>
  <si>
    <t>钢混</t>
    <phoneticPr fontId="24" type="noConversion"/>
  </si>
  <si>
    <t>精装</t>
    <phoneticPr fontId="24" type="noConversion"/>
  </si>
  <si>
    <t>专业</t>
    <phoneticPr fontId="24" type="noConversion"/>
  </si>
  <si>
    <t>精装</t>
    <phoneticPr fontId="24" type="noConversion"/>
  </si>
  <si>
    <t>毛坯</t>
    <phoneticPr fontId="24" type="noConversion"/>
  </si>
  <si>
    <t>普装</t>
    <phoneticPr fontId="24" type="noConversion"/>
  </si>
  <si>
    <t>简装</t>
    <phoneticPr fontId="24" type="noConversion"/>
  </si>
  <si>
    <t>成本法</t>
  </si>
  <si>
    <t>比较法-住宅</t>
  </si>
  <si>
    <r>
      <rPr>
        <sz val="11"/>
        <color theme="1"/>
        <rFont val="宋体"/>
        <family val="3"/>
        <charset val="134"/>
        <scheme val="minor"/>
      </rPr>
      <t xml:space="preserve">附件：                                                    </t>
    </r>
    <r>
      <rPr>
        <b/>
        <sz val="16"/>
        <color theme="1"/>
        <rFont val="宋体"/>
        <family val="3"/>
        <charset val="134"/>
        <scheme val="minor"/>
      </rPr>
      <t>转现房建筑物抵押物清单明细</t>
    </r>
    <r>
      <rPr>
        <sz val="11"/>
        <color theme="1"/>
        <rFont val="宋体"/>
        <family val="3"/>
        <charset val="134"/>
        <scheme val="minor"/>
      </rPr>
      <t xml:space="preserve">
                                                                  （适用于不动产抵押物）
  本清单是编号为：2022年恒银京抵字第0144号的《抵押合同（抵押人为法人或其他组织）》的组成部分，抵押人以其拥有合法所有权的如下抵押物向抵押权人提供抵押担保，双方进一步约定了抵押物情况及双方对抵押物享有的权利和所负义务，其内容如下： 
</t>
    </r>
  </si>
  <si>
    <t>序号</t>
  </si>
  <si>
    <t>位置</t>
  </si>
  <si>
    <t>面积（单位：㎡）</t>
  </si>
  <si>
    <t>实测楼号</t>
  </si>
  <si>
    <t>实测房号</t>
  </si>
  <si>
    <t>实测面积</t>
  </si>
  <si>
    <t>网签状态
（是/否）</t>
  </si>
  <si>
    <t>权利证号</t>
  </si>
  <si>
    <t>抵押物价值</t>
  </si>
  <si>
    <t>出租及实际占有情况</t>
  </si>
  <si>
    <t>担保物权及优先权情况</t>
  </si>
  <si>
    <t>居住权情况</t>
  </si>
  <si>
    <t>共有人情况</t>
  </si>
  <si>
    <t>抵押宗地面积</t>
  </si>
  <si>
    <t>不动产单元号</t>
  </si>
  <si>
    <t>2-1-2-502</t>
  </si>
  <si>
    <t>20-2-502</t>
  </si>
  <si>
    <t>京（2020）大不动产权第0003874号；2020规自（大）建字0003号</t>
  </si>
  <si>
    <t>未出租</t>
  </si>
  <si>
    <t>已存在担保物权及优先权</t>
  </si>
  <si>
    <t>无</t>
  </si>
  <si>
    <t>上述全部房产抵押建筑面积对应的宗地使用权面积一并抵押</t>
  </si>
  <si>
    <t>2-1-2-1002</t>
  </si>
  <si>
    <t>20-2-1002</t>
  </si>
  <si>
    <t>小计</t>
  </si>
  <si>
    <t>抵押建筑面积</t>
  </si>
  <si>
    <t>2-2-1-101</t>
  </si>
  <si>
    <t>22-1-101</t>
  </si>
  <si>
    <t>2-2-1-102</t>
  </si>
  <si>
    <t>22-1-102</t>
  </si>
  <si>
    <t>2-2-1-201</t>
  </si>
  <si>
    <t>22-1-201</t>
  </si>
  <si>
    <t>2-2-1-202</t>
  </si>
  <si>
    <t>22-1-202</t>
  </si>
  <si>
    <t>2-2-1-301</t>
  </si>
  <si>
    <t>22-1-301</t>
  </si>
  <si>
    <t>2-2-1-302</t>
  </si>
  <si>
    <t>22-1-302</t>
  </si>
  <si>
    <t>2-2-1-401</t>
  </si>
  <si>
    <t>22-1-401</t>
  </si>
  <si>
    <t>2-2-1-402</t>
  </si>
  <si>
    <t>22-1-402</t>
  </si>
  <si>
    <t>2-2-1-501</t>
  </si>
  <si>
    <t>22-1-501</t>
  </si>
  <si>
    <t>2-2-1-601</t>
  </si>
  <si>
    <t>22-1-601</t>
  </si>
  <si>
    <t>2-2-1-602</t>
  </si>
  <si>
    <t>22-1-602</t>
  </si>
  <si>
    <t>2-2-1-701</t>
  </si>
  <si>
    <t>22-1-701</t>
  </si>
  <si>
    <t>2-2-1-801</t>
  </si>
  <si>
    <t>22-1-801</t>
  </si>
  <si>
    <t>2-2-1-901</t>
  </si>
  <si>
    <t>22-1-901</t>
  </si>
  <si>
    <t>2-2-1-1002</t>
  </si>
  <si>
    <t>22-1-1002</t>
  </si>
  <si>
    <t>2-2-2-202</t>
  </si>
  <si>
    <t>22-2-202</t>
  </si>
  <si>
    <t>2-2-2-602</t>
  </si>
  <si>
    <t>22-2-602</t>
  </si>
  <si>
    <t>2-2-2-702</t>
  </si>
  <si>
    <t>22-2-702</t>
  </si>
  <si>
    <t>2-2-2-901</t>
  </si>
  <si>
    <t>22-2-901</t>
  </si>
  <si>
    <t>2-2-2-1002</t>
  </si>
  <si>
    <t>22-2-1002</t>
  </si>
  <si>
    <t>2-3-1-201</t>
  </si>
  <si>
    <t>21-1-201</t>
  </si>
  <si>
    <t>2-3-1-202</t>
  </si>
  <si>
    <t>21-1-202</t>
  </si>
  <si>
    <t>2-4-1-101</t>
  </si>
  <si>
    <t>18-1-101</t>
  </si>
  <si>
    <t>2-4-1-201</t>
  </si>
  <si>
    <t>18-1-201</t>
  </si>
  <si>
    <t>2-4-1-301</t>
  </si>
  <si>
    <t>18-1-301</t>
  </si>
  <si>
    <t>2-4-1-401</t>
  </si>
  <si>
    <t>18-1-401</t>
  </si>
  <si>
    <t>2-4-1-1001</t>
  </si>
  <si>
    <t>18-1-1001</t>
  </si>
  <si>
    <t>2-4-2-101</t>
  </si>
  <si>
    <t>18-2-101</t>
  </si>
  <si>
    <t>2-4-2-201</t>
  </si>
  <si>
    <t>18-2-201</t>
  </si>
  <si>
    <t>2-4-2-301</t>
  </si>
  <si>
    <t>18-2-301</t>
  </si>
  <si>
    <t>2-4-2-1001</t>
  </si>
  <si>
    <t>18-2-1001</t>
  </si>
  <si>
    <t>2-4-2-1002</t>
  </si>
  <si>
    <t>18-2-1002</t>
  </si>
  <si>
    <t>2-5-1-101</t>
  </si>
  <si>
    <t>17-1-101</t>
  </si>
  <si>
    <t>2-5-1-102</t>
  </si>
  <si>
    <t>17-1-102</t>
  </si>
  <si>
    <t>2-5-1-201</t>
  </si>
  <si>
    <t>17-1-201</t>
  </si>
  <si>
    <t>2-5-1-202</t>
  </si>
  <si>
    <t>17-1-202</t>
  </si>
  <si>
    <t>2-5-1-301</t>
  </si>
  <si>
    <t>17-1-301</t>
  </si>
  <si>
    <t>2-5-1-302</t>
  </si>
  <si>
    <t>17-1-302</t>
  </si>
  <si>
    <t>2-5-1-401</t>
  </si>
  <si>
    <t>17-1-401</t>
  </si>
  <si>
    <t>2-5-1-501</t>
  </si>
  <si>
    <t>17-1-501</t>
  </si>
  <si>
    <t>2-5-1-601</t>
  </si>
  <si>
    <t>17-1-601</t>
  </si>
  <si>
    <t>2-5-1-701</t>
  </si>
  <si>
    <t>17-1-701</t>
  </si>
  <si>
    <t>2-5-1-801</t>
  </si>
  <si>
    <t>17-1-801</t>
  </si>
  <si>
    <t>2-5-1-1101</t>
  </si>
  <si>
    <t>17-1-1101</t>
  </si>
  <si>
    <t>2-5-1-1102</t>
  </si>
  <si>
    <t>17-1-1102</t>
  </si>
  <si>
    <t>2-5-2-101</t>
  </si>
  <si>
    <t>17-2-101</t>
  </si>
  <si>
    <t>2-5-2-102</t>
  </si>
  <si>
    <t>17-2-102</t>
  </si>
  <si>
    <t>2-5-2-201</t>
  </si>
  <si>
    <t>17-2-201</t>
  </si>
  <si>
    <t>2-5-2-202</t>
  </si>
  <si>
    <t>17-2-202</t>
  </si>
  <si>
    <t>2-5-2-301</t>
  </si>
  <si>
    <t>17-2-301</t>
  </si>
  <si>
    <t>2-5-2-302</t>
  </si>
  <si>
    <t>17-2-302</t>
  </si>
  <si>
    <t>2-5-2-402</t>
  </si>
  <si>
    <t>17-2-402</t>
  </si>
  <si>
    <t>2-5-2-502</t>
  </si>
  <si>
    <t>17-2-502</t>
  </si>
  <si>
    <t>2-5-2-602</t>
  </si>
  <si>
    <t>17-2-602</t>
  </si>
  <si>
    <t>2-5-2-802</t>
  </si>
  <si>
    <t>17-2-802</t>
  </si>
  <si>
    <t>2-5-2-1001</t>
  </si>
  <si>
    <t>17-2-1001</t>
  </si>
  <si>
    <t>2-5-2-1102</t>
  </si>
  <si>
    <t>17-2-1102</t>
  </si>
  <si>
    <t>2-6-1-101</t>
  </si>
  <si>
    <t>15-1-101</t>
  </si>
  <si>
    <t>2-6-1-102</t>
  </si>
  <si>
    <t>15-1-102</t>
  </si>
  <si>
    <t>2-6-1-201</t>
  </si>
  <si>
    <t>15-1-201</t>
  </si>
  <si>
    <t>2-6-1-301</t>
  </si>
  <si>
    <t>15-1-301</t>
  </si>
  <si>
    <t>2-6-1-401</t>
  </si>
  <si>
    <t>15-1-401</t>
  </si>
  <si>
    <t>2-6-1-501</t>
  </si>
  <si>
    <t>15-1-501</t>
  </si>
  <si>
    <t>2-6-1-502</t>
  </si>
  <si>
    <t>15-1-502</t>
  </si>
  <si>
    <t>2-6-1-601</t>
  </si>
  <si>
    <t>15-1-601</t>
  </si>
  <si>
    <t>2-6-1-701</t>
  </si>
  <si>
    <t>15-1-701</t>
  </si>
  <si>
    <t>2-6-1-801</t>
  </si>
  <si>
    <t>15-1-801</t>
  </si>
  <si>
    <t>2-6-1-901</t>
  </si>
  <si>
    <t>15-1-901</t>
  </si>
  <si>
    <t>2-6-1-1001</t>
  </si>
  <si>
    <t>15-1-1001</t>
  </si>
  <si>
    <t>2-6-1-1101</t>
  </si>
  <si>
    <t>15-1-1101</t>
  </si>
  <si>
    <t>2-6-2-102</t>
  </si>
  <si>
    <t>15-2-102</t>
  </si>
  <si>
    <t>2-6-2-302</t>
  </si>
  <si>
    <t>15-2-302</t>
  </si>
  <si>
    <t>2-6-2-402</t>
  </si>
  <si>
    <t>15-2-402</t>
  </si>
  <si>
    <t>2-6-2-502</t>
  </si>
  <si>
    <t>15-2-502</t>
  </si>
  <si>
    <t>2-6-2-602</t>
  </si>
  <si>
    <t>15-2-602</t>
  </si>
  <si>
    <t>2-6-2-702</t>
  </si>
  <si>
    <t>15-2-702</t>
  </si>
  <si>
    <t>2-6-2-802</t>
  </si>
  <si>
    <t>15-2-802</t>
  </si>
  <si>
    <t>2-6-2-902</t>
  </si>
  <si>
    <t>15-2-902</t>
  </si>
  <si>
    <t>2-6-2-1002</t>
  </si>
  <si>
    <t>15-2-1002</t>
  </si>
  <si>
    <t>2-6-2-1101</t>
  </si>
  <si>
    <t>15-2-1101</t>
  </si>
  <si>
    <t>2-6-2-1102</t>
  </si>
  <si>
    <t>15-2-1102</t>
  </si>
  <si>
    <t>2-7-1-101</t>
  </si>
  <si>
    <t>16-1-101</t>
  </si>
  <si>
    <t>2-7-1-102</t>
  </si>
  <si>
    <t>16-1-102</t>
  </si>
  <si>
    <t>2-7-1-201</t>
  </si>
  <si>
    <t>16-1-201</t>
  </si>
  <si>
    <t>2-7-1-202</t>
  </si>
  <si>
    <t>16-1-202</t>
  </si>
  <si>
    <t>2-7-1-301</t>
  </si>
  <si>
    <t>16-1-301</t>
  </si>
  <si>
    <t>2-7-1-401</t>
  </si>
  <si>
    <t>16-1-401</t>
  </si>
  <si>
    <t>2-7-1-501</t>
  </si>
  <si>
    <t>16-1-501</t>
  </si>
  <si>
    <t>2-7-1-601</t>
  </si>
  <si>
    <t>16-1-601</t>
  </si>
  <si>
    <t>2-7-1-701</t>
  </si>
  <si>
    <t>16-1-701</t>
  </si>
  <si>
    <t>2-7-1-801</t>
  </si>
  <si>
    <t>16-1-801</t>
  </si>
  <si>
    <t>2-7-1-901</t>
  </si>
  <si>
    <t>16-1-901</t>
  </si>
  <si>
    <t>2-7-1-1001</t>
  </si>
  <si>
    <t>16-1-1001</t>
  </si>
  <si>
    <t>2-7-1-1101</t>
  </si>
  <si>
    <t>16-1-1101</t>
  </si>
  <si>
    <t>2-7-2-101</t>
  </si>
  <si>
    <t>16-2-101</t>
  </si>
  <si>
    <t>2-7-2-102</t>
  </si>
  <si>
    <t>16-2-102</t>
  </si>
  <si>
    <t>2-7-2-201</t>
  </si>
  <si>
    <t>16-2-201</t>
  </si>
  <si>
    <t>2-7-2-202</t>
  </si>
  <si>
    <t>16-2-202</t>
  </si>
  <si>
    <t>2-7-2-301</t>
  </si>
  <si>
    <t>16-2-301</t>
  </si>
  <si>
    <t>2-7-2-302</t>
  </si>
  <si>
    <t>16-2-302</t>
  </si>
  <si>
    <t>2-7-2-402</t>
  </si>
  <si>
    <t>16-2-402</t>
  </si>
  <si>
    <t>2-7-2-502</t>
  </si>
  <si>
    <t>16-2-502</t>
  </si>
  <si>
    <t>2-7-2-602</t>
  </si>
  <si>
    <t>16-2-602</t>
  </si>
  <si>
    <t>2-7-2-802</t>
  </si>
  <si>
    <t>16-2-802</t>
  </si>
  <si>
    <t>2-7-2-1002</t>
  </si>
  <si>
    <t>16-2-1002</t>
  </si>
  <si>
    <t>2-7-2-1101</t>
  </si>
  <si>
    <t>16-2-1101</t>
  </si>
  <si>
    <t>2-7-2-1102</t>
  </si>
  <si>
    <t>16-2-1102</t>
  </si>
  <si>
    <t>2-9-1-101</t>
  </si>
  <si>
    <t>12号楼</t>
  </si>
  <si>
    <t>12-1-101</t>
  </si>
  <si>
    <t>2-9-1-201</t>
  </si>
  <si>
    <t>12-1-201</t>
  </si>
  <si>
    <t>2-9-1-1101</t>
  </si>
  <si>
    <t>12-1-1101</t>
  </si>
  <si>
    <t>2-9-1-1102</t>
  </si>
  <si>
    <t>12-1-1102</t>
  </si>
  <si>
    <t>2-9-2-101</t>
  </si>
  <si>
    <t>12-2-101</t>
  </si>
  <si>
    <t>2-9-2-301</t>
  </si>
  <si>
    <t>12-2-301</t>
  </si>
  <si>
    <t>2-9-2-1101</t>
  </si>
  <si>
    <t>12-2-1101</t>
  </si>
  <si>
    <t>2-9-2-102</t>
  </si>
  <si>
    <t>12-2-102</t>
  </si>
  <si>
    <t>2-9-2-202</t>
  </si>
  <si>
    <t>12-2-202</t>
  </si>
  <si>
    <t>2-9-2-302</t>
  </si>
  <si>
    <t>12-2-302</t>
  </si>
  <si>
    <t>2-9-2-402</t>
  </si>
  <si>
    <t>12-2-402</t>
  </si>
  <si>
    <t>2-9-2-602</t>
  </si>
  <si>
    <t>12-2-602</t>
  </si>
  <si>
    <t>2-9-2-902</t>
  </si>
  <si>
    <t>12-2-902</t>
  </si>
  <si>
    <t>2-9-2-1102</t>
  </si>
  <si>
    <t>12-2-1102</t>
  </si>
  <si>
    <t>2-11-1-101</t>
  </si>
  <si>
    <t>11号楼</t>
  </si>
  <si>
    <t>11-1-101</t>
  </si>
  <si>
    <t>2-11-1-201</t>
  </si>
  <si>
    <t>11-1-201</t>
  </si>
  <si>
    <t>2-11-1-301</t>
  </si>
  <si>
    <t>11-1-301</t>
  </si>
  <si>
    <t>2-11-1-401</t>
  </si>
  <si>
    <t>11-1-401</t>
  </si>
  <si>
    <t>2-11-1-501</t>
  </si>
  <si>
    <t>11-1-501</t>
  </si>
  <si>
    <t>2-11-1-601</t>
  </si>
  <si>
    <t>11-1-601</t>
  </si>
  <si>
    <t>2-11-1-701</t>
  </si>
  <si>
    <t>11-1-701</t>
  </si>
  <si>
    <t>2-11-1-801</t>
  </si>
  <si>
    <t>11-1-801</t>
  </si>
  <si>
    <t>2-11-1-901</t>
  </si>
  <si>
    <t>11-1-901</t>
  </si>
  <si>
    <t>2-11-1-1001</t>
  </si>
  <si>
    <t>11-1-1001</t>
  </si>
  <si>
    <t>2-11-1-1101</t>
  </si>
  <si>
    <t>11-1-1101</t>
  </si>
  <si>
    <t>2-11-1-1002</t>
  </si>
  <si>
    <t>11-1-1002</t>
  </si>
  <si>
    <t>2-11-1-1102</t>
  </si>
  <si>
    <t>11-1-1102</t>
  </si>
  <si>
    <t>2-11-2-401</t>
  </si>
  <si>
    <t>11-2-401</t>
  </si>
  <si>
    <t>2-11-2-601</t>
  </si>
  <si>
    <t>11-2-601</t>
  </si>
  <si>
    <t>2-11-2-1001</t>
  </si>
  <si>
    <t>11-2-1001</t>
  </si>
  <si>
    <t>2-11-2-402</t>
  </si>
  <si>
    <t>11-2-402</t>
  </si>
  <si>
    <t>2-11-2-1002</t>
  </si>
  <si>
    <t>11-2-1002</t>
  </si>
  <si>
    <t>2-13-1-101</t>
  </si>
  <si>
    <t>7号楼</t>
  </si>
  <si>
    <t>7-1-101</t>
  </si>
  <si>
    <t>2-13-1-102</t>
  </si>
  <si>
    <t>7-1-102</t>
  </si>
  <si>
    <t>2-13-1-201</t>
  </si>
  <si>
    <t>7-1-201</t>
  </si>
  <si>
    <t>2-13-1-202</t>
  </si>
  <si>
    <t>7-1-202</t>
  </si>
  <si>
    <t>2-13-1-301</t>
  </si>
  <si>
    <t>7-1-301</t>
  </si>
  <si>
    <t>2-13-1-302</t>
  </si>
  <si>
    <t>7-1-302</t>
  </si>
  <si>
    <t>2-13-1-401</t>
  </si>
  <si>
    <t>7-1-401</t>
  </si>
  <si>
    <t>2-13-1-402</t>
  </si>
  <si>
    <t>7-1-402</t>
  </si>
  <si>
    <t>2-13-1-501</t>
  </si>
  <si>
    <t>7-1-501</t>
  </si>
  <si>
    <t>2-13-1-502</t>
  </si>
  <si>
    <t>7-1-502</t>
  </si>
  <si>
    <t>2-13-1-601</t>
  </si>
  <si>
    <t>7-1-601</t>
  </si>
  <si>
    <t>2-13-1-602</t>
  </si>
  <si>
    <t>7-1-602</t>
  </si>
  <si>
    <t>2-13-1-701</t>
  </si>
  <si>
    <t>7-1-701</t>
  </si>
  <si>
    <t>2-13-1-801</t>
  </si>
  <si>
    <t>7-1-801</t>
  </si>
  <si>
    <t>2-13-1-802</t>
  </si>
  <si>
    <t>7-1-802</t>
  </si>
  <si>
    <t>2-13-1-901</t>
  </si>
  <si>
    <t>7-1-901</t>
  </si>
  <si>
    <t>2-13-1-902</t>
  </si>
  <si>
    <t>7-1-902</t>
  </si>
  <si>
    <t>2-13-2-101</t>
  </si>
  <si>
    <t>7-2-101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</si>
  <si>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</si>
  <si>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</si>
  <si>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</si>
  <si>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</si>
  <si>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</si>
  <si>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</si>
  <si>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</si>
  <si>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</si>
  <si>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</si>
  <si>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</si>
  <si>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</si>
  <si>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</si>
  <si>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</si>
  <si>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</si>
  <si>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</si>
  <si>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</si>
  <si>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</si>
  <si>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</si>
  <si>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2-13-2-701</t>
  </si>
  <si>
    <t>7-2-701</t>
  </si>
  <si>
    <t>2-13-2-702</t>
  </si>
  <si>
    <t>7-2-702</t>
  </si>
  <si>
    <t>2-13-2-802</t>
  </si>
  <si>
    <t>7-2-802</t>
  </si>
  <si>
    <t>2-13-2-901</t>
  </si>
  <si>
    <t>7-2-901</t>
  </si>
  <si>
    <t>2-13-2-902</t>
  </si>
  <si>
    <t>7-2-902</t>
  </si>
  <si>
    <t>2-15-1-101</t>
  </si>
  <si>
    <t>6号楼</t>
  </si>
  <si>
    <t>6-1-101</t>
  </si>
  <si>
    <t>2-15-1-201</t>
  </si>
  <si>
    <t>6-1-201</t>
  </si>
  <si>
    <t>2-15-1-301</t>
  </si>
  <si>
    <t>6-1-301</t>
  </si>
  <si>
    <t>2-15-1-302</t>
  </si>
  <si>
    <t>6-1-302</t>
  </si>
  <si>
    <t>2-15-1-401</t>
  </si>
  <si>
    <t>6-1-401</t>
  </si>
  <si>
    <t>2-15-1-402</t>
  </si>
  <si>
    <t>6-1-402</t>
  </si>
  <si>
    <t>2-15-1-501</t>
  </si>
  <si>
    <t>6-1-501</t>
  </si>
  <si>
    <t>2-15-1-502</t>
  </si>
  <si>
    <t>6-1-502</t>
  </si>
  <si>
    <t>2-15-1-601</t>
  </si>
  <si>
    <t>6-1-601</t>
  </si>
  <si>
    <t>2-15-1-602</t>
  </si>
  <si>
    <t>6-1-602</t>
  </si>
  <si>
    <t>2-15-1-701</t>
  </si>
  <si>
    <t>6-1-701</t>
  </si>
  <si>
    <t>2-15-1-702</t>
  </si>
  <si>
    <t>6-1-702</t>
  </si>
  <si>
    <t>2-15-1-801</t>
  </si>
  <si>
    <t>6-1-801</t>
  </si>
  <si>
    <t>2-15-1-802</t>
  </si>
  <si>
    <t>6-1-802</t>
  </si>
  <si>
    <t>2-15-1-901</t>
  </si>
  <si>
    <t>6-1-901</t>
  </si>
  <si>
    <t>2-15-1-902</t>
  </si>
  <si>
    <t>6-1-902</t>
  </si>
  <si>
    <t>2-15-1-1001</t>
  </si>
  <si>
    <t>6-1-1001</t>
  </si>
  <si>
    <t>2-15-1-1002</t>
  </si>
  <si>
    <t>6-1-1002</t>
  </si>
  <si>
    <t>2-15-2-202</t>
  </si>
  <si>
    <t>6-2-202</t>
  </si>
  <si>
    <t>2-15-2-301</t>
  </si>
  <si>
    <t>6-2-301</t>
  </si>
  <si>
    <t>2-15-2-302</t>
  </si>
  <si>
    <t>6-2-302</t>
  </si>
  <si>
    <t>2-15-2-401</t>
  </si>
  <si>
    <t>6-2-401</t>
  </si>
  <si>
    <t>2-15-2-402</t>
  </si>
  <si>
    <t>6-2-402</t>
  </si>
  <si>
    <t>2-15-2-501</t>
  </si>
  <si>
    <t>6-2-501</t>
  </si>
  <si>
    <t>2-15-2-502</t>
  </si>
  <si>
    <t>6-2-502</t>
  </si>
  <si>
    <t>2-15-2-601</t>
  </si>
  <si>
    <t>6-2-601</t>
  </si>
  <si>
    <t>2-15-2-602</t>
  </si>
  <si>
    <t>6-2-602</t>
  </si>
  <si>
    <t>2-15-2-701</t>
  </si>
  <si>
    <t>6-2-701</t>
  </si>
  <si>
    <t>2-15-2-702</t>
  </si>
  <si>
    <t>6-2-702</t>
  </si>
  <si>
    <t>2-15-2-801</t>
  </si>
  <si>
    <t>6-2-801</t>
  </si>
  <si>
    <t>2-15-2-802</t>
  </si>
  <si>
    <t>6-2-802</t>
  </si>
  <si>
    <t>2-15-2-901</t>
  </si>
  <si>
    <t>6-2-901</t>
  </si>
  <si>
    <t>2-15-2-902</t>
  </si>
  <si>
    <t>6-2-902</t>
  </si>
  <si>
    <t>2-15-2-1001</t>
  </si>
  <si>
    <t>6-2-1001</t>
  </si>
  <si>
    <t>2-15-2-1002</t>
  </si>
  <si>
    <t>6-2-1002</t>
  </si>
  <si>
    <t>2-17-1-101</t>
  </si>
  <si>
    <t>3号楼</t>
  </si>
  <si>
    <t>3-1-101</t>
  </si>
  <si>
    <t>2-17-1-102</t>
  </si>
  <si>
    <t>3-1-102</t>
  </si>
  <si>
    <t>2-17-1-201</t>
  </si>
  <si>
    <t>3-1-201</t>
  </si>
  <si>
    <t>2-17-1-202</t>
  </si>
  <si>
    <t>3-1-202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</si>
  <si>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</si>
  <si>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</si>
  <si>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</si>
  <si>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</si>
  <si>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</si>
  <si>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</si>
  <si>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</si>
  <si>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</si>
  <si>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</si>
  <si>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</si>
  <si>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</si>
  <si>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</si>
  <si>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</si>
  <si>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</si>
  <si>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</si>
  <si>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</si>
  <si>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</si>
  <si>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</si>
  <si>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</si>
  <si>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</si>
  <si>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</si>
  <si>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</si>
  <si>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</si>
  <si>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</si>
  <si>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</si>
  <si>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</si>
  <si>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</si>
  <si>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</si>
  <si>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</si>
  <si>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</si>
  <si>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</si>
  <si>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</si>
  <si>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</si>
  <si>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</si>
  <si>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</si>
  <si>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</si>
  <si>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</si>
  <si>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</si>
  <si>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</si>
  <si>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</si>
  <si>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</si>
  <si>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</si>
  <si>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</si>
  <si>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</si>
  <si>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</si>
  <si>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</si>
  <si>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</si>
  <si>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</si>
  <si>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</si>
  <si>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</si>
  <si>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</si>
  <si>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</si>
  <si>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</si>
  <si>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</si>
  <si>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2-17-2-502</t>
  </si>
  <si>
    <t>3-2-502</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</si>
  <si>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</si>
  <si>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</si>
  <si>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</si>
  <si>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</si>
  <si>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</si>
  <si>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</si>
  <si>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</si>
  <si>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</si>
  <si>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</si>
  <si>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</si>
  <si>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</si>
  <si>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</si>
  <si>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</si>
  <si>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</si>
  <si>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</si>
  <si>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</si>
  <si>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</si>
  <si>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</si>
  <si>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</si>
  <si>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</si>
  <si>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2-17-2-1101</t>
  </si>
  <si>
    <t>3-2-1101</t>
  </si>
  <si>
    <t>2-17-2-1102</t>
  </si>
  <si>
    <t>3-2-1102</t>
  </si>
  <si>
    <t>2-17-3-101</t>
  </si>
  <si>
    <t>3-3-101</t>
  </si>
  <si>
    <t>2-17-3-102</t>
  </si>
  <si>
    <t>3-3-102</t>
  </si>
  <si>
    <t>2-17-3-201</t>
  </si>
  <si>
    <t>3-3-201</t>
  </si>
  <si>
    <t>2-17-3-202</t>
  </si>
  <si>
    <t>3-3-202</t>
  </si>
  <si>
    <t>2-17-3-301</t>
  </si>
  <si>
    <t>3-3-301</t>
  </si>
  <si>
    <t>2-17-3-302</t>
  </si>
  <si>
    <t>3-3-302</t>
  </si>
  <si>
    <t>2-17-3-401</t>
  </si>
  <si>
    <t>3-3-401</t>
  </si>
  <si>
    <t>2-17-3-402</t>
  </si>
  <si>
    <t>3-3-402</t>
  </si>
  <si>
    <t>2-17-3-501</t>
  </si>
  <si>
    <t>3-3-501</t>
  </si>
  <si>
    <t>2-17-3-502</t>
  </si>
  <si>
    <t>3-3-502</t>
  </si>
  <si>
    <t>2-17-3-601</t>
  </si>
  <si>
    <t>3-3-601</t>
  </si>
  <si>
    <t>2-17-3-602</t>
  </si>
  <si>
    <t>3-3-602</t>
  </si>
  <si>
    <t>2-17-3-701</t>
  </si>
  <si>
    <t>3-3-701</t>
  </si>
  <si>
    <t>2-17-3-702</t>
  </si>
  <si>
    <t>3-3-702</t>
  </si>
  <si>
    <t>2-17-3-801</t>
  </si>
  <si>
    <t>3-3-801</t>
  </si>
  <si>
    <t>2-17-3-802</t>
  </si>
  <si>
    <t>3-3-802</t>
  </si>
  <si>
    <t>2-17-3-901</t>
  </si>
  <si>
    <t>3-3-901</t>
  </si>
  <si>
    <t>2-17-3-902</t>
  </si>
  <si>
    <t>3-3-902</t>
  </si>
  <si>
    <t>2-17-3-1001</t>
  </si>
  <si>
    <t>3-3-1001</t>
  </si>
  <si>
    <t>2-17-3-1002</t>
  </si>
  <si>
    <t>3-3-1002</t>
  </si>
  <si>
    <t>2-17-3-1101</t>
  </si>
  <si>
    <t>3-3-1101</t>
  </si>
  <si>
    <t>2-17-3-1102</t>
  </si>
  <si>
    <t>3-3-1102</t>
  </si>
  <si>
    <t>2-17-4-101</t>
  </si>
  <si>
    <t>3-4-101</t>
  </si>
  <si>
    <t>2-17-4-102</t>
  </si>
  <si>
    <t>3-4-102</t>
  </si>
  <si>
    <t>2-17-4-201</t>
  </si>
  <si>
    <t>3-4-201</t>
  </si>
  <si>
    <t>2-17-4-301</t>
  </si>
  <si>
    <t>3-4-301</t>
  </si>
  <si>
    <t>2-17-4-302</t>
  </si>
  <si>
    <t>3-4-302</t>
  </si>
  <si>
    <t>2-17-4-401</t>
  </si>
  <si>
    <t>3-4-401</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</si>
  <si>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</si>
  <si>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</si>
  <si>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</si>
  <si>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</si>
  <si>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</si>
  <si>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</si>
  <si>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</si>
  <si>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</si>
  <si>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</si>
  <si>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</si>
  <si>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</si>
  <si>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</si>
  <si>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</si>
  <si>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</si>
  <si>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</si>
  <si>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</si>
  <si>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</si>
  <si>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</si>
  <si>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</si>
  <si>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</si>
  <si>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</si>
  <si>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</si>
  <si>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</si>
  <si>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</si>
  <si>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2-17-4-1002</t>
  </si>
  <si>
    <t>3-4-1002</t>
  </si>
  <si>
    <t>2-17-4-1101</t>
  </si>
  <si>
    <t>3-4-1101</t>
  </si>
  <si>
    <t>2-17-4-1102</t>
  </si>
  <si>
    <t>3-4-1102</t>
  </si>
  <si>
    <t>2-19-2-501</t>
  </si>
  <si>
    <t>19-2-501</t>
  </si>
  <si>
    <t>2-19-2-502</t>
  </si>
  <si>
    <t>19-2-502</t>
  </si>
  <si>
    <t>2-19-3-501</t>
  </si>
  <si>
    <t>19-3-501</t>
  </si>
  <si>
    <t>2-19-3-502</t>
  </si>
  <si>
    <t>19-3-502</t>
  </si>
  <si>
    <t>2-20-1-402</t>
  </si>
  <si>
    <t>14号楼</t>
  </si>
  <si>
    <t>14-1-402</t>
  </si>
  <si>
    <t>2-20-2-501</t>
  </si>
  <si>
    <t>14-2-501</t>
  </si>
  <si>
    <t>2-20-2-502</t>
  </si>
  <si>
    <t>14-2-502</t>
  </si>
  <si>
    <t>合计</t>
  </si>
  <si>
    <t>抵押建筑面积小计</t>
  </si>
  <si>
    <t>2#地下车库</t>
  </si>
  <si>
    <t>车位</t>
  </si>
  <si>
    <t>-1层(-1)</t>
  </si>
  <si>
    <t>001</t>
  </si>
  <si>
    <t>101幢</t>
  </si>
  <si>
    <t>B1001</t>
  </si>
  <si>
    <t>002</t>
  </si>
  <si>
    <t>B1002</t>
  </si>
  <si>
    <t>003</t>
  </si>
  <si>
    <t>B1003</t>
  </si>
  <si>
    <t>004</t>
  </si>
  <si>
    <t>B1004</t>
  </si>
  <si>
    <t>005</t>
  </si>
  <si>
    <t>B1005</t>
  </si>
  <si>
    <t>006</t>
  </si>
  <si>
    <t>B1006</t>
  </si>
  <si>
    <t>007</t>
  </si>
  <si>
    <t>B1007</t>
  </si>
  <si>
    <t>008</t>
  </si>
  <si>
    <t>B1008</t>
  </si>
  <si>
    <t>009</t>
  </si>
  <si>
    <t>B1009</t>
  </si>
  <si>
    <t>010</t>
  </si>
  <si>
    <t>B1010</t>
  </si>
  <si>
    <t>011</t>
  </si>
  <si>
    <t>B1011</t>
  </si>
  <si>
    <t>012</t>
  </si>
  <si>
    <t>B1012</t>
  </si>
  <si>
    <t>013</t>
  </si>
  <si>
    <t>B1013</t>
  </si>
  <si>
    <t>014</t>
  </si>
  <si>
    <t>B1014</t>
  </si>
  <si>
    <t>015</t>
  </si>
  <si>
    <t>B1015</t>
  </si>
  <si>
    <t>016</t>
  </si>
  <si>
    <t>B1016</t>
  </si>
  <si>
    <t>017</t>
  </si>
  <si>
    <t>B1017</t>
  </si>
  <si>
    <t>018</t>
  </si>
  <si>
    <t>B1018</t>
  </si>
  <si>
    <t>019</t>
  </si>
  <si>
    <t>B1019</t>
  </si>
  <si>
    <t>020</t>
  </si>
  <si>
    <t>B1020</t>
  </si>
  <si>
    <t>021</t>
  </si>
  <si>
    <t>B1021</t>
  </si>
  <si>
    <t>022</t>
  </si>
  <si>
    <t>B1023</t>
  </si>
  <si>
    <t>023</t>
  </si>
  <si>
    <t>B1024</t>
  </si>
  <si>
    <t>024</t>
  </si>
  <si>
    <t>B1026</t>
  </si>
  <si>
    <t>025</t>
  </si>
  <si>
    <t>B1027</t>
  </si>
  <si>
    <t>026</t>
  </si>
  <si>
    <t>B1028</t>
  </si>
  <si>
    <t>027</t>
  </si>
  <si>
    <t>B1029</t>
  </si>
  <si>
    <t>028</t>
  </si>
  <si>
    <t>B1030</t>
  </si>
  <si>
    <t>029</t>
  </si>
  <si>
    <t>B1031</t>
  </si>
  <si>
    <t>030</t>
  </si>
  <si>
    <t>B1032</t>
  </si>
  <si>
    <t>031</t>
  </si>
  <si>
    <t>B1033</t>
  </si>
  <si>
    <t>032</t>
  </si>
  <si>
    <t>B1034</t>
  </si>
  <si>
    <t>033</t>
  </si>
  <si>
    <t>B1035</t>
  </si>
  <si>
    <t>034</t>
  </si>
  <si>
    <t>B1036</t>
  </si>
  <si>
    <t>035</t>
  </si>
  <si>
    <t>B1037</t>
  </si>
  <si>
    <t>036</t>
  </si>
  <si>
    <t>B1038</t>
  </si>
  <si>
    <t>037</t>
  </si>
  <si>
    <t>B1039</t>
  </si>
  <si>
    <t>038</t>
  </si>
  <si>
    <t>B1040</t>
  </si>
  <si>
    <t>039</t>
  </si>
  <si>
    <t>B1041</t>
  </si>
  <si>
    <t>040</t>
  </si>
  <si>
    <t>B1042</t>
  </si>
  <si>
    <t>041</t>
  </si>
  <si>
    <t>B1043</t>
  </si>
  <si>
    <t>042</t>
  </si>
  <si>
    <t>B1044</t>
  </si>
  <si>
    <t>043</t>
  </si>
  <si>
    <t>B1045</t>
  </si>
  <si>
    <t>044</t>
  </si>
  <si>
    <t>B1046</t>
  </si>
  <si>
    <t>045</t>
  </si>
  <si>
    <t>B1047</t>
  </si>
  <si>
    <t>046</t>
  </si>
  <si>
    <t>B1048</t>
  </si>
  <si>
    <t>047</t>
  </si>
  <si>
    <t>B1049</t>
  </si>
  <si>
    <t>048</t>
  </si>
  <si>
    <t>B1050</t>
  </si>
  <si>
    <t>049</t>
  </si>
  <si>
    <t>B1051</t>
  </si>
  <si>
    <t>050</t>
  </si>
  <si>
    <t>B1052</t>
  </si>
  <si>
    <t>051</t>
  </si>
  <si>
    <t>B1053</t>
  </si>
  <si>
    <t>052</t>
  </si>
  <si>
    <t>B1054</t>
  </si>
  <si>
    <t>053</t>
  </si>
  <si>
    <t>B1055</t>
  </si>
  <si>
    <t>054</t>
  </si>
  <si>
    <t>B1056</t>
  </si>
  <si>
    <t>055</t>
  </si>
  <si>
    <t>B1057</t>
  </si>
  <si>
    <t>056</t>
  </si>
  <si>
    <t>B1058</t>
  </si>
  <si>
    <t>057</t>
  </si>
  <si>
    <t>B1059</t>
  </si>
  <si>
    <t>058</t>
  </si>
  <si>
    <t>B1060</t>
  </si>
  <si>
    <t>059</t>
  </si>
  <si>
    <t>B1061</t>
  </si>
  <si>
    <t>060</t>
  </si>
  <si>
    <t>B1062</t>
  </si>
  <si>
    <t>061</t>
  </si>
  <si>
    <t>B1063</t>
  </si>
  <si>
    <t>062</t>
  </si>
  <si>
    <t>B1064</t>
  </si>
  <si>
    <t>063</t>
  </si>
  <si>
    <t>B1065</t>
  </si>
  <si>
    <t>064</t>
  </si>
  <si>
    <t>B1066</t>
  </si>
  <si>
    <t>065</t>
  </si>
  <si>
    <t>B1067</t>
  </si>
  <si>
    <t>066</t>
  </si>
  <si>
    <t>B1068</t>
  </si>
  <si>
    <t>067</t>
  </si>
  <si>
    <t>B1069</t>
  </si>
  <si>
    <t>068</t>
  </si>
  <si>
    <t>B1070</t>
  </si>
  <si>
    <t>069</t>
  </si>
  <si>
    <t>B1071</t>
  </si>
  <si>
    <t>070</t>
  </si>
  <si>
    <t>B1072</t>
  </si>
  <si>
    <t>071</t>
  </si>
  <si>
    <t>B1073</t>
  </si>
  <si>
    <t>072</t>
  </si>
  <si>
    <t>B1074</t>
  </si>
  <si>
    <t>073</t>
  </si>
  <si>
    <t>B1075</t>
  </si>
  <si>
    <t>074</t>
  </si>
  <si>
    <t>B1076</t>
  </si>
  <si>
    <t>075</t>
  </si>
  <si>
    <t>B1077</t>
  </si>
  <si>
    <t>076</t>
  </si>
  <si>
    <t>B1078</t>
  </si>
  <si>
    <t>077</t>
  </si>
  <si>
    <t>B1079</t>
  </si>
  <si>
    <t>078</t>
  </si>
  <si>
    <t>B1080</t>
  </si>
  <si>
    <t>079</t>
  </si>
  <si>
    <t>B1081</t>
  </si>
  <si>
    <t>080</t>
  </si>
  <si>
    <t>B1082</t>
  </si>
  <si>
    <t>081</t>
  </si>
  <si>
    <t>B1083</t>
  </si>
  <si>
    <t>082</t>
  </si>
  <si>
    <t>B1084</t>
  </si>
  <si>
    <t>083</t>
  </si>
  <si>
    <t>B1085</t>
  </si>
  <si>
    <t>084</t>
  </si>
  <si>
    <t>B1086</t>
  </si>
  <si>
    <t>085</t>
  </si>
  <si>
    <t>B1087</t>
  </si>
  <si>
    <t>086</t>
  </si>
  <si>
    <t>B1088</t>
  </si>
  <si>
    <t>087</t>
  </si>
  <si>
    <t>B1089</t>
  </si>
  <si>
    <t>088</t>
  </si>
  <si>
    <t>B1090</t>
  </si>
  <si>
    <t>089</t>
  </si>
  <si>
    <t>B1091</t>
  </si>
  <si>
    <t>090</t>
  </si>
  <si>
    <t>B1092</t>
  </si>
  <si>
    <t>091</t>
  </si>
  <si>
    <t>B1093</t>
  </si>
  <si>
    <t>092</t>
  </si>
  <si>
    <t>B1094</t>
  </si>
  <si>
    <t>093</t>
  </si>
  <si>
    <t>B1095</t>
  </si>
  <si>
    <t>094</t>
  </si>
  <si>
    <t>B1096</t>
  </si>
  <si>
    <t>095</t>
  </si>
  <si>
    <t>B1097</t>
  </si>
  <si>
    <t>096</t>
  </si>
  <si>
    <t>B1098</t>
  </si>
  <si>
    <t>097</t>
  </si>
  <si>
    <t>B1099</t>
  </si>
  <si>
    <t>098</t>
  </si>
  <si>
    <t>B1100</t>
  </si>
  <si>
    <t>099</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</si>
  <si>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</si>
  <si>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</si>
  <si>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</si>
  <si>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</si>
  <si>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</si>
  <si>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</si>
  <si>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</si>
  <si>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</si>
  <si>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</si>
  <si>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</si>
  <si>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</si>
  <si>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</si>
  <si>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</si>
  <si>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</si>
  <si>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</si>
  <si>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</si>
  <si>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</si>
  <si>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</si>
  <si>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</si>
  <si>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</si>
  <si>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</si>
  <si>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</si>
  <si>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</si>
  <si>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B1125</t>
  </si>
  <si>
    <t>B1126</t>
  </si>
  <si>
    <t>B1127</t>
  </si>
  <si>
    <t>B1128</t>
  </si>
  <si>
    <t>B1129</t>
  </si>
  <si>
    <t>B1130</t>
  </si>
  <si>
    <t>B1131</t>
  </si>
  <si>
    <t>B1132</t>
  </si>
  <si>
    <t>B1133</t>
  </si>
  <si>
    <t>B1134</t>
  </si>
  <si>
    <t>B1135</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</si>
  <si>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</si>
  <si>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</si>
  <si>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</si>
  <si>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</si>
  <si>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</si>
  <si>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</si>
  <si>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</si>
  <si>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</si>
  <si>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</si>
  <si>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</si>
  <si>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</si>
  <si>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</si>
  <si>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</si>
  <si>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</si>
  <si>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</si>
  <si>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</si>
  <si>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</si>
  <si>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</si>
  <si>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</si>
  <si>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</si>
  <si>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</si>
  <si>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206、207</t>
  </si>
  <si>
    <t>B1158</t>
  </si>
  <si>
    <t>B1159</t>
  </si>
  <si>
    <t>抵押建筑面积总计</t>
  </si>
  <si>
    <t>备注：
1、主债权本金金额及币种：人民币壹拾贰亿元整
2、抵押期限：2022年11月1日至2026年5月1日
3、上述全部房产抵押建筑面积对应的宗地使用权面积一并抵押</t>
  </si>
  <si>
    <t>地下车位</t>
    <phoneticPr fontId="134" type="noConversion"/>
  </si>
  <si>
    <t>住宅</t>
    <phoneticPr fontId="134" type="noConversion"/>
  </si>
  <si>
    <t>小高层</t>
    <phoneticPr fontId="134" type="noConversion"/>
  </si>
  <si>
    <r>
      <t>1</t>
    </r>
    <r>
      <rPr>
        <sz val="11"/>
        <color theme="1"/>
        <rFont val="宋体"/>
        <family val="3"/>
        <charset val="134"/>
        <scheme val="minor"/>
      </rPr>
      <t>0层</t>
    </r>
    <phoneticPr fontId="134" type="noConversion"/>
  </si>
  <si>
    <t>中区</t>
  </si>
  <si>
    <t>中区</t>
    <phoneticPr fontId="134" type="noConversion"/>
  </si>
  <si>
    <t>高区</t>
    <phoneticPr fontId="134" type="noConversion"/>
  </si>
  <si>
    <t>低区</t>
    <phoneticPr fontId="134" type="noConversion"/>
  </si>
  <si>
    <r>
      <t>1</t>
    </r>
    <r>
      <rPr>
        <sz val="11"/>
        <color theme="1"/>
        <rFont val="宋体"/>
        <family val="3"/>
        <charset val="134"/>
        <scheme val="minor"/>
      </rPr>
      <t>1层</t>
    </r>
    <phoneticPr fontId="134" type="noConversion"/>
  </si>
  <si>
    <t>11层</t>
    <phoneticPr fontId="134" type="noConversion"/>
  </si>
  <si>
    <t>序号</t>
    <phoneticPr fontId="134" type="noConversion"/>
  </si>
  <si>
    <t>面积</t>
    <phoneticPr fontId="134" type="noConversion"/>
  </si>
  <si>
    <t>楼层</t>
    <phoneticPr fontId="134" type="noConversion"/>
  </si>
  <si>
    <t>楼型</t>
    <phoneticPr fontId="134" type="noConversion"/>
  </si>
  <si>
    <t>总层数</t>
    <phoneticPr fontId="134" type="noConversion"/>
  </si>
  <si>
    <t>9层</t>
    <phoneticPr fontId="134" type="noConversion"/>
  </si>
  <si>
    <t>10层</t>
    <phoneticPr fontId="134" type="noConversion"/>
  </si>
  <si>
    <t>多层</t>
    <phoneticPr fontId="134" type="noConversion"/>
  </si>
  <si>
    <t>6层</t>
    <phoneticPr fontId="134" type="noConversion"/>
  </si>
  <si>
    <t>低区</t>
    <phoneticPr fontId="24" type="noConversion"/>
  </si>
  <si>
    <t>中区</t>
    <phoneticPr fontId="24" type="noConversion"/>
  </si>
  <si>
    <t>高区</t>
    <phoneticPr fontId="24" type="noConversion"/>
  </si>
  <si>
    <t>多层</t>
    <phoneticPr fontId="24" type="noConversion"/>
  </si>
  <si>
    <t>小高层</t>
    <phoneticPr fontId="24" type="noConversion"/>
  </si>
  <si>
    <t>成新度</t>
  </si>
  <si>
    <t>较差</t>
    <phoneticPr fontId="30" type="noConversion"/>
  </si>
  <si>
    <t>较差</t>
    <phoneticPr fontId="24" type="noConversion"/>
  </si>
  <si>
    <t>单套模式</t>
  </si>
  <si>
    <t>机械车库</t>
  </si>
  <si>
    <t>机械车库</t>
    <phoneticPr fontId="16" type="noConversion"/>
  </si>
  <si>
    <t>机械车库</t>
    <phoneticPr fontId="7" type="noConversion"/>
  </si>
  <si>
    <t>机械车库</t>
    <phoneticPr fontId="134" type="noConversion"/>
  </si>
  <si>
    <t>收益法 (元)</t>
  </si>
  <si>
    <t>收益法 (元)-机械车库</t>
  </si>
  <si>
    <t>收益法 (元)-机械车库</t>
    <phoneticPr fontId="16" type="noConversion"/>
  </si>
  <si>
    <t>成本法 (元)-机械车库</t>
  </si>
  <si>
    <t>成本法 (元)-机械车库</t>
    <phoneticPr fontId="16" type="noConversion"/>
  </si>
  <si>
    <t>比较法-车位</t>
  </si>
  <si>
    <t>元/车位</t>
  </si>
  <si>
    <t>正常</t>
    <phoneticPr fontId="31" type="noConversion"/>
  </si>
  <si>
    <t>正常</t>
    <phoneticPr fontId="31" type="noConversion"/>
  </si>
  <si>
    <t>车库</t>
    <phoneticPr fontId="31" type="noConversion"/>
  </si>
  <si>
    <t>大兴金茂悦</t>
    <phoneticPr fontId="134" type="noConversion"/>
  </si>
  <si>
    <t>舒朗苑</t>
    <phoneticPr fontId="134" type="noConversion"/>
  </si>
  <si>
    <t>住总如院</t>
    <phoneticPr fontId="134" type="noConversion"/>
  </si>
  <si>
    <t>较差</t>
    <phoneticPr fontId="31" type="noConversion"/>
  </si>
  <si>
    <t>一般</t>
    <phoneticPr fontId="31" type="noConversion"/>
  </si>
  <si>
    <t>七通</t>
    <phoneticPr fontId="31" type="noConversion"/>
  </si>
  <si>
    <t>精装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</si>
</sst>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1"/>
      <color theme="1"/>
      <name val="宋体"/>
      <family val="3"/>
      <charset val="134"/>
      <scheme val="minor"/>
    </font>
    <font>
      <b/>
      <sz val="10.5"/>
      <color theme="1"/>
      <name val="仿宋_GB2312"/>
      <charset val="134"/>
    </font>
    <font>
      <b/>
      <sz val="10.5"/>
      <color theme="1"/>
      <name val="宋体"/>
      <family val="3"/>
      <charset val="134"/>
    </font>
    <font>
      <sz val="10.5"/>
      <color theme="1"/>
      <name val="仿宋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43" fontId="271" fillId="0" borderId="0" applyFont="0" applyFill="0" applyBorder="0" applyAlignment="0" applyProtection="0">
      <alignment vertical="center"/>
    </xf>
    <xf numFmtId="191" fontId="36" fillId="0" borderId="0"/>
  </cellStyleXfs>
  <cellXfs count="39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lignment vertical="center"/>
    </xf>
    <xf numFmtId="0" fontId="107" fillId="0" borderId="1" xfId="0" applyFont="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4" fontId="107" fillId="0" borderId="0" xfId="19" applyNumberFormat="1" applyFont="1"/>
    <xf numFmtId="0" fontId="107" fillId="0" borderId="0" xfId="19" applyNumberFormat="1" applyFont="1"/>
    <xf numFmtId="0" fontId="107" fillId="0" borderId="0" xfId="0" applyFont="1" applyAlignment="1"/>
    <xf numFmtId="0" fontId="107" fillId="9" borderId="0" xfId="0" applyFont="1" applyFill="1" applyAlignment="1"/>
    <xf numFmtId="0" fontId="107" fillId="0" borderId="0" xfId="0" applyFont="1" applyFill="1" applyAlignment="1"/>
    <xf numFmtId="0" fontId="77" fillId="12" borderId="0" xfId="0" applyFont="1" applyFill="1" applyAlignment="1" applyProtection="1">
      <alignment horizontal="center" vertical="center"/>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2" fillId="0" borderId="2" xfId="0" applyNumberFormat="1" applyFont="1" applyFill="1" applyBorder="1" applyAlignment="1">
      <alignment horizontal="center" vertical="center" wrapText="1"/>
    </xf>
    <xf numFmtId="43" fontId="272" fillId="0" borderId="2" xfId="20" applyFont="1" applyFill="1" applyBorder="1" applyAlignment="1">
      <alignment horizontal="center" vertical="center" wrapText="1"/>
    </xf>
    <xf numFmtId="43" fontId="273" fillId="0" borderId="2" xfId="20" applyFont="1" applyFill="1" applyBorder="1" applyAlignment="1">
      <alignment horizontal="center" vertical="center" wrapText="1"/>
    </xf>
    <xf numFmtId="0" fontId="272" fillId="0" borderId="1" xfId="0" applyFont="1" applyFill="1" applyBorder="1" applyAlignment="1">
      <alignment horizontal="center" vertical="center" wrapText="1"/>
    </xf>
    <xf numFmtId="0" fontId="272"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shrinkToFit="1"/>
    </xf>
    <xf numFmtId="191" fontId="19" fillId="0" borderId="1" xfId="0" applyNumberFormat="1" applyFont="1" applyFill="1" applyBorder="1" applyAlignment="1">
      <alignment horizontal="center" vertical="center" wrapText="1"/>
    </xf>
    <xf numFmtId="176" fontId="19" fillId="0" borderId="1" xfId="21" applyNumberFormat="1" applyFont="1" applyFill="1" applyBorder="1" applyAlignment="1" applyProtection="1">
      <alignment horizontal="center" vertical="center" shrinkToFit="1"/>
    </xf>
    <xf numFmtId="0" fontId="19" fillId="0" borderId="1" xfId="21" applyNumberFormat="1" applyFont="1" applyFill="1" applyBorder="1" applyAlignment="1" applyProtection="1">
      <alignment horizontal="center" vertical="center" shrinkToFit="1"/>
    </xf>
    <xf numFmtId="194" fontId="19" fillId="0" borderId="1" xfId="21" applyNumberFormat="1" applyFont="1" applyFill="1" applyBorder="1" applyAlignment="1" applyProtection="1">
      <alignment horizontal="center" vertical="center" shrinkToFit="1"/>
    </xf>
    <xf numFmtId="0" fontId="122" fillId="7" borderId="1" xfId="0" applyNumberFormat="1" applyFont="1" applyFill="1" applyBorder="1" applyAlignment="1">
      <alignment horizontal="center" vertical="center"/>
    </xf>
    <xf numFmtId="0" fontId="80" fillId="0" borderId="1" xfId="0" applyNumberFormat="1" applyFont="1" applyFill="1" applyBorder="1" applyAlignment="1" applyProtection="1">
      <alignment horizontal="center" vertical="center" shrinkToFit="1"/>
    </xf>
    <xf numFmtId="0" fontId="136" fillId="7" borderId="1" xfId="0" applyNumberFormat="1" applyFont="1" applyFill="1" applyBorder="1" applyAlignment="1">
      <alignment horizontal="center" vertical="center"/>
    </xf>
    <xf numFmtId="176" fontId="80" fillId="0" borderId="1" xfId="21" applyNumberFormat="1" applyFont="1" applyFill="1" applyBorder="1" applyAlignment="1" applyProtection="1">
      <alignment horizontal="center" vertical="center" shrinkToFit="1"/>
    </xf>
    <xf numFmtId="0" fontId="80" fillId="0" borderId="1" xfId="21" applyNumberFormat="1" applyFont="1" applyFill="1" applyBorder="1" applyAlignment="1" applyProtection="1">
      <alignment horizontal="center" vertical="center" shrinkToFit="1"/>
    </xf>
    <xf numFmtId="194" fontId="80" fillId="0" borderId="1" xfId="21" applyNumberFormat="1" applyFont="1" applyFill="1" applyBorder="1" applyAlignment="1" applyProtection="1">
      <alignment horizontal="center" vertical="center" shrinkToFit="1"/>
    </xf>
    <xf numFmtId="0" fontId="96" fillId="0" borderId="0" xfId="0" applyFont="1">
      <alignment vertical="center"/>
    </xf>
    <xf numFmtId="176" fontId="122" fillId="7" borderId="1" xfId="0" applyNumberFormat="1" applyFont="1" applyFill="1" applyBorder="1" applyAlignment="1">
      <alignment horizontal="center" vertical="center"/>
    </xf>
    <xf numFmtId="176" fontId="19" fillId="7" borderId="1" xfId="0" applyNumberFormat="1" applyFont="1" applyFill="1" applyBorder="1" applyAlignment="1">
      <alignment horizontal="center" vertical="center"/>
    </xf>
    <xf numFmtId="176" fontId="80" fillId="7" borderId="1" xfId="0" applyNumberFormat="1" applyFont="1" applyFill="1" applyBorder="1" applyAlignment="1">
      <alignment horizontal="center" vertical="center"/>
    </xf>
    <xf numFmtId="191" fontId="80" fillId="0" borderId="1" xfId="0" applyNumberFormat="1" applyFont="1" applyFill="1" applyBorder="1" applyAlignment="1">
      <alignment horizontal="center" vertical="center" wrapText="1"/>
    </xf>
    <xf numFmtId="176" fontId="19" fillId="7" borderId="1" xfId="21" applyNumberFormat="1" applyFont="1" applyFill="1" applyBorder="1" applyAlignment="1" applyProtection="1">
      <alignment horizontal="center" vertical="center" shrinkToFit="1"/>
    </xf>
    <xf numFmtId="49" fontId="80" fillId="0" borderId="1" xfId="0" applyNumberFormat="1" applyFont="1" applyFill="1" applyBorder="1" applyAlignment="1" applyProtection="1">
      <alignment horizontal="center" vertical="center" shrinkToFit="1"/>
    </xf>
    <xf numFmtId="43" fontId="80" fillId="0" borderId="1" xfId="20" applyFont="1" applyFill="1" applyBorder="1" applyAlignment="1" applyProtection="1">
      <alignment horizontal="center" vertical="center" shrinkToFit="1"/>
    </xf>
    <xf numFmtId="43" fontId="19" fillId="0" borderId="1" xfId="20"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85" fillId="0" borderId="1" xfId="0" applyNumberFormat="1" applyFont="1" applyFill="1" applyBorder="1" applyAlignment="1" applyProtection="1">
      <alignment horizontal="center" vertical="center" shrinkToFit="1"/>
    </xf>
    <xf numFmtId="49" fontId="185" fillId="0" borderId="1" xfId="0" applyNumberFormat="1" applyFont="1" applyFill="1" applyBorder="1" applyAlignment="1" applyProtection="1">
      <alignment horizontal="center" vertical="center" shrinkToFit="1"/>
    </xf>
    <xf numFmtId="43" fontId="185" fillId="0" borderId="1" xfId="20" applyFont="1" applyFill="1" applyBorder="1" applyAlignment="1" applyProtection="1">
      <alignment horizontal="center" vertical="center" shrinkToFit="1"/>
    </xf>
    <xf numFmtId="0" fontId="274" fillId="0" borderId="2" xfId="0" applyFont="1" applyFill="1" applyBorder="1" applyAlignment="1">
      <alignment vertical="center" wrapText="1"/>
    </xf>
    <xf numFmtId="0" fontId="0" fillId="0" borderId="2" xfId="0" applyBorder="1" applyAlignment="1">
      <alignment vertical="center" wrapText="1"/>
    </xf>
    <xf numFmtId="0" fontId="0" fillId="0" borderId="2" xfId="0" applyBorder="1" applyAlignment="1">
      <alignment vertical="center"/>
    </xf>
    <xf numFmtId="0" fontId="0" fillId="0" borderId="0" xfId="0" applyFont="1">
      <alignment vertical="center"/>
    </xf>
    <xf numFmtId="43" fontId="0" fillId="0" borderId="0" xfId="20" applyFont="1" applyAlignment="1">
      <alignment horizontal="center"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center" vertical="center"/>
    </xf>
    <xf numFmtId="0" fontId="107" fillId="0" borderId="5" xfId="0" applyFont="1" applyBorder="1" applyAlignment="1">
      <alignment horizontal="center" vertical="center"/>
    </xf>
    <xf numFmtId="0" fontId="107" fillId="0" borderId="3"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85" fillId="0" borderId="1" xfId="0" applyNumberFormat="1" applyFont="1" applyFill="1" applyBorder="1" applyAlignment="1" applyProtection="1">
      <alignment horizontal="center" vertical="center" shrinkToFit="1"/>
    </xf>
    <xf numFmtId="43" fontId="185" fillId="0" borderId="60" xfId="20" applyFont="1" applyFill="1" applyBorder="1" applyAlignment="1" applyProtection="1">
      <alignment horizontal="center" vertical="center" shrinkToFit="1"/>
    </xf>
    <xf numFmtId="43" fontId="185" fillId="0" borderId="7" xfId="20" applyFont="1" applyFill="1" applyBorder="1" applyAlignment="1" applyProtection="1">
      <alignment horizontal="center" vertical="center" shrinkToFit="1"/>
    </xf>
    <xf numFmtId="0" fontId="0" fillId="0" borderId="4" xfId="0" applyNumberFormat="1" applyBorder="1" applyAlignment="1">
      <alignment horizontal="left" vertical="center" wrapText="1"/>
    </xf>
    <xf numFmtId="0" fontId="0" fillId="0" borderId="60" xfId="0" applyBorder="1" applyAlignment="1">
      <alignment horizontal="left" vertical="center" wrapText="1"/>
    </xf>
    <xf numFmtId="0" fontId="0" fillId="0" borderId="7" xfId="0" applyBorder="1" applyAlignment="1">
      <alignment horizontal="left" vertical="center" wrapText="1"/>
    </xf>
    <xf numFmtId="179" fontId="19" fillId="0" borderId="13" xfId="0" applyNumberFormat="1" applyFont="1" applyFill="1" applyBorder="1" applyAlignment="1" applyProtection="1">
      <alignment horizontal="center" vertical="center" shrinkToFit="1"/>
    </xf>
    <xf numFmtId="179" fontId="19" fillId="0" borderId="15" xfId="0" applyNumberFormat="1" applyFont="1" applyFill="1" applyBorder="1" applyAlignment="1" applyProtection="1">
      <alignment horizontal="center" vertical="center" shrinkToFit="1"/>
    </xf>
    <xf numFmtId="179" fontId="19" fillId="0" borderId="2" xfId="0" applyNumberFormat="1" applyFont="1" applyFill="1" applyBorder="1" applyAlignment="1" applyProtection="1">
      <alignment horizontal="center" vertical="center" shrinkToFit="1"/>
    </xf>
    <xf numFmtId="0" fontId="274" fillId="0" borderId="1" xfId="0" applyFont="1" applyFill="1" applyBorder="1" applyAlignment="1">
      <alignment horizontal="center" vertical="center" wrapText="1"/>
    </xf>
    <xf numFmtId="176" fontId="19" fillId="0" borderId="13" xfId="21" applyNumberFormat="1" applyFont="1" applyFill="1" applyBorder="1" applyAlignment="1" applyProtection="1">
      <alignment horizontal="center" vertical="center" shrinkToFit="1"/>
    </xf>
    <xf numFmtId="176" fontId="19" fillId="0" borderId="15" xfId="21" applyNumberFormat="1" applyFont="1" applyFill="1" applyBorder="1" applyAlignment="1" applyProtection="1">
      <alignment horizontal="center" vertical="center" shrinkToFit="1"/>
    </xf>
    <xf numFmtId="176" fontId="80" fillId="0" borderId="2" xfId="21" applyNumberFormat="1" applyFont="1" applyFill="1" applyBorder="1" applyAlignment="1" applyProtection="1">
      <alignment horizontal="center" vertical="center" shrinkToFit="1"/>
    </xf>
    <xf numFmtId="0" fontId="80" fillId="0" borderId="5" xfId="0" applyNumberFormat="1" applyFont="1" applyFill="1" applyBorder="1" applyAlignment="1" applyProtection="1">
      <alignment horizontal="center" vertical="center" shrinkToFit="1"/>
    </xf>
    <xf numFmtId="196" fontId="80" fillId="0" borderId="3" xfId="0" applyNumberFormat="1" applyFont="1" applyFill="1" applyBorder="1" applyAlignment="1" applyProtection="1">
      <alignment horizontal="center" vertical="center" shrinkToFit="1"/>
    </xf>
    <xf numFmtId="0" fontId="122" fillId="7" borderId="13" xfId="0" applyNumberFormat="1" applyFont="1" applyFill="1" applyBorder="1" applyAlignment="1">
      <alignment horizontal="center" vertical="center"/>
    </xf>
    <xf numFmtId="0" fontId="122" fillId="7" borderId="15" xfId="0" applyNumberFormat="1" applyFont="1" applyFill="1" applyBorder="1" applyAlignment="1">
      <alignment horizontal="center" vertical="center"/>
    </xf>
    <xf numFmtId="0" fontId="0"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43" fontId="0" fillId="0" borderId="1" xfId="20" applyFont="1" applyFill="1" applyBorder="1" applyAlignment="1">
      <alignment horizontal="center" vertical="center" wrapText="1"/>
    </xf>
    <xf numFmtId="176" fontId="19" fillId="0" borderId="1" xfId="21" applyNumberFormat="1" applyFont="1" applyFill="1" applyBorder="1" applyAlignment="1" applyProtection="1">
      <alignment horizontal="center" vertical="center" shrinkToFit="1"/>
    </xf>
    <xf numFmtId="0" fontId="274" fillId="0" borderId="1" xfId="0" applyFont="1" applyFill="1"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19" applyNumberFormat="1" applyFont="1"/>
    <xf numFmtId="14" fontId="107" fillId="0" borderId="0" xfId="19" applyNumberFormat="1" applyFont="1"/>
    <xf numFmtId="0" fontId="107" fillId="0" borderId="0" xfId="19" applyNumberFormat="1" applyFont="1"/>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4" fillId="2" borderId="23"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4 2" xfId="21"/>
    <cellStyle name="常规 5" xfId="5"/>
    <cellStyle name="常规 6" xfId="6"/>
    <cellStyle name="常规 6 2" xfId="9"/>
    <cellStyle name="常规 6 2 2" xfId="16"/>
    <cellStyle name="常规 6 2 3" xfId="13"/>
    <cellStyle name="常规 7" xfId="7"/>
    <cellStyle name="常规 8" xfId="11"/>
    <cellStyle name="常规 9" xfId="12"/>
    <cellStyle name="千位分隔" xfId="20" builtinId="3"/>
  </cellStyles>
  <dxfs count="269">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485054</xdr:colOff>
      <xdr:row>46</xdr:row>
      <xdr:rowOff>104591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5771429"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51</xdr:row>
      <xdr:rowOff>0</xdr:rowOff>
    </xdr:from>
    <xdr:to>
      <xdr:col>10</xdr:col>
      <xdr:colOff>599355</xdr:colOff>
      <xdr:row>82</xdr:row>
      <xdr:rowOff>132743</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7772400"/>
          <a:ext cx="5761905"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360534</xdr:colOff>
      <xdr:row>26</xdr:row>
      <xdr:rowOff>56607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33334" cy="4342857"/>
        </a:xfrm>
        <a:prstGeom prst="rect">
          <a:avLst/>
        </a:prstGeom>
      </xdr:spPr>
    </xdr:pic>
    <xdr:clientData/>
  </xdr:twoCellAnchor>
  <xdr:twoCellAnchor editAs="oneCell">
    <xdr:from>
      <xdr:col>0</xdr:col>
      <xdr:colOff>0</xdr:colOff>
      <xdr:row>26</xdr:row>
      <xdr:rowOff>0</xdr:rowOff>
    </xdr:from>
    <xdr:to>
      <xdr:col>14</xdr:col>
      <xdr:colOff>655944</xdr:colOff>
      <xdr:row>51</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0257144" cy="4428572"/>
        </a:xfrm>
        <a:prstGeom prst="rect">
          <a:avLst/>
        </a:prstGeom>
      </xdr:spPr>
    </xdr:pic>
    <xdr:clientData/>
  </xdr:twoCellAnchor>
  <xdr:twoCellAnchor editAs="oneCell">
    <xdr:from>
      <xdr:col>0</xdr:col>
      <xdr:colOff>0</xdr:colOff>
      <xdr:row>54</xdr:row>
      <xdr:rowOff>0</xdr:rowOff>
    </xdr:from>
    <xdr:to>
      <xdr:col>16</xdr:col>
      <xdr:colOff>246248</xdr:colOff>
      <xdr:row>72</xdr:row>
      <xdr:rowOff>75805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11219048" cy="3161905"/>
        </a:xfrm>
        <a:prstGeom prst="rect">
          <a:avLst/>
        </a:prstGeom>
      </xdr:spPr>
    </xdr:pic>
    <xdr:clientData/>
  </xdr:twoCellAnchor>
  <xdr:twoCellAnchor editAs="oneCell">
    <xdr:from>
      <xdr:col>0</xdr:col>
      <xdr:colOff>0</xdr:colOff>
      <xdr:row>73</xdr:row>
      <xdr:rowOff>0</xdr:rowOff>
    </xdr:from>
    <xdr:to>
      <xdr:col>15</xdr:col>
      <xdr:colOff>398715</xdr:colOff>
      <xdr:row>99</xdr:row>
      <xdr:rowOff>28015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0685715" cy="4485715"/>
        </a:xfrm>
        <a:prstGeom prst="rect">
          <a:avLst/>
        </a:prstGeom>
      </xdr:spPr>
    </xdr:pic>
    <xdr:clientData/>
  </xdr:twoCellAnchor>
  <xdr:twoCellAnchor editAs="oneCell">
    <xdr:from>
      <xdr:col>0</xdr:col>
      <xdr:colOff>0</xdr:colOff>
      <xdr:row>102</xdr:row>
      <xdr:rowOff>0</xdr:rowOff>
    </xdr:from>
    <xdr:to>
      <xdr:col>16</xdr:col>
      <xdr:colOff>303391</xdr:colOff>
      <xdr:row>113</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87900"/>
          <a:ext cx="11276191" cy="1952381"/>
        </a:xfrm>
        <a:prstGeom prst="rect">
          <a:avLst/>
        </a:prstGeom>
      </xdr:spPr>
    </xdr:pic>
    <xdr:clientData/>
  </xdr:twoCellAnchor>
  <xdr:twoCellAnchor editAs="oneCell">
    <xdr:from>
      <xdr:col>0</xdr:col>
      <xdr:colOff>0</xdr:colOff>
      <xdr:row>112</xdr:row>
      <xdr:rowOff>161925</xdr:rowOff>
    </xdr:from>
    <xdr:to>
      <xdr:col>14</xdr:col>
      <xdr:colOff>303563</xdr:colOff>
      <xdr:row>138</xdr:row>
      <xdr:rowOff>94701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64325"/>
          <a:ext cx="9904763" cy="4390476"/>
        </a:xfrm>
        <a:prstGeom prst="rect">
          <a:avLst/>
        </a:prstGeom>
      </xdr:spPr>
    </xdr:pic>
    <xdr:clientData/>
  </xdr:twoCellAnchor>
  <xdr:twoCellAnchor editAs="oneCell">
    <xdr:from>
      <xdr:col>0</xdr:col>
      <xdr:colOff>0</xdr:colOff>
      <xdr:row>153</xdr:row>
      <xdr:rowOff>0</xdr:rowOff>
    </xdr:from>
    <xdr:to>
      <xdr:col>14</xdr:col>
      <xdr:colOff>46420</xdr:colOff>
      <xdr:row>177</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231850"/>
          <a:ext cx="9647620" cy="4219048"/>
        </a:xfrm>
        <a:prstGeom prst="rect">
          <a:avLst/>
        </a:prstGeom>
      </xdr:spPr>
    </xdr:pic>
    <xdr:clientData/>
  </xdr:twoCellAnchor>
  <xdr:twoCellAnchor editAs="oneCell">
    <xdr:from>
      <xdr:col>0</xdr:col>
      <xdr:colOff>0</xdr:colOff>
      <xdr:row>178</xdr:row>
      <xdr:rowOff>0</xdr:rowOff>
    </xdr:from>
    <xdr:to>
      <xdr:col>16</xdr:col>
      <xdr:colOff>255772</xdr:colOff>
      <xdr:row>186</xdr:row>
      <xdr:rowOff>171257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518100"/>
          <a:ext cx="11228572" cy="1542857"/>
        </a:xfrm>
        <a:prstGeom prst="rect">
          <a:avLst/>
        </a:prstGeom>
      </xdr:spPr>
    </xdr:pic>
    <xdr:clientData/>
  </xdr:twoCellAnchor>
  <xdr:twoCellAnchor editAs="oneCell">
    <xdr:from>
      <xdr:col>0</xdr:col>
      <xdr:colOff>19050</xdr:colOff>
      <xdr:row>24</xdr:row>
      <xdr:rowOff>66675</xdr:rowOff>
    </xdr:from>
    <xdr:to>
      <xdr:col>16</xdr:col>
      <xdr:colOff>341489</xdr:colOff>
      <xdr:row>30</xdr:row>
      <xdr:rowOff>37975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9050" y="4181475"/>
          <a:ext cx="11295239" cy="1000000"/>
        </a:xfrm>
        <a:prstGeom prst="rect">
          <a:avLst/>
        </a:prstGeom>
      </xdr:spPr>
    </xdr:pic>
    <xdr:clientData/>
  </xdr:twoCellAnchor>
  <xdr:twoCellAnchor editAs="oneCell">
    <xdr:from>
      <xdr:col>0</xdr:col>
      <xdr:colOff>0</xdr:colOff>
      <xdr:row>70</xdr:row>
      <xdr:rowOff>142875</xdr:rowOff>
    </xdr:from>
    <xdr:to>
      <xdr:col>16</xdr:col>
      <xdr:colOff>446248</xdr:colOff>
      <xdr:row>79</xdr:row>
      <xdr:rowOff>85539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2144375"/>
          <a:ext cx="11419048" cy="1485714"/>
        </a:xfrm>
        <a:prstGeom prst="rect">
          <a:avLst/>
        </a:prstGeom>
      </xdr:spPr>
    </xdr:pic>
    <xdr:clientData/>
  </xdr:twoCellAnchor>
  <xdr:twoCellAnchor editAs="oneCell">
    <xdr:from>
      <xdr:col>0</xdr:col>
      <xdr:colOff>0</xdr:colOff>
      <xdr:row>108</xdr:row>
      <xdr:rowOff>85725</xdr:rowOff>
    </xdr:from>
    <xdr:to>
      <xdr:col>16</xdr:col>
      <xdr:colOff>322439</xdr:colOff>
      <xdr:row>116</xdr:row>
      <xdr:rowOff>161744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602325"/>
          <a:ext cx="11295239" cy="14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436725</xdr:colOff>
      <xdr:row>31</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09525" cy="5180953"/>
        </a:xfrm>
        <a:prstGeom prst="rect">
          <a:avLst/>
        </a:prstGeom>
      </xdr:spPr>
    </xdr:pic>
    <xdr:clientData/>
  </xdr:twoCellAnchor>
  <xdr:twoCellAnchor editAs="oneCell">
    <xdr:from>
      <xdr:col>0</xdr:col>
      <xdr:colOff>0</xdr:colOff>
      <xdr:row>34</xdr:row>
      <xdr:rowOff>0</xdr:rowOff>
    </xdr:from>
    <xdr:to>
      <xdr:col>16</xdr:col>
      <xdr:colOff>293867</xdr:colOff>
      <xdr:row>62</xdr:row>
      <xdr:rowOff>75591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11266667" cy="4876191"/>
        </a:xfrm>
        <a:prstGeom prst="rect">
          <a:avLst/>
        </a:prstGeom>
      </xdr:spPr>
    </xdr:pic>
    <xdr:clientData/>
  </xdr:twoCellAnchor>
  <xdr:twoCellAnchor editAs="oneCell">
    <xdr:from>
      <xdr:col>0</xdr:col>
      <xdr:colOff>9525</xdr:colOff>
      <xdr:row>65</xdr:row>
      <xdr:rowOff>57150</xdr:rowOff>
    </xdr:from>
    <xdr:to>
      <xdr:col>16</xdr:col>
      <xdr:colOff>246250</xdr:colOff>
      <xdr:row>95</xdr:row>
      <xdr:rowOff>161269</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1201400"/>
          <a:ext cx="11209525"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估价对象为北京市房地产，为所有。根据《国有土地使用证》[]，估价对象（分摊）出让国有建设用地使用权面积为0平方米，建筑面积为176.25平方米。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估价对象为北京市房地产,属开发建设的，该项目尚在开发建设中。根据《国有土地使用证》[]，估价对象（分摊）出让国有建设用地使用权面积为0平方米，规划建筑面积为176.25平方米。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2023年7月19日</v>
      </c>
    </row>
    <row r="13" spans="1:2" s="1201" customFormat="1">
      <c r="A13" s="1199" t="s">
        <v>529</v>
      </c>
      <c r="B13" s="1200"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本次评估采用的主估价方法为比较法和成本法。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176.25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H23" sqref="H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2579</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2580</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2291</v>
      </c>
      <c r="C17" s="1545"/>
    </row>
    <row r="18" spans="1:3">
      <c r="A18" s="1544" t="s">
        <v>1046</v>
      </c>
      <c r="B18" s="1544" t="s">
        <v>2435</v>
      </c>
      <c r="C18" s="1545"/>
    </row>
    <row r="19" spans="1:3">
      <c r="A19" s="1544" t="s">
        <v>1047</v>
      </c>
      <c r="B19" s="1544" t="s">
        <v>4911</v>
      </c>
      <c r="C19" s="1545"/>
    </row>
    <row r="20" spans="1:3">
      <c r="A20" s="1544" t="s">
        <v>1048</v>
      </c>
      <c r="B20" s="1544" t="s">
        <v>4913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4906</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0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6"/>
      <c r="B54" s="1552" t="s">
        <v>385</v>
      </c>
      <c r="C54" s="1549" t="s">
        <v>583</v>
      </c>
    </row>
    <row r="55" spans="1:4">
      <c r="A55" s="3606"/>
      <c r="B55" s="1552" t="s">
        <v>386</v>
      </c>
      <c r="C55" s="1549" t="s">
        <v>584</v>
      </c>
    </row>
    <row r="56" spans="1:4">
      <c r="A56" s="3606"/>
      <c r="B56" s="1552" t="s">
        <v>387</v>
      </c>
      <c r="C56" s="1549" t="s">
        <v>588</v>
      </c>
    </row>
    <row r="57" spans="1:4">
      <c r="A57" s="360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607" t="s">
        <v>2582</v>
      </c>
      <c r="J2" s="3607"/>
      <c r="K2" s="3607"/>
      <c r="L2" s="3607"/>
      <c r="M2" s="3607"/>
      <c r="N2" s="3607"/>
      <c r="O2" s="3607"/>
      <c r="P2" s="3607"/>
      <c r="Q2" s="3607"/>
      <c r="R2" s="3607"/>
    </row>
    <row r="3" spans="1:18">
      <c r="A3" s="3015" t="s">
        <v>2503</v>
      </c>
      <c r="B3" s="3016">
        <f>项目基本情况!D3</f>
        <v>45126</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3.42</v>
      </c>
      <c r="D5" s="3020">
        <f>IF(ISERROR(ROUND(POWER(1+E5,A5-C5)*(POWER(1+E5,C5)-1)/(POWER(1+E5,A5)-1),3)),0,ROUND(POWER(1+E5,A5-C5)*(POWER(1+E5,C5)-1)/(POWER(1+E5,A5)-1),4))</f>
        <v>0.15859999999999999</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13.43</v>
      </c>
      <c r="D6" s="3020">
        <f>IF(ISERROR(ROUND(POWER(1+E6,A6-C6)*(POWER(1+E6,C6)-1)/(POWER(1+E6,A6)-1),3)),0,ROUND(POWER(1+E6,A6-C6)*(POWER(1+E6,C6)-1)/(POWER(1+E6,A6)-1),4))</f>
        <v>0.47649999999999998</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33.44</v>
      </c>
      <c r="D7" s="3020">
        <f>IF(ISERROR(ROUND(POWER(1+E7,A7-C7)*(POWER(1+E7,C7)-1)/(POWER(1+E7,A7)-1),3)),0,ROUND(POWER(1+E7,A7-C7)*(POWER(1+E7,C7)-1)/(POWER(1+E7,A7)-1),4))</f>
        <v>0.78069999999999995</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L33" sqref="L3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1" t="s">
        <v>2166</v>
      </c>
      <c r="B1" s="3616" t="str">
        <f>IF(B10="北京市","北京市",C10)&amp;F10&amp;IF(结果表!G1="在建","出让国有建设用地使用权及在建建筑物",IF(结果表!G1="土地","出让国有建设用地使用权",))&amp;B9&amp;"预评估"</f>
        <v>北京市房地产抵押价值预评估</v>
      </c>
      <c r="C1" s="3617"/>
      <c r="D1" s="3617"/>
      <c r="E1" s="3617"/>
      <c r="F1" s="3617"/>
      <c r="G1" s="3617"/>
      <c r="H1" s="3617"/>
      <c r="I1" s="3618"/>
      <c r="J1" s="2466"/>
      <c r="K1" s="2363"/>
      <c r="L1" s="2364"/>
      <c r="M1" s="2364"/>
      <c r="N1" s="2365"/>
      <c r="O1" s="1574"/>
      <c r="P1" s="2365"/>
      <c r="Q1" s="2365"/>
      <c r="R1" s="2365"/>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2" t="s">
        <v>2167</v>
      </c>
      <c r="B2" s="2366"/>
      <c r="C2" s="2367"/>
      <c r="D2" s="2665"/>
      <c r="E2" s="2657"/>
      <c r="F2" s="2657"/>
      <c r="G2" s="2658"/>
      <c r="H2" s="2658"/>
      <c r="I2" s="2658"/>
      <c r="J2" s="2466"/>
      <c r="K2" s="2363"/>
      <c r="L2" s="2364"/>
      <c r="M2" s="2364"/>
      <c r="N2" s="2365"/>
      <c r="O2" s="1574"/>
      <c r="P2" s="2365"/>
      <c r="Q2" s="2365"/>
      <c r="R2" s="2365"/>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68"/>
      <c r="C3" s="2369" t="s">
        <v>2169</v>
      </c>
      <c r="D3" s="2368">
        <v>45126</v>
      </c>
      <c r="E3" s="2658"/>
      <c r="F3" s="2658"/>
      <c r="G3" s="2658"/>
      <c r="H3" s="2658"/>
      <c r="I3" s="2658"/>
      <c r="J3" s="2466"/>
      <c r="K3" s="2363"/>
      <c r="L3" s="2364"/>
      <c r="M3" s="2364"/>
      <c r="N3" s="2365"/>
      <c r="O3" s="1574"/>
      <c r="P3" s="2365"/>
      <c r="Q3" s="2365"/>
      <c r="R3" s="2365"/>
      <c r="S3" s="1680"/>
      <c r="T3" s="1743"/>
      <c r="U3" s="1743"/>
      <c r="V3" s="1743"/>
      <c r="W3" s="1743"/>
      <c r="X3" s="1743"/>
      <c r="Y3" s="1743"/>
      <c r="Z3" s="1743"/>
      <c r="AA3" s="1743"/>
      <c r="AB3" s="1743"/>
    </row>
    <row r="4" spans="1:30" ht="13.5" thickBot="1">
      <c r="A4" s="1089" t="s">
        <v>2170</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4"/>
      <c r="P4" s="2365"/>
      <c r="Q4" s="2365"/>
      <c r="R4" s="2365"/>
      <c r="S4" s="1680"/>
      <c r="T4" s="1743"/>
      <c r="U4" s="1743"/>
      <c r="V4" s="1743"/>
      <c r="W4" s="1743"/>
      <c r="X4" s="1743"/>
      <c r="Y4" s="1743"/>
      <c r="Z4" s="1743"/>
      <c r="AA4" s="1743"/>
      <c r="AB4" s="1743"/>
    </row>
    <row r="5" spans="1:30" ht="13.5" thickTop="1">
      <c r="A5" s="2374" t="s">
        <v>2171</v>
      </c>
      <c r="B5" s="2375"/>
      <c r="C5" s="2376"/>
      <c r="D5" s="2377"/>
      <c r="E5" s="2659"/>
      <c r="F5" s="2659"/>
      <c r="G5" s="2659"/>
      <c r="H5" s="2659"/>
      <c r="I5" s="2659"/>
      <c r="J5" s="2434"/>
      <c r="K5" s="2373" t="str">
        <f>IF(F4="——","",IF(H4="——",F4&amp;"（注册号："&amp;G4&amp;")",CONCATENATE(F4,"（注册号：",G4,")、",H4,"（注册号：",I4,")")))</f>
        <v>（注册号：0)、（注册号：0)</v>
      </c>
      <c r="L5" s="2364"/>
      <c r="M5" s="2364"/>
      <c r="N5" s="2365"/>
      <c r="O5" s="1574"/>
      <c r="P5" s="2365"/>
      <c r="Q5" s="2365"/>
      <c r="R5" s="2365"/>
      <c r="S5" s="1743"/>
      <c r="T5" s="1743"/>
      <c r="U5" s="1743"/>
      <c r="V5" s="1743"/>
      <c r="W5" s="1743"/>
      <c r="X5" s="1743"/>
      <c r="Y5" s="1743"/>
      <c r="Z5" s="1743"/>
      <c r="AA5" s="1743"/>
      <c r="AB5" s="1743"/>
    </row>
    <row r="6" spans="1:30">
      <c r="A6" s="2378" t="s">
        <v>2172</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2173</v>
      </c>
      <c r="B7" s="2382"/>
      <c r="C7" s="2380"/>
      <c r="D7" s="2381"/>
      <c r="E7" s="2657"/>
      <c r="F7" s="2659"/>
      <c r="G7" s="2659"/>
      <c r="H7" s="2659"/>
      <c r="I7" s="2659"/>
      <c r="J7" s="2434"/>
      <c r="K7" s="2611"/>
      <c r="L7" s="2608"/>
      <c r="M7" s="2608"/>
      <c r="N7" s="2434"/>
      <c r="O7" s="2445"/>
      <c r="P7" s="2434"/>
      <c r="Q7" s="2434"/>
      <c r="R7" s="2434"/>
    </row>
    <row r="8" spans="1:30">
      <c r="A8" s="2383" t="s">
        <v>2174</v>
      </c>
      <c r="B8" s="2384" t="s">
        <v>3900</v>
      </c>
      <c r="C8" s="2385"/>
      <c r="D8" s="3619" t="s">
        <v>2175</v>
      </c>
      <c r="E8" s="2386" t="s">
        <v>3901</v>
      </c>
      <c r="F8" s="2387"/>
      <c r="G8" s="2658"/>
      <c r="H8" s="2658"/>
      <c r="I8" s="2658"/>
      <c r="J8" s="2434"/>
      <c r="K8" s="2609"/>
      <c r="L8" s="2608"/>
      <c r="M8" s="2608"/>
      <c r="N8" s="2434"/>
      <c r="O8" s="2445"/>
      <c r="P8" s="2434"/>
      <c r="Q8" s="2434"/>
      <c r="R8" s="2434"/>
    </row>
    <row r="9" spans="1:30" ht="13.5" thickBot="1">
      <c r="A9" s="2388" t="s">
        <v>2176</v>
      </c>
      <c r="B9" s="2389" t="s">
        <v>3901</v>
      </c>
      <c r="C9" s="2390"/>
      <c r="D9" s="3620"/>
      <c r="E9" s="2389"/>
      <c r="F9" s="2391"/>
      <c r="G9" s="2660"/>
      <c r="H9" s="2660"/>
      <c r="I9" s="2660"/>
      <c r="J9" s="2434"/>
      <c r="K9" s="2611"/>
      <c r="L9" s="2608"/>
      <c r="M9" s="2608"/>
      <c r="N9" s="2434"/>
      <c r="O9" s="2445"/>
      <c r="P9" s="2434"/>
      <c r="Q9" s="2434"/>
      <c r="R9" s="2434"/>
    </row>
    <row r="10" spans="1:30" ht="13.5" thickTop="1">
      <c r="A10" s="2392" t="s">
        <v>2177</v>
      </c>
      <c r="B10" s="2393" t="s">
        <v>3483</v>
      </c>
      <c r="C10" s="2394"/>
      <c r="D10" s="2377"/>
      <c r="E10" s="2395" t="s">
        <v>2178</v>
      </c>
      <c r="F10" s="2661"/>
      <c r="G10" s="2662"/>
      <c r="H10" s="2663"/>
      <c r="I10" s="2664"/>
      <c r="J10" s="2434"/>
      <c r="K10" s="2611"/>
      <c r="L10" s="2608"/>
      <c r="M10" s="2608"/>
      <c r="N10" s="2434"/>
      <c r="O10" s="2445"/>
      <c r="P10" s="2434"/>
      <c r="Q10" s="2434"/>
      <c r="R10" s="2434"/>
    </row>
    <row r="11" spans="1:30">
      <c r="A11" s="2396" t="s">
        <v>2179</v>
      </c>
      <c r="B11" s="2397" t="s">
        <v>3902</v>
      </c>
      <c r="C11" s="2398"/>
      <c r="D11" s="2399"/>
      <c r="E11" s="2365"/>
      <c r="F11" s="2365"/>
      <c r="G11" s="2365"/>
      <c r="H11" s="2365"/>
      <c r="I11" s="2365"/>
      <c r="J11" s="3056"/>
      <c r="K11" s="3055"/>
      <c r="L11" s="2608"/>
      <c r="M11" s="2608"/>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4" t="s">
        <v>2578</v>
      </c>
      <c r="J12" s="3057"/>
      <c r="K12" s="2608"/>
      <c r="L12" s="2608"/>
      <c r="M12" s="2434"/>
      <c r="N12" s="2445"/>
      <c r="O12" s="2434"/>
      <c r="P12" s="2434"/>
      <c r="Q12" s="2434"/>
      <c r="AD12" s="1743"/>
    </row>
    <row r="13" spans="1:30">
      <c r="A13" s="3418" t="s">
        <v>3336</v>
      </c>
      <c r="B13" s="2402" t="s">
        <v>2188</v>
      </c>
      <c r="C13" s="856">
        <v>69313</v>
      </c>
      <c r="D13" s="856"/>
      <c r="E13" s="856"/>
      <c r="F13" s="856">
        <v>62008</v>
      </c>
      <c r="G13" s="856"/>
      <c r="H13" s="856"/>
      <c r="I13" s="856"/>
      <c r="J13" s="3057"/>
      <c r="K13" s="2608"/>
      <c r="L13" s="2608"/>
      <c r="M13" s="2434"/>
      <c r="N13" s="2445"/>
      <c r="O13" s="2434"/>
      <c r="P13" s="2434"/>
      <c r="Q13" s="2434"/>
      <c r="AD13" s="1743"/>
    </row>
    <row r="14" spans="1:30">
      <c r="A14" s="1080"/>
      <c r="B14" s="2402" t="s">
        <v>2189</v>
      </c>
      <c r="C14" s="2403">
        <v>70</v>
      </c>
      <c r="D14" s="2403"/>
      <c r="E14" s="2403"/>
      <c r="F14" s="2403">
        <v>50</v>
      </c>
      <c r="G14" s="2403"/>
      <c r="H14" s="2403"/>
      <c r="I14" s="2403"/>
      <c r="J14" s="3058"/>
      <c r="K14" s="2608"/>
      <c r="L14" s="2608"/>
      <c r="M14" s="2434"/>
      <c r="N14" s="2445"/>
      <c r="O14" s="2434"/>
      <c r="P14" s="2434"/>
      <c r="Q14" s="2434"/>
      <c r="AD14" s="1743"/>
    </row>
    <row r="15" spans="1:30">
      <c r="A15" s="320"/>
      <c r="B15" s="2404" t="s">
        <v>2190</v>
      </c>
      <c r="C15" s="2405">
        <f>IF(A13="出让",IF(C13="","",ROUNDDOWN(MIN((C13-$D$3)/365,C14),2)),C14)</f>
        <v>66.260000000000005</v>
      </c>
      <c r="D15" s="2405" t="str">
        <f>IF(A13="出让",IF(D13="","",ROUNDDOWN(MIN((D13-$D$3)/365,D14),2)),D14)</f>
        <v/>
      </c>
      <c r="E15" s="2405" t="str">
        <f>IF(A13="出让",IF(E13="","",ROUNDDOWN(MIN((E13-$D$3)/365,E14),2)),E14)</f>
        <v/>
      </c>
      <c r="F15" s="2405">
        <f>IF(A13="出让",IF(F13="","",ROUNDDOWN(MIN((F13-$D$3)/365,F14),2)),F14)</f>
        <v>46.25</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3"/>
    </row>
    <row r="16" spans="1:30">
      <c r="A16" s="2395" t="s">
        <v>2191</v>
      </c>
      <c r="B16" s="3626"/>
      <c r="C16" s="3627"/>
      <c r="D16" s="3628"/>
      <c r="E16" s="2408" t="s">
        <v>2192</v>
      </c>
      <c r="F16" s="3629"/>
      <c r="G16" s="3630"/>
      <c r="H16" s="3630"/>
      <c r="I16" s="3631"/>
      <c r="J16" s="2434"/>
      <c r="K16" s="2612"/>
      <c r="L16" s="2446"/>
      <c r="M16" s="2446"/>
      <c r="N16" s="2504"/>
      <c r="O16" s="2446"/>
      <c r="P16" s="2504"/>
      <c r="Q16" s="2434"/>
      <c r="R16" s="2434"/>
    </row>
    <row r="17" spans="1:28">
      <c r="A17" s="313" t="s">
        <v>2193</v>
      </c>
      <c r="B17" s="302" t="s">
        <v>2194</v>
      </c>
      <c r="C17" s="8">
        <f>'数据-汇总表'!E3</f>
        <v>176.25</v>
      </c>
      <c r="D17" s="2317" t="s">
        <v>2195</v>
      </c>
      <c r="E17" s="3632" t="s">
        <v>2196</v>
      </c>
      <c r="F17" s="3633"/>
      <c r="G17" s="3633"/>
      <c r="H17" s="3633"/>
      <c r="I17" s="3634"/>
      <c r="J17" s="2434"/>
      <c r="K17" s="2613"/>
      <c r="L17" s="2446"/>
      <c r="M17" s="2446"/>
      <c r="N17" s="2504"/>
      <c r="O17" s="2446"/>
      <c r="P17" s="2504"/>
      <c r="Q17" s="2434"/>
      <c r="R17" s="2434"/>
      <c r="S17" s="2434"/>
      <c r="T17" s="2434"/>
      <c r="U17" s="2434"/>
      <c r="V17" s="2434"/>
    </row>
    <row r="18" spans="1:28" ht="24.75" thickBot="1">
      <c r="A18" s="2409" t="s">
        <v>2197</v>
      </c>
      <c r="B18" s="1089" t="s">
        <v>2198</v>
      </c>
      <c r="C18" s="2410">
        <f>'数据-汇总表'!D3</f>
        <v>0</v>
      </c>
      <c r="D18" s="1091" t="s">
        <v>2199</v>
      </c>
      <c r="E18" s="3635" t="s">
        <v>2200</v>
      </c>
      <c r="F18" s="3636"/>
      <c r="G18" s="3636"/>
      <c r="H18" s="3636"/>
      <c r="I18" s="3637"/>
      <c r="J18" s="2434"/>
      <c r="K18" s="2613"/>
      <c r="L18" s="2446"/>
      <c r="M18" s="2446"/>
      <c r="N18" s="2504"/>
      <c r="O18" s="2446"/>
      <c r="P18" s="2504"/>
      <c r="Q18" s="2434"/>
      <c r="R18" s="2434"/>
      <c r="S18" s="2434"/>
      <c r="T18" s="2434"/>
      <c r="U18" s="2434"/>
      <c r="V18" s="2434"/>
    </row>
    <row r="19" spans="1:28" ht="37.5" thickTop="1" thickBot="1">
      <c r="A19" s="327" t="s">
        <v>1055</v>
      </c>
      <c r="B19" s="307" t="s">
        <v>2201</v>
      </c>
      <c r="C19" s="1561"/>
      <c r="D19" s="1562" t="s">
        <v>2202</v>
      </c>
      <c r="E19" s="1563"/>
      <c r="F19" s="1564" t="str">
        <f>IF(AND(C19="是",E19="否"),"是否提供他项权证或相关说明","")</f>
        <v/>
      </c>
      <c r="G19" s="1565"/>
      <c r="H19" s="2659"/>
      <c r="I19" s="2659"/>
      <c r="J19" s="2434"/>
      <c r="K19" s="2611"/>
      <c r="L19" s="2608"/>
      <c r="M19" s="2608"/>
      <c r="N19" s="2504"/>
      <c r="O19" s="2446"/>
      <c r="P19" s="2504"/>
      <c r="Q19" s="2434"/>
      <c r="R19" s="2434"/>
      <c r="S19" s="2434"/>
      <c r="T19" s="2434"/>
      <c r="U19" s="2434"/>
      <c r="V19" s="2434"/>
    </row>
    <row r="20" spans="1:28">
      <c r="A20" s="2627" t="s">
        <v>2203</v>
      </c>
      <c r="B20" s="3622" t="s">
        <v>2204</v>
      </c>
      <c r="C20" s="3623"/>
      <c r="D20" s="3624" t="s">
        <v>2205</v>
      </c>
      <c r="E20" s="3625"/>
      <c r="F20" s="2642" t="s">
        <v>1056</v>
      </c>
      <c r="G20" s="2659"/>
      <c r="H20" s="2659"/>
      <c r="I20" s="2659"/>
      <c r="J20" s="2434"/>
      <c r="K20" s="3621"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3"/>
      <c r="X20" s="1743"/>
      <c r="Y20" s="1743"/>
      <c r="Z20" s="1743"/>
      <c r="AA20" s="1743"/>
      <c r="AB20" s="1743"/>
    </row>
    <row r="21" spans="1:28" ht="24.75" thickBot="1">
      <c r="A21" s="2627"/>
      <c r="B21" s="2628" t="s">
        <v>2207</v>
      </c>
      <c r="C21" s="2629" t="s">
        <v>1057</v>
      </c>
      <c r="D21" s="1566" t="s">
        <v>2208</v>
      </c>
      <c r="E21" s="2630" t="s">
        <v>1057</v>
      </c>
      <c r="F21" s="2643"/>
      <c r="G21" s="2659"/>
      <c r="H21" s="2659"/>
      <c r="I21" s="2659"/>
      <c r="J21" s="2434"/>
      <c r="K21" s="36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3"/>
      <c r="X21" s="1743"/>
      <c r="Y21" s="1743"/>
      <c r="Z21" s="1743"/>
      <c r="AA21" s="1743"/>
      <c r="AB21" s="1743"/>
    </row>
    <row r="22" spans="1:28" ht="24.75" thickBot="1">
      <c r="A22" s="2627"/>
      <c r="B22" s="2631" t="s">
        <v>2209</v>
      </c>
      <c r="C22" s="2629" t="s">
        <v>1058</v>
      </c>
      <c r="D22" s="2658"/>
      <c r="E22" s="2658"/>
      <c r="F22" s="2658"/>
      <c r="G22" s="2659"/>
      <c r="H22" s="2659"/>
      <c r="I22" s="2659"/>
      <c r="J22" s="2434"/>
      <c r="K22" s="36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3"/>
      <c r="X22" s="1743"/>
      <c r="Y22" s="1743"/>
      <c r="Z22" s="1743"/>
      <c r="AA22" s="1743"/>
      <c r="AB22" s="1743"/>
    </row>
    <row r="23" spans="1:28">
      <c r="A23" s="2632" t="s">
        <v>2210</v>
      </c>
      <c r="B23" s="2497" t="s">
        <v>2211</v>
      </c>
      <c r="C23" s="2633"/>
      <c r="D23" s="2634" t="s">
        <v>2211</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09" t="s">
        <v>2212</v>
      </c>
      <c r="B27" s="320" t="s">
        <v>2213</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609"/>
      <c r="B28" s="302" t="s">
        <v>2214</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609"/>
      <c r="B29" s="302" t="s">
        <v>2215</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610"/>
      <c r="B30" s="302" t="s">
        <v>2216</v>
      </c>
      <c r="C30" s="3611"/>
      <c r="D30" s="3612"/>
      <c r="E30" s="2659"/>
      <c r="F30" s="2659"/>
      <c r="G30" s="2659"/>
      <c r="H30" s="2659"/>
      <c r="I30" s="2659"/>
      <c r="J30" s="2434"/>
      <c r="K30" s="2611"/>
      <c r="L30" s="2608"/>
      <c r="M30" s="2608"/>
      <c r="N30" s="2434"/>
      <c r="O30" s="2445"/>
      <c r="P30" s="2434"/>
      <c r="Q30" s="2434"/>
      <c r="R30" s="2434"/>
      <c r="S30" s="2434"/>
      <c r="T30" s="2434"/>
      <c r="U30" s="2434"/>
      <c r="V30" s="2434"/>
    </row>
    <row r="31" spans="1:28">
      <c r="A31" s="3613" t="s">
        <v>2217</v>
      </c>
      <c r="B31" s="2417"/>
      <c r="C31" s="2318" t="str">
        <f>IF(B31="现房","成新及维护状况正常否",IF(B31="在建","工程状态是否正常",IF(B31="土地","是否闲置","-")))</f>
        <v>-</v>
      </c>
      <c r="D31" s="1371"/>
      <c r="E31" s="2418"/>
      <c r="F31" s="2659"/>
      <c r="G31" s="2659"/>
      <c r="H31" s="2659"/>
      <c r="I31" s="2659"/>
      <c r="J31" s="2434"/>
      <c r="K31" s="2610"/>
      <c r="L31" s="2608"/>
      <c r="M31" s="2608"/>
      <c r="N31" s="2434"/>
      <c r="O31" s="2445"/>
      <c r="P31" s="2434"/>
      <c r="Q31" s="2434"/>
      <c r="R31" s="2434"/>
      <c r="S31" s="2434"/>
      <c r="T31" s="2434"/>
      <c r="U31" s="2434"/>
      <c r="V31" s="2434"/>
    </row>
    <row r="32" spans="1:28">
      <c r="A32" s="3614"/>
      <c r="B32" s="2417"/>
      <c r="C32" s="2318" t="str">
        <f>IF(B32="现房","成新及维护状况是否正常",IF(B32="在建","工程状态是否正常",IF(B32="土地","是否闲置","-")))</f>
        <v>-</v>
      </c>
      <c r="D32" s="1371"/>
      <c r="E32" s="2418"/>
      <c r="F32" s="2659"/>
      <c r="G32" s="2659"/>
      <c r="H32" s="2659"/>
      <c r="I32" s="2659"/>
      <c r="J32" s="2434"/>
      <c r="K32" s="2611"/>
      <c r="L32" s="2608"/>
      <c r="M32" s="2608"/>
      <c r="N32" s="2434"/>
      <c r="O32" s="2445"/>
      <c r="P32" s="2434"/>
      <c r="Q32" s="2434"/>
      <c r="R32" s="2434"/>
      <c r="S32" s="2434"/>
      <c r="T32" s="2434"/>
      <c r="U32" s="2434"/>
      <c r="V32" s="2434"/>
    </row>
    <row r="33" spans="1:30">
      <c r="A33" s="3614"/>
      <c r="B33" s="2420"/>
      <c r="C33" s="1588" t="str">
        <f>IF(B33="现房","成新及维护状况是否正常",IF(B33="在建","工程状态是否正常",IF(B33="土地","是否闲置","-")))</f>
        <v>-</v>
      </c>
      <c r="D33" s="1363"/>
      <c r="E33" s="2421"/>
      <c r="F33" s="2659"/>
      <c r="G33" s="2659"/>
      <c r="H33" s="2659"/>
      <c r="I33" s="2659"/>
      <c r="J33" s="2434"/>
      <c r="K33" s="2611"/>
      <c r="L33" s="2608"/>
      <c r="M33" s="2608"/>
      <c r="N33" s="2434"/>
      <c r="O33" s="2445"/>
      <c r="P33" s="2434"/>
      <c r="Q33" s="2434"/>
      <c r="R33" s="2434"/>
      <c r="S33" s="2434"/>
      <c r="T33" s="2434"/>
      <c r="U33" s="2434"/>
      <c r="V33" s="2434"/>
    </row>
    <row r="34" spans="1:30">
      <c r="A34" s="302" t="s">
        <v>2218</v>
      </c>
      <c r="B34" s="2021"/>
      <c r="C34" s="2021"/>
      <c r="D34" s="2021"/>
      <c r="E34" s="2021"/>
      <c r="F34" s="2021"/>
      <c r="G34" s="2021"/>
      <c r="H34" s="2021"/>
      <c r="I34" s="2659"/>
      <c r="J34" s="2434"/>
      <c r="K34" s="2422">
        <f>COUNTIF(B34:H34,"——")</f>
        <v>0</v>
      </c>
      <c r="L34" s="323" t="s">
        <v>2219</v>
      </c>
      <c r="M34" s="323" t="s">
        <v>2220</v>
      </c>
      <c r="N34" s="323" t="s">
        <v>2221</v>
      </c>
      <c r="O34" s="323" t="s">
        <v>2222</v>
      </c>
      <c r="P34" s="323" t="s">
        <v>2223</v>
      </c>
      <c r="Q34" s="323" t="s">
        <v>2224</v>
      </c>
      <c r="R34" s="323" t="s">
        <v>2225</v>
      </c>
      <c r="S34" s="3608" t="s">
        <v>2226</v>
      </c>
      <c r="T34" s="2423" t="str">
        <f>NUMBERSTRING(7-K34,1)&amp;"通"</f>
        <v>七通</v>
      </c>
      <c r="U34" s="2434"/>
      <c r="V34" s="2434"/>
    </row>
    <row r="35" spans="1:30">
      <c r="A35" s="2424"/>
      <c r="B35" s="3615" t="s">
        <v>2227</v>
      </c>
      <c r="C35" s="3615"/>
      <c r="D35" s="3615"/>
      <c r="E35" s="3615"/>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8"/>
      <c r="T35" s="329" t="str">
        <f>IF(T34="一通",L35,IF(T34="二通",M35,IF(T34="三通",N35,IF(T34="四通",O35,IF(T34="五通",P35,IF(T34="六通",Q35,R35))))))</f>
        <v>、、、、、、</v>
      </c>
      <c r="U35" s="2434"/>
      <c r="V35" s="2434"/>
    </row>
    <row r="36" spans="1:30">
      <c r="A36" s="2425"/>
      <c r="B36" s="664" t="s">
        <v>2183</v>
      </c>
      <c r="C36" s="664" t="s">
        <v>2184</v>
      </c>
      <c r="D36" s="664" t="s">
        <v>2182</v>
      </c>
      <c r="E36" s="664" t="s">
        <v>2187</v>
      </c>
      <c r="F36" s="3060" t="s">
        <v>2581</v>
      </c>
      <c r="G36" s="2659"/>
      <c r="H36" s="2659"/>
      <c r="I36" s="2659"/>
      <c r="J36" s="2434"/>
      <c r="K36" s="2611"/>
      <c r="L36" s="2608"/>
      <c r="M36" s="2608"/>
      <c r="N36" s="2434"/>
      <c r="O36" s="2445"/>
      <c r="P36" s="2434"/>
      <c r="Q36" s="2434"/>
      <c r="R36" s="2434"/>
      <c r="S36" s="2434"/>
      <c r="T36" s="2434"/>
      <c r="U36" s="2434"/>
      <c r="V36" s="2434"/>
    </row>
    <row r="37" spans="1:30">
      <c r="A37" s="2625" t="s">
        <v>2228</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2229</v>
      </c>
      <c r="B38" s="2427"/>
      <c r="C38" s="2427"/>
      <c r="D38" s="2427" t="s">
        <v>2939</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2230</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6"/>
      <c r="J40" s="2504"/>
      <c r="K40" s="2610"/>
      <c r="L40" s="2446"/>
      <c r="M40" s="2446"/>
      <c r="N40" s="2504"/>
      <c r="O40" s="2446"/>
      <c r="P40" s="2434"/>
      <c r="Q40" s="2434"/>
      <c r="R40" s="2434"/>
      <c r="S40" s="2434"/>
      <c r="T40" s="2434"/>
      <c r="U40" s="2434"/>
      <c r="V40" s="2434"/>
    </row>
    <row r="41" spans="1:30">
      <c r="A41" s="2431" t="s">
        <v>2231</v>
      </c>
      <c r="B41" s="1755"/>
      <c r="C41" s="1371"/>
      <c r="D41" s="2365"/>
      <c r="E41" s="2365"/>
      <c r="F41" s="2365"/>
      <c r="G41" s="2365"/>
      <c r="H41" s="2365"/>
      <c r="I41" s="1574"/>
      <c r="J41" s="2434"/>
      <c r="K41" s="2611"/>
      <c r="L41" s="2608"/>
      <c r="M41" s="2608"/>
      <c r="N41" s="2434"/>
      <c r="O41" s="2445"/>
      <c r="P41" s="2434"/>
      <c r="Q41" s="2434"/>
      <c r="R41" s="2434"/>
      <c r="S41" s="2434"/>
      <c r="T41" s="2434"/>
      <c r="U41" s="2434"/>
      <c r="V41" s="2434"/>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176.25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176.25</v>
      </c>
      <c r="H5" s="13">
        <f t="shared" ref="H5:AT5" si="0">SUM(H13:H656)</f>
        <v>176.25</v>
      </c>
      <c r="I5" s="13">
        <f t="shared" si="0"/>
        <v>86.91</v>
      </c>
      <c r="J5" s="13">
        <f t="shared" si="0"/>
        <v>0</v>
      </c>
      <c r="K5" s="13">
        <f t="shared" si="0"/>
        <v>29.05</v>
      </c>
      <c r="L5" s="13">
        <f t="shared" si="0"/>
        <v>0</v>
      </c>
      <c r="M5" s="13">
        <f t="shared" si="0"/>
        <v>60.29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176.25</v>
      </c>
      <c r="BA5" s="15">
        <f t="shared" si="1"/>
        <v>176.25</v>
      </c>
      <c r="BB5" s="15">
        <f t="shared" si="1"/>
        <v>86.91</v>
      </c>
      <c r="BC5" s="15">
        <f t="shared" si="1"/>
        <v>29.05</v>
      </c>
      <c r="BD5" s="15">
        <f t="shared" si="1"/>
        <v>60.29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3432</v>
      </c>
      <c r="J9" s="809"/>
      <c r="K9" s="1601" t="s">
        <v>3395</v>
      </c>
      <c r="L9" s="809"/>
      <c r="M9" s="1601" t="s">
        <v>3395</v>
      </c>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3379</v>
      </c>
      <c r="J10" s="809"/>
      <c r="K10" s="1607" t="s">
        <v>3337</v>
      </c>
      <c r="L10" s="809"/>
      <c r="M10" s="1607" t="s">
        <v>3337</v>
      </c>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t="s">
        <v>3337</v>
      </c>
      <c r="L11" s="1613"/>
      <c r="M11" s="1612" t="s">
        <v>4905</v>
      </c>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t="str">
        <f>K10</f>
        <v>车库</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t="str">
        <f>K11</f>
        <v>车库</v>
      </c>
      <c r="BD12" s="1622" t="str">
        <f>M11</f>
        <v>机械车库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3447"/>
      <c r="D13" s="1623" t="s">
        <v>3430</v>
      </c>
      <c r="E13" s="13">
        <f>IF($C$3="是",ROUND($A$3*G13/$B$3,2),ROUND($A$3*(G13-AT13)/$B$3,2))</f>
        <v>0</v>
      </c>
      <c r="F13" s="29"/>
      <c r="G13" s="30">
        <f>H13+AC13+AT13</f>
        <v>176.25</v>
      </c>
      <c r="H13" s="17">
        <f>SUMIF(I$12:AB$12,"总值",I13:AB13)</f>
        <v>176.25</v>
      </c>
      <c r="I13" s="1624">
        <f>Sheet3!D4</f>
        <v>86.91</v>
      </c>
      <c r="J13" s="1624"/>
      <c r="K13" s="1624">
        <f>Sheet3!D309</f>
        <v>29.05</v>
      </c>
      <c r="L13" s="1624"/>
      <c r="M13" s="1624">
        <f>Sheet3!D463</f>
        <v>60.29</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176.25</v>
      </c>
      <c r="BA13" s="13">
        <f>SUM(BB13:BK13)</f>
        <v>176.25</v>
      </c>
      <c r="BB13" s="13">
        <f>IF($D13="是",I13-J13,0)</f>
        <v>86.91</v>
      </c>
      <c r="BC13" s="13">
        <f>IF($D13="是",K13-L13,0)</f>
        <v>29.05</v>
      </c>
      <c r="BD13" s="13">
        <f>IF($D13="是",M13-N13,0)</f>
        <v>60.29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8" t="s">
        <v>3429</v>
      </c>
      <c r="D14" s="1623" t="s">
        <v>3431</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二期</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3"/>
  <sheetViews>
    <sheetView workbookViewId="0">
      <selection activeCell="H19" sqref="H19"/>
    </sheetView>
  </sheetViews>
  <sheetFormatPr defaultRowHeight="12"/>
  <cols>
    <col min="1" max="2" width="9" style="3445"/>
    <col min="3" max="3" width="15.375" style="3445" customWidth="1"/>
    <col min="4" max="16384" width="9" style="3445"/>
  </cols>
  <sheetData>
    <row r="3" spans="3:9">
      <c r="C3" s="3445" t="s">
        <v>3396</v>
      </c>
    </row>
    <row r="4" spans="3:9">
      <c r="C4" s="3446" t="s">
        <v>3413</v>
      </c>
      <c r="D4" s="3446" t="s">
        <v>3412</v>
      </c>
      <c r="E4" s="3446" t="s">
        <v>2594</v>
      </c>
      <c r="F4" s="3446" t="s">
        <v>2554</v>
      </c>
      <c r="G4" s="3446" t="s">
        <v>3380</v>
      </c>
      <c r="H4" s="3446" t="s">
        <v>3415</v>
      </c>
      <c r="I4" s="3446" t="s">
        <v>3381</v>
      </c>
    </row>
    <row r="5" spans="3:9">
      <c r="C5" s="3446" t="s">
        <v>3397</v>
      </c>
      <c r="D5" s="3446" t="s">
        <v>3377</v>
      </c>
      <c r="E5" s="3446">
        <f>F5+G5+H5+I5</f>
        <v>7779.79</v>
      </c>
      <c r="F5" s="3446">
        <v>7779.79</v>
      </c>
      <c r="G5" s="3446"/>
      <c r="H5" s="3446"/>
      <c r="I5" s="3446"/>
    </row>
    <row r="6" spans="3:9">
      <c r="C6" s="3446" t="s">
        <v>3398</v>
      </c>
      <c r="D6" s="3446" t="s">
        <v>3378</v>
      </c>
      <c r="E6" s="3446">
        <f t="shared" ref="E6:E19" si="0">F6+G6+H6+I6</f>
        <v>3763.92</v>
      </c>
      <c r="F6" s="3446">
        <v>3240.45</v>
      </c>
      <c r="G6" s="3446">
        <v>523.47</v>
      </c>
      <c r="H6" s="3446"/>
      <c r="I6" s="3446"/>
    </row>
    <row r="7" spans="3:9">
      <c r="C7" s="3446" t="s">
        <v>3399</v>
      </c>
      <c r="D7" s="3446" t="s">
        <v>3387</v>
      </c>
      <c r="E7" s="3446">
        <f t="shared" si="0"/>
        <v>3021.84</v>
      </c>
      <c r="F7" s="3446">
        <v>3021.84</v>
      </c>
      <c r="G7" s="3446"/>
      <c r="H7" s="3446"/>
      <c r="I7" s="3446"/>
    </row>
    <row r="8" spans="3:9">
      <c r="C8" s="3446" t="s">
        <v>3400</v>
      </c>
      <c r="D8" s="3446" t="s">
        <v>3388</v>
      </c>
      <c r="E8" s="3446">
        <f t="shared" si="0"/>
        <v>4026.1800000000003</v>
      </c>
      <c r="F8" s="3446">
        <v>3503.59</v>
      </c>
      <c r="G8" s="3446">
        <v>522.59</v>
      </c>
      <c r="H8" s="3446"/>
      <c r="I8" s="3446"/>
    </row>
    <row r="9" spans="3:9">
      <c r="C9" s="3446" t="s">
        <v>3401</v>
      </c>
      <c r="D9" s="3446" t="s">
        <v>3389</v>
      </c>
      <c r="E9" s="3446">
        <f t="shared" si="0"/>
        <v>3720.64</v>
      </c>
      <c r="F9" s="3446">
        <v>3720.64</v>
      </c>
      <c r="G9" s="3446"/>
      <c r="H9" s="3446"/>
      <c r="I9" s="3446"/>
    </row>
    <row r="10" spans="3:9">
      <c r="C10" s="3446" t="s">
        <v>3402</v>
      </c>
      <c r="D10" s="3446" t="s">
        <v>3390</v>
      </c>
      <c r="E10" s="3446">
        <f t="shared" si="0"/>
        <v>2621.66</v>
      </c>
      <c r="F10" s="3446">
        <v>2621.66</v>
      </c>
      <c r="G10" s="3446"/>
      <c r="H10" s="3446"/>
      <c r="I10" s="3446"/>
    </row>
    <row r="11" spans="3:9">
      <c r="C11" s="3446" t="s">
        <v>3403</v>
      </c>
      <c r="D11" s="3446" t="s">
        <v>3382</v>
      </c>
      <c r="E11" s="3446">
        <f t="shared" si="0"/>
        <v>4258.75</v>
      </c>
      <c r="F11" s="3446">
        <v>4258.75</v>
      </c>
      <c r="G11" s="3446"/>
      <c r="H11" s="3446"/>
      <c r="I11" s="3446"/>
    </row>
    <row r="12" spans="3:9">
      <c r="C12" s="3446" t="s">
        <v>3404</v>
      </c>
      <c r="D12" s="3446" t="s">
        <v>3383</v>
      </c>
      <c r="E12" s="3446">
        <f t="shared" si="0"/>
        <v>3888.28</v>
      </c>
      <c r="F12" s="3446">
        <v>3888.28</v>
      </c>
      <c r="G12" s="3446"/>
      <c r="H12" s="3446"/>
      <c r="I12" s="3446"/>
    </row>
    <row r="13" spans="3:9">
      <c r="C13" s="3446" t="s">
        <v>3405</v>
      </c>
      <c r="D13" s="3446" t="s">
        <v>3384</v>
      </c>
      <c r="E13" s="3446">
        <f t="shared" si="0"/>
        <v>3888.28</v>
      </c>
      <c r="F13" s="3446">
        <v>3888.28</v>
      </c>
      <c r="G13" s="3446"/>
      <c r="H13" s="3446"/>
      <c r="I13" s="3446"/>
    </row>
    <row r="14" spans="3:9">
      <c r="C14" s="3446" t="s">
        <v>3406</v>
      </c>
      <c r="D14" s="3446" t="s">
        <v>3385</v>
      </c>
      <c r="E14" s="3446">
        <f t="shared" si="0"/>
        <v>3465.5</v>
      </c>
      <c r="F14" s="3446">
        <v>3465.5</v>
      </c>
      <c r="G14" s="3446"/>
      <c r="H14" s="3446"/>
      <c r="I14" s="3446"/>
    </row>
    <row r="15" spans="3:9">
      <c r="C15" s="3446" t="s">
        <v>3407</v>
      </c>
      <c r="D15" s="3446" t="s">
        <v>3386</v>
      </c>
      <c r="E15" s="3446">
        <f t="shared" si="0"/>
        <v>2772.24</v>
      </c>
      <c r="F15" s="3446">
        <v>2772.24</v>
      </c>
      <c r="G15" s="3446"/>
      <c r="H15" s="3446"/>
      <c r="I15" s="3446"/>
    </row>
    <row r="16" spans="3:9">
      <c r="C16" s="3446" t="s">
        <v>3408</v>
      </c>
      <c r="D16" s="3446" t="s">
        <v>3391</v>
      </c>
      <c r="E16" s="3446">
        <f t="shared" si="0"/>
        <v>3426.4</v>
      </c>
      <c r="F16" s="3446">
        <v>3426.4</v>
      </c>
      <c r="G16" s="3446"/>
      <c r="H16" s="3446"/>
      <c r="I16" s="3446"/>
    </row>
    <row r="17" spans="3:10">
      <c r="C17" s="3446" t="s">
        <v>3409</v>
      </c>
      <c r="D17" s="3446" t="s">
        <v>3392</v>
      </c>
      <c r="E17" s="3446">
        <f t="shared" si="0"/>
        <v>3888.28</v>
      </c>
      <c r="F17" s="3446">
        <v>3888.28</v>
      </c>
      <c r="G17" s="3446"/>
      <c r="H17" s="3446"/>
      <c r="I17" s="3446"/>
    </row>
    <row r="18" spans="3:10">
      <c r="C18" s="3446" t="s">
        <v>3410</v>
      </c>
      <c r="D18" s="3446" t="s">
        <v>3393</v>
      </c>
      <c r="E18" s="3446">
        <f t="shared" si="0"/>
        <v>3465.5</v>
      </c>
      <c r="F18" s="3446">
        <v>3465.5</v>
      </c>
      <c r="G18" s="3446"/>
      <c r="H18" s="3446"/>
      <c r="I18" s="3446"/>
    </row>
    <row r="19" spans="3:10">
      <c r="C19" s="3446" t="s">
        <v>3411</v>
      </c>
      <c r="D19" s="3446" t="s">
        <v>3394</v>
      </c>
      <c r="E19" s="3446">
        <f t="shared" si="0"/>
        <v>10010.279999999999</v>
      </c>
      <c r="F19" s="3446"/>
      <c r="G19" s="3446"/>
      <c r="H19" s="3446">
        <f>4658.02+4520.62</f>
        <v>9178.64</v>
      </c>
      <c r="I19" s="3446">
        <f>387.4+205.59+100.72+80.68+57.25</f>
        <v>831.6400000000001</v>
      </c>
      <c r="J19" s="3445" t="s">
        <v>3417</v>
      </c>
    </row>
    <row r="20" spans="3:10" ht="13.5" customHeight="1">
      <c r="C20" s="3638" t="s">
        <v>2594</v>
      </c>
      <c r="D20" s="3638"/>
      <c r="E20" s="3446">
        <f>SUM(E5:E19)</f>
        <v>63997.539999999994</v>
      </c>
      <c r="F20" s="3446">
        <f t="shared" ref="F20:I20" si="1">SUM(F5:F19)</f>
        <v>52941.2</v>
      </c>
      <c r="G20" s="3446">
        <f t="shared" si="1"/>
        <v>1046.06</v>
      </c>
      <c r="H20" s="3446">
        <f t="shared" si="1"/>
        <v>9178.64</v>
      </c>
      <c r="I20" s="3446">
        <f t="shared" si="1"/>
        <v>831.6400000000001</v>
      </c>
    </row>
    <row r="22" spans="3:10">
      <c r="C22" s="3445" t="s">
        <v>3414</v>
      </c>
    </row>
    <row r="23" spans="3:10">
      <c r="C23" s="3446" t="s">
        <v>3413</v>
      </c>
      <c r="D23" s="3446" t="s">
        <v>3412</v>
      </c>
      <c r="E23" s="3446" t="s">
        <v>2594</v>
      </c>
      <c r="F23" s="3446" t="s">
        <v>2554</v>
      </c>
      <c r="G23" s="3446" t="s">
        <v>3380</v>
      </c>
      <c r="H23" s="3446" t="s">
        <v>3415</v>
      </c>
      <c r="I23" s="3446" t="s">
        <v>3381</v>
      </c>
    </row>
    <row r="24" spans="3:10">
      <c r="C24" s="3446" t="s">
        <v>3418</v>
      </c>
      <c r="D24" s="3446" t="s">
        <v>3427</v>
      </c>
      <c r="E24" s="3446">
        <f>F24+G24+H24+I24</f>
        <v>3464.9</v>
      </c>
      <c r="F24" s="3446">
        <v>3464.9</v>
      </c>
      <c r="G24" s="3446"/>
      <c r="H24" s="3446"/>
      <c r="I24" s="3446"/>
    </row>
    <row r="25" spans="3:10">
      <c r="C25" s="3446" t="s">
        <v>3419</v>
      </c>
      <c r="D25" s="3446" t="s">
        <v>3427</v>
      </c>
      <c r="E25" s="3446">
        <f t="shared" ref="E25:E32" si="2">F25+G25+H25+I25</f>
        <v>3887.62</v>
      </c>
      <c r="F25" s="3446">
        <v>3887.62</v>
      </c>
      <c r="G25" s="3446"/>
      <c r="H25" s="3446"/>
      <c r="I25" s="3446"/>
    </row>
    <row r="26" spans="3:10">
      <c r="C26" s="3446" t="s">
        <v>3420</v>
      </c>
      <c r="D26" s="3446" t="s">
        <v>3427</v>
      </c>
      <c r="E26" s="3446">
        <f t="shared" si="2"/>
        <v>3309.8</v>
      </c>
      <c r="F26" s="3446">
        <v>3309.8</v>
      </c>
      <c r="G26" s="3446"/>
      <c r="H26" s="3446"/>
      <c r="I26" s="3446"/>
    </row>
    <row r="27" spans="3:10">
      <c r="C27" s="3446" t="s">
        <v>3421</v>
      </c>
      <c r="D27" s="3446" t="s">
        <v>3428</v>
      </c>
      <c r="E27" s="3446">
        <f t="shared" si="2"/>
        <v>4257.88</v>
      </c>
      <c r="F27" s="3446">
        <v>4257.88</v>
      </c>
      <c r="G27" s="3446"/>
      <c r="H27" s="3446"/>
      <c r="I27" s="3446"/>
    </row>
    <row r="28" spans="3:10">
      <c r="C28" s="3446" t="s">
        <v>3422</v>
      </c>
      <c r="D28" s="3446" t="s">
        <v>3427</v>
      </c>
      <c r="E28" s="3446">
        <f t="shared" si="2"/>
        <v>3348.9</v>
      </c>
      <c r="F28" s="3446">
        <v>3348.9</v>
      </c>
      <c r="G28" s="3446"/>
      <c r="H28" s="3446"/>
      <c r="I28" s="3446"/>
    </row>
    <row r="29" spans="3:10">
      <c r="C29" s="3446" t="s">
        <v>3423</v>
      </c>
      <c r="D29" s="3446" t="s">
        <v>3427</v>
      </c>
      <c r="E29" s="3446">
        <f t="shared" si="2"/>
        <v>7939.2300000000005</v>
      </c>
      <c r="F29" s="3446">
        <v>7263.64</v>
      </c>
      <c r="G29" s="3446"/>
      <c r="H29" s="3446"/>
      <c r="I29" s="3446">
        <v>675.59</v>
      </c>
      <c r="J29" s="3445" t="s">
        <v>3416</v>
      </c>
    </row>
    <row r="30" spans="3:10">
      <c r="C30" s="3446" t="s">
        <v>3424</v>
      </c>
      <c r="D30" s="3446" t="s">
        <v>3427</v>
      </c>
      <c r="E30" s="3446">
        <f t="shared" si="2"/>
        <v>3547.34</v>
      </c>
      <c r="F30" s="3446">
        <v>3547.34</v>
      </c>
      <c r="G30" s="3446"/>
      <c r="H30" s="3446"/>
      <c r="I30" s="3446"/>
    </row>
    <row r="31" spans="3:10">
      <c r="C31" s="3446" t="s">
        <v>3425</v>
      </c>
      <c r="D31" s="3446" t="s">
        <v>3427</v>
      </c>
      <c r="E31" s="3446">
        <f t="shared" si="2"/>
        <v>6520.8</v>
      </c>
      <c r="F31" s="3446">
        <v>5530.56</v>
      </c>
      <c r="G31" s="3446"/>
      <c r="H31" s="3446"/>
      <c r="I31" s="3446">
        <v>990.24</v>
      </c>
      <c r="J31" s="3445" t="str">
        <f>J29</f>
        <v>地下设备</v>
      </c>
    </row>
    <row r="32" spans="3:10">
      <c r="C32" s="3446" t="s">
        <v>3426</v>
      </c>
      <c r="D32" s="3446" t="s">
        <v>3427</v>
      </c>
      <c r="E32" s="3446">
        <f t="shared" si="2"/>
        <v>8677.7000000000007</v>
      </c>
      <c r="F32" s="3446"/>
      <c r="G32" s="3446"/>
      <c r="H32" s="3446">
        <f>1415.43+7262.27</f>
        <v>8677.7000000000007</v>
      </c>
      <c r="I32" s="3446"/>
    </row>
    <row r="33" spans="3:9">
      <c r="C33" s="3639" t="s">
        <v>2594</v>
      </c>
      <c r="D33" s="3640"/>
      <c r="E33" s="3446">
        <f>SUM(E24:E32)</f>
        <v>44954.17</v>
      </c>
      <c r="F33" s="3446">
        <f>SUM(F24:F32)</f>
        <v>34610.639999999999</v>
      </c>
      <c r="G33" s="3446">
        <f t="shared" ref="G33:I33" si="3">SUM(G24:G32)</f>
        <v>0</v>
      </c>
      <c r="H33" s="3446">
        <f t="shared" si="3"/>
        <v>8677.7000000000007</v>
      </c>
      <c r="I33" s="3446">
        <f t="shared" si="3"/>
        <v>1665.83</v>
      </c>
    </row>
  </sheetData>
  <mergeCells count="2">
    <mergeCell ref="C20:D20"/>
    <mergeCell ref="C33:D3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09"/>
  <sheetViews>
    <sheetView workbookViewId="0">
      <selection activeCell="E6" sqref="E6"/>
    </sheetView>
  </sheetViews>
  <sheetFormatPr defaultColWidth="9" defaultRowHeight="13.5"/>
  <cols>
    <col min="1" max="1" width="5.375" style="3004" customWidth="1"/>
    <col min="2" max="2" width="11" customWidth="1"/>
    <col min="3" max="4" width="9" style="3561"/>
    <col min="5" max="5" width="14.625" style="3561" customWidth="1"/>
    <col min="6" max="6" width="9" style="3561"/>
    <col min="7" max="7" width="10.875" style="3561" customWidth="1"/>
    <col min="8" max="8" width="19" style="3560" customWidth="1"/>
    <col min="9" max="9" width="9" style="3249"/>
    <col min="14" max="14" width="12.625" customWidth="1"/>
    <col min="15" max="15" width="16" customWidth="1"/>
  </cols>
  <sheetData>
    <row r="2" spans="1:15" ht="69.95" customHeight="1">
      <c r="A2" s="3660" t="s">
        <v>3981</v>
      </c>
      <c r="B2" s="3661"/>
      <c r="C2" s="3662"/>
      <c r="D2" s="3662"/>
      <c r="E2" s="3662"/>
      <c r="F2" s="3662"/>
      <c r="G2" s="3662"/>
      <c r="H2" s="3661"/>
      <c r="I2" s="3661"/>
      <c r="J2" s="3661"/>
      <c r="K2" s="3661"/>
      <c r="L2" s="3661"/>
      <c r="M2" s="3661"/>
      <c r="N2" s="3661"/>
      <c r="O2" s="3661"/>
    </row>
    <row r="3" spans="1:15" ht="38.25">
      <c r="A3" s="3527" t="s">
        <v>3982</v>
      </c>
      <c r="B3" s="3527" t="s">
        <v>3983</v>
      </c>
      <c r="C3" s="3528" t="s">
        <v>3984</v>
      </c>
      <c r="D3" s="3528" t="s">
        <v>3985</v>
      </c>
      <c r="E3" s="3528" t="s">
        <v>3986</v>
      </c>
      <c r="F3" s="3528" t="s">
        <v>3987</v>
      </c>
      <c r="G3" s="3529" t="s">
        <v>3988</v>
      </c>
      <c r="H3" s="3530" t="s">
        <v>3989</v>
      </c>
      <c r="I3" s="3531" t="s">
        <v>3990</v>
      </c>
      <c r="J3" s="3530" t="s">
        <v>3991</v>
      </c>
      <c r="K3" s="3530" t="s">
        <v>3992</v>
      </c>
      <c r="L3" s="3530" t="s">
        <v>3993</v>
      </c>
      <c r="M3" s="3530" t="s">
        <v>3994</v>
      </c>
      <c r="N3" s="3530" t="s">
        <v>3995</v>
      </c>
      <c r="O3" s="3530" t="s">
        <v>3996</v>
      </c>
    </row>
    <row r="4" spans="1:15">
      <c r="A4" s="3532">
        <v>1</v>
      </c>
      <c r="B4" s="3533" t="s">
        <v>3997</v>
      </c>
      <c r="C4" s="3534">
        <v>86.89</v>
      </c>
      <c r="D4" s="3663" t="s">
        <v>3391</v>
      </c>
      <c r="E4" s="3533" t="s">
        <v>3998</v>
      </c>
      <c r="F4" s="3535">
        <v>86.91</v>
      </c>
      <c r="G4" s="3536" t="s">
        <v>3431</v>
      </c>
      <c r="H4" s="3664" t="s">
        <v>3999</v>
      </c>
      <c r="I4" s="3665"/>
      <c r="J4" s="3665" t="s">
        <v>4000</v>
      </c>
      <c r="K4" s="3665" t="s">
        <v>4001</v>
      </c>
      <c r="L4" s="3665" t="s">
        <v>4002</v>
      </c>
      <c r="M4" s="3665" t="s">
        <v>4002</v>
      </c>
      <c r="N4" s="3665" t="s">
        <v>4003</v>
      </c>
      <c r="O4" s="3666"/>
    </row>
    <row r="5" spans="1:15">
      <c r="A5" s="3532">
        <v>2</v>
      </c>
      <c r="B5" s="3537" t="s">
        <v>4004</v>
      </c>
      <c r="C5" s="3534">
        <v>86.89</v>
      </c>
      <c r="D5" s="3663"/>
      <c r="E5" s="3533" t="s">
        <v>4005</v>
      </c>
      <c r="F5" s="3535">
        <v>86.91</v>
      </c>
      <c r="G5" s="3536" t="s">
        <v>3431</v>
      </c>
      <c r="H5" s="3664"/>
      <c r="I5" s="3665"/>
      <c r="J5" s="3665"/>
      <c r="K5" s="3665"/>
      <c r="L5" s="3665"/>
      <c r="M5" s="3665"/>
      <c r="N5" s="3665"/>
      <c r="O5" s="3666"/>
    </row>
    <row r="6" spans="1:15" s="3543" customFormat="1">
      <c r="A6" s="3538" t="s">
        <v>4006</v>
      </c>
      <c r="B6" s="3539"/>
      <c r="C6" s="3540">
        <f>SUBTOTAL(9,C4:C5)</f>
        <v>173.78</v>
      </c>
      <c r="D6" s="3663"/>
      <c r="E6" s="3533" t="s">
        <v>4007</v>
      </c>
      <c r="F6" s="3541">
        <f>SUBTOTAL(9,F4:F5)</f>
        <v>173.82</v>
      </c>
      <c r="G6" s="3542"/>
      <c r="H6" s="3664"/>
      <c r="I6" s="3665"/>
      <c r="J6" s="3665"/>
      <c r="K6" s="3665"/>
      <c r="L6" s="3665"/>
      <c r="M6" s="3665"/>
      <c r="N6" s="3665"/>
      <c r="O6" s="3666"/>
    </row>
    <row r="7" spans="1:15">
      <c r="A7" s="3532">
        <v>1</v>
      </c>
      <c r="B7" s="3537" t="s">
        <v>4008</v>
      </c>
      <c r="C7" s="3544">
        <v>86.98</v>
      </c>
      <c r="D7" s="3654" t="s">
        <v>3393</v>
      </c>
      <c r="E7" s="3533" t="s">
        <v>4009</v>
      </c>
      <c r="F7" s="3535">
        <v>86.99</v>
      </c>
      <c r="G7" s="3536" t="s">
        <v>3431</v>
      </c>
      <c r="H7" s="3664"/>
      <c r="I7" s="3665"/>
      <c r="J7" s="3665"/>
      <c r="K7" s="3665"/>
      <c r="L7" s="3665"/>
      <c r="M7" s="3665"/>
      <c r="N7" s="3665"/>
      <c r="O7" s="3666"/>
    </row>
    <row r="8" spans="1:15">
      <c r="A8" s="3532">
        <v>2</v>
      </c>
      <c r="B8" s="3537" t="s">
        <v>4010</v>
      </c>
      <c r="C8" s="3544">
        <v>89.64</v>
      </c>
      <c r="D8" s="3654"/>
      <c r="E8" s="3533" t="s">
        <v>4011</v>
      </c>
      <c r="F8" s="3535">
        <v>89.65</v>
      </c>
      <c r="G8" s="3536" t="s">
        <v>3431</v>
      </c>
      <c r="H8" s="3664"/>
      <c r="I8" s="3665"/>
      <c r="J8" s="3665"/>
      <c r="K8" s="3665"/>
      <c r="L8" s="3665"/>
      <c r="M8" s="3665"/>
      <c r="N8" s="3665"/>
      <c r="O8" s="3666"/>
    </row>
    <row r="9" spans="1:15">
      <c r="A9" s="3532">
        <v>3</v>
      </c>
      <c r="B9" s="3537" t="s">
        <v>4012</v>
      </c>
      <c r="C9" s="3544">
        <v>86.98</v>
      </c>
      <c r="D9" s="3654"/>
      <c r="E9" s="3533" t="s">
        <v>4013</v>
      </c>
      <c r="F9" s="3535">
        <v>86.99</v>
      </c>
      <c r="G9" s="3536" t="s">
        <v>3431</v>
      </c>
      <c r="H9" s="3664"/>
      <c r="I9" s="3665"/>
      <c r="J9" s="3665"/>
      <c r="K9" s="3665"/>
      <c r="L9" s="3665"/>
      <c r="M9" s="3665"/>
      <c r="N9" s="3665"/>
      <c r="O9" s="3666"/>
    </row>
    <row r="10" spans="1:15">
      <c r="A10" s="3532">
        <v>4</v>
      </c>
      <c r="B10" s="3537" t="s">
        <v>4014</v>
      </c>
      <c r="C10" s="3544">
        <v>89.64</v>
      </c>
      <c r="D10" s="3654"/>
      <c r="E10" s="3533" t="s">
        <v>4015</v>
      </c>
      <c r="F10" s="3535">
        <v>89.65</v>
      </c>
      <c r="G10" s="3536" t="s">
        <v>3431</v>
      </c>
      <c r="H10" s="3664"/>
      <c r="I10" s="3665"/>
      <c r="J10" s="3665"/>
      <c r="K10" s="3665"/>
      <c r="L10" s="3665"/>
      <c r="M10" s="3665"/>
      <c r="N10" s="3665"/>
      <c r="O10" s="3666"/>
    </row>
    <row r="11" spans="1:15">
      <c r="A11" s="3532">
        <v>5</v>
      </c>
      <c r="B11" s="3537" t="s">
        <v>4016</v>
      </c>
      <c r="C11" s="3544">
        <v>86.98</v>
      </c>
      <c r="D11" s="3654"/>
      <c r="E11" s="3533" t="s">
        <v>4017</v>
      </c>
      <c r="F11" s="3535">
        <v>86.99</v>
      </c>
      <c r="G11" s="3536" t="s">
        <v>3431</v>
      </c>
      <c r="H11" s="3664"/>
      <c r="I11" s="3665"/>
      <c r="J11" s="3665"/>
      <c r="K11" s="3665"/>
      <c r="L11" s="3665"/>
      <c r="M11" s="3665"/>
      <c r="N11" s="3665"/>
      <c r="O11" s="3666"/>
    </row>
    <row r="12" spans="1:15">
      <c r="A12" s="3532">
        <v>6</v>
      </c>
      <c r="B12" s="3537" t="s">
        <v>4018</v>
      </c>
      <c r="C12" s="3544">
        <v>89.64</v>
      </c>
      <c r="D12" s="3654"/>
      <c r="E12" s="3533" t="s">
        <v>4019</v>
      </c>
      <c r="F12" s="3535">
        <v>89.65</v>
      </c>
      <c r="G12" s="3536" t="s">
        <v>3431</v>
      </c>
      <c r="H12" s="3664"/>
      <c r="I12" s="3665"/>
      <c r="J12" s="3665"/>
      <c r="K12" s="3665"/>
      <c r="L12" s="3665"/>
      <c r="M12" s="3665"/>
      <c r="N12" s="3665"/>
      <c r="O12" s="3666"/>
    </row>
    <row r="13" spans="1:15">
      <c r="A13" s="3532">
        <v>7</v>
      </c>
      <c r="B13" s="3537" t="s">
        <v>4020</v>
      </c>
      <c r="C13" s="3544">
        <v>86.98</v>
      </c>
      <c r="D13" s="3654"/>
      <c r="E13" s="3533" t="s">
        <v>4021</v>
      </c>
      <c r="F13" s="3535">
        <v>86.99</v>
      </c>
      <c r="G13" s="3536" t="s">
        <v>3431</v>
      </c>
      <c r="H13" s="3664"/>
      <c r="I13" s="3665"/>
      <c r="J13" s="3665"/>
      <c r="K13" s="3665"/>
      <c r="L13" s="3665"/>
      <c r="M13" s="3665"/>
      <c r="N13" s="3665"/>
      <c r="O13" s="3666"/>
    </row>
    <row r="14" spans="1:15">
      <c r="A14" s="3532">
        <v>8</v>
      </c>
      <c r="B14" s="3537" t="s">
        <v>4022</v>
      </c>
      <c r="C14" s="3544">
        <v>89.64</v>
      </c>
      <c r="D14" s="3654"/>
      <c r="E14" s="3533" t="s">
        <v>4023</v>
      </c>
      <c r="F14" s="3535">
        <v>89.65</v>
      </c>
      <c r="G14" s="3536" t="s">
        <v>3431</v>
      </c>
      <c r="H14" s="3664"/>
      <c r="I14" s="3665"/>
      <c r="J14" s="3665"/>
      <c r="K14" s="3665"/>
      <c r="L14" s="3665"/>
      <c r="M14" s="3665"/>
      <c r="N14" s="3665"/>
      <c r="O14" s="3666"/>
    </row>
    <row r="15" spans="1:15">
      <c r="A15" s="3532">
        <v>9</v>
      </c>
      <c r="B15" s="3537" t="s">
        <v>4024</v>
      </c>
      <c r="C15" s="3544">
        <v>86.98</v>
      </c>
      <c r="D15" s="3654"/>
      <c r="E15" s="3533" t="s">
        <v>4025</v>
      </c>
      <c r="F15" s="3535">
        <v>86.99</v>
      </c>
      <c r="G15" s="3536" t="s">
        <v>3431</v>
      </c>
      <c r="H15" s="3664"/>
      <c r="I15" s="3665"/>
      <c r="J15" s="3665"/>
      <c r="K15" s="3665"/>
      <c r="L15" s="3665"/>
      <c r="M15" s="3665"/>
      <c r="N15" s="3665"/>
      <c r="O15" s="3666"/>
    </row>
    <row r="16" spans="1:15">
      <c r="A16" s="3532">
        <v>10</v>
      </c>
      <c r="B16" s="3537" t="s">
        <v>4026</v>
      </c>
      <c r="C16" s="3544">
        <v>86.98</v>
      </c>
      <c r="D16" s="3654"/>
      <c r="E16" s="3533" t="s">
        <v>4027</v>
      </c>
      <c r="F16" s="3535">
        <v>86.99</v>
      </c>
      <c r="G16" s="3536" t="s">
        <v>3431</v>
      </c>
      <c r="H16" s="3664"/>
      <c r="I16" s="3665"/>
      <c r="J16" s="3665"/>
      <c r="K16" s="3665"/>
      <c r="L16" s="3665"/>
      <c r="M16" s="3665"/>
      <c r="N16" s="3665"/>
      <c r="O16" s="3666"/>
    </row>
    <row r="17" spans="1:15">
      <c r="A17" s="3532">
        <v>11</v>
      </c>
      <c r="B17" s="3537" t="s">
        <v>4028</v>
      </c>
      <c r="C17" s="3544">
        <v>89.64</v>
      </c>
      <c r="D17" s="3654"/>
      <c r="E17" s="3533" t="s">
        <v>4029</v>
      </c>
      <c r="F17" s="3535">
        <v>89.65</v>
      </c>
      <c r="G17" s="3536" t="s">
        <v>3431</v>
      </c>
      <c r="H17" s="3664"/>
      <c r="I17" s="3665"/>
      <c r="J17" s="3665"/>
      <c r="K17" s="3665"/>
      <c r="L17" s="3665"/>
      <c r="M17" s="3665"/>
      <c r="N17" s="3665"/>
      <c r="O17" s="3666"/>
    </row>
    <row r="18" spans="1:15" ht="15" customHeight="1">
      <c r="A18" s="3532">
        <v>12</v>
      </c>
      <c r="B18" s="3537" t="s">
        <v>4030</v>
      </c>
      <c r="C18" s="3544">
        <v>86.98</v>
      </c>
      <c r="D18" s="3654"/>
      <c r="E18" s="3533" t="s">
        <v>4031</v>
      </c>
      <c r="F18" s="3535">
        <v>86.99</v>
      </c>
      <c r="G18" s="3536" t="s">
        <v>3431</v>
      </c>
      <c r="H18" s="3664"/>
      <c r="I18" s="3665"/>
      <c r="J18" s="3665"/>
      <c r="K18" s="3665"/>
      <c r="L18" s="3665"/>
      <c r="M18" s="3665"/>
      <c r="N18" s="3665"/>
      <c r="O18" s="3666"/>
    </row>
    <row r="19" spans="1:15">
      <c r="A19" s="3532">
        <v>13</v>
      </c>
      <c r="B19" s="3537" t="s">
        <v>4032</v>
      </c>
      <c r="C19" s="3544">
        <v>86.98</v>
      </c>
      <c r="D19" s="3654"/>
      <c r="E19" s="3533" t="s">
        <v>4033</v>
      </c>
      <c r="F19" s="3535">
        <v>86.99</v>
      </c>
      <c r="G19" s="3536" t="s">
        <v>3431</v>
      </c>
      <c r="H19" s="3664"/>
      <c r="I19" s="3665"/>
      <c r="J19" s="3665"/>
      <c r="K19" s="3665"/>
      <c r="L19" s="3665"/>
      <c r="M19" s="3665"/>
      <c r="N19" s="3665"/>
      <c r="O19" s="3666"/>
    </row>
    <row r="20" spans="1:15">
      <c r="A20" s="3532">
        <v>14</v>
      </c>
      <c r="B20" s="3537" t="s">
        <v>4034</v>
      </c>
      <c r="C20" s="3544">
        <v>86.98</v>
      </c>
      <c r="D20" s="3654"/>
      <c r="E20" s="3533" t="s">
        <v>4035</v>
      </c>
      <c r="F20" s="3535">
        <v>86.99</v>
      </c>
      <c r="G20" s="3536" t="s">
        <v>3431</v>
      </c>
      <c r="H20" s="3664"/>
      <c r="I20" s="3665"/>
      <c r="J20" s="3665"/>
      <c r="K20" s="3665"/>
      <c r="L20" s="3665"/>
      <c r="M20" s="3665"/>
      <c r="N20" s="3665"/>
      <c r="O20" s="3666"/>
    </row>
    <row r="21" spans="1:15">
      <c r="A21" s="3532">
        <v>15</v>
      </c>
      <c r="B21" s="3537" t="s">
        <v>4036</v>
      </c>
      <c r="C21" s="3544">
        <v>89.64</v>
      </c>
      <c r="D21" s="3654"/>
      <c r="E21" s="3533" t="s">
        <v>4037</v>
      </c>
      <c r="F21" s="3535">
        <v>89.65</v>
      </c>
      <c r="G21" s="3536" t="s">
        <v>3431</v>
      </c>
      <c r="H21" s="3664"/>
      <c r="I21" s="3665"/>
      <c r="J21" s="3665"/>
      <c r="K21" s="3665"/>
      <c r="L21" s="3665"/>
      <c r="M21" s="3665"/>
      <c r="N21" s="3665"/>
      <c r="O21" s="3666"/>
    </row>
    <row r="22" spans="1:15">
      <c r="A22" s="3532">
        <v>16</v>
      </c>
      <c r="B22" s="3537" t="s">
        <v>4038</v>
      </c>
      <c r="C22" s="3545">
        <v>86.91</v>
      </c>
      <c r="D22" s="3654"/>
      <c r="E22" s="3533" t="s">
        <v>4039</v>
      </c>
      <c r="F22" s="3535">
        <v>86.93</v>
      </c>
      <c r="G22" s="3536" t="s">
        <v>3431</v>
      </c>
      <c r="H22" s="3664"/>
      <c r="I22" s="3665"/>
      <c r="J22" s="3665"/>
      <c r="K22" s="3665"/>
      <c r="L22" s="3665"/>
      <c r="M22" s="3665"/>
      <c r="N22" s="3665"/>
      <c r="O22" s="3666"/>
    </row>
    <row r="23" spans="1:15">
      <c r="A23" s="3532">
        <v>17</v>
      </c>
      <c r="B23" s="3537" t="s">
        <v>4040</v>
      </c>
      <c r="C23" s="3545">
        <v>86.91</v>
      </c>
      <c r="D23" s="3654"/>
      <c r="E23" s="3533" t="s">
        <v>4041</v>
      </c>
      <c r="F23" s="3535">
        <v>86.93</v>
      </c>
      <c r="G23" s="3536" t="s">
        <v>3431</v>
      </c>
      <c r="H23" s="3664"/>
      <c r="I23" s="3665"/>
      <c r="J23" s="3665"/>
      <c r="K23" s="3665"/>
      <c r="L23" s="3665"/>
      <c r="M23" s="3665"/>
      <c r="N23" s="3665"/>
      <c r="O23" s="3666"/>
    </row>
    <row r="24" spans="1:15">
      <c r="A24" s="3532">
        <v>18</v>
      </c>
      <c r="B24" s="3537" t="s">
        <v>4042</v>
      </c>
      <c r="C24" s="3545">
        <v>86.91</v>
      </c>
      <c r="D24" s="3654"/>
      <c r="E24" s="3533" t="s">
        <v>4043</v>
      </c>
      <c r="F24" s="3535">
        <v>86.93</v>
      </c>
      <c r="G24" s="3536" t="s">
        <v>3431</v>
      </c>
      <c r="H24" s="3664"/>
      <c r="I24" s="3665"/>
      <c r="J24" s="3665"/>
      <c r="K24" s="3665"/>
      <c r="L24" s="3665"/>
      <c r="M24" s="3665"/>
      <c r="N24" s="3665"/>
      <c r="O24" s="3666"/>
    </row>
    <row r="25" spans="1:15">
      <c r="A25" s="3532">
        <v>19</v>
      </c>
      <c r="B25" s="3537" t="s">
        <v>4044</v>
      </c>
      <c r="C25" s="3544">
        <v>82.96</v>
      </c>
      <c r="D25" s="3654"/>
      <c r="E25" s="3533" t="s">
        <v>4045</v>
      </c>
      <c r="F25" s="3535">
        <v>82.98</v>
      </c>
      <c r="G25" s="3536" t="s">
        <v>3431</v>
      </c>
      <c r="H25" s="3664"/>
      <c r="I25" s="3665"/>
      <c r="J25" s="3665"/>
      <c r="K25" s="3665"/>
      <c r="L25" s="3665"/>
      <c r="M25" s="3665"/>
      <c r="N25" s="3665"/>
      <c r="O25" s="3666"/>
    </row>
    <row r="26" spans="1:15">
      <c r="A26" s="3532">
        <v>20</v>
      </c>
      <c r="B26" s="3537" t="s">
        <v>4046</v>
      </c>
      <c r="C26" s="3545">
        <v>86.91</v>
      </c>
      <c r="D26" s="3654"/>
      <c r="E26" s="3533" t="s">
        <v>4047</v>
      </c>
      <c r="F26" s="3535">
        <v>86.93</v>
      </c>
      <c r="G26" s="3536" t="s">
        <v>3431</v>
      </c>
      <c r="H26" s="3664"/>
      <c r="I26" s="3665"/>
      <c r="J26" s="3665"/>
      <c r="K26" s="3665"/>
      <c r="L26" s="3665"/>
      <c r="M26" s="3665"/>
      <c r="N26" s="3665"/>
      <c r="O26" s="3666"/>
    </row>
    <row r="27" spans="1:15" s="3543" customFormat="1">
      <c r="A27" s="3538" t="s">
        <v>4006</v>
      </c>
      <c r="B27" s="3539"/>
      <c r="C27" s="3546">
        <f>SUBTOTAL(9,C7:C26)</f>
        <v>1751.2600000000004</v>
      </c>
      <c r="D27" s="3654"/>
      <c r="E27" s="3533" t="s">
        <v>4007</v>
      </c>
      <c r="F27" s="3541">
        <f>SUBTOTAL(9,F7:F26)</f>
        <v>1751.5100000000002</v>
      </c>
      <c r="G27" s="3542"/>
      <c r="H27" s="3664"/>
      <c r="I27" s="3665"/>
      <c r="J27" s="3665"/>
      <c r="K27" s="3665"/>
      <c r="L27" s="3665"/>
      <c r="M27" s="3665"/>
      <c r="N27" s="3665"/>
      <c r="O27" s="3666"/>
    </row>
    <row r="28" spans="1:15">
      <c r="A28" s="3532">
        <v>1</v>
      </c>
      <c r="B28" s="3533" t="s">
        <v>4048</v>
      </c>
      <c r="C28" s="3534">
        <v>87.02</v>
      </c>
      <c r="D28" s="3653" t="s">
        <v>3392</v>
      </c>
      <c r="E28" s="3533" t="s">
        <v>4049</v>
      </c>
      <c r="F28" s="3535">
        <v>87.04</v>
      </c>
      <c r="G28" s="3536" t="s">
        <v>3431</v>
      </c>
      <c r="H28" s="3664"/>
      <c r="I28" s="3665"/>
      <c r="J28" s="3665"/>
      <c r="K28" s="3665"/>
      <c r="L28" s="3665"/>
      <c r="M28" s="3665"/>
      <c r="N28" s="3665"/>
      <c r="O28" s="3666"/>
    </row>
    <row r="29" spans="1:15">
      <c r="A29" s="3532">
        <v>2</v>
      </c>
      <c r="B29" s="3533" t="s">
        <v>4050</v>
      </c>
      <c r="C29" s="3534">
        <v>89.69</v>
      </c>
      <c r="D29" s="3654"/>
      <c r="E29" s="3533" t="s">
        <v>4051</v>
      </c>
      <c r="F29" s="3535">
        <v>89.7</v>
      </c>
      <c r="G29" s="3536" t="s">
        <v>3431</v>
      </c>
      <c r="H29" s="3664"/>
      <c r="I29" s="3665"/>
      <c r="J29" s="3665"/>
      <c r="K29" s="3665"/>
      <c r="L29" s="3665"/>
      <c r="M29" s="3665"/>
      <c r="N29" s="3665"/>
      <c r="O29" s="3666"/>
    </row>
    <row r="30" spans="1:15" s="3543" customFormat="1">
      <c r="A30" s="3538" t="s">
        <v>4006</v>
      </c>
      <c r="B30" s="3547"/>
      <c r="C30" s="3540">
        <f>SUBTOTAL(9,C28:C29)</f>
        <v>176.70999999999998</v>
      </c>
      <c r="D30" s="3654"/>
      <c r="E30" s="3533" t="s">
        <v>4007</v>
      </c>
      <c r="F30" s="3541">
        <f>SUBTOTAL(9,F28:F29)</f>
        <v>176.74</v>
      </c>
      <c r="G30" s="3542"/>
      <c r="H30" s="3664"/>
      <c r="I30" s="3665"/>
      <c r="J30" s="3665"/>
      <c r="K30" s="3665"/>
      <c r="L30" s="3665"/>
      <c r="M30" s="3665"/>
      <c r="N30" s="3665"/>
      <c r="O30" s="3666"/>
    </row>
    <row r="31" spans="1:15">
      <c r="A31" s="3532">
        <v>1</v>
      </c>
      <c r="B31" s="3533" t="s">
        <v>4052</v>
      </c>
      <c r="C31" s="3534">
        <v>86.91</v>
      </c>
      <c r="D31" s="3653" t="s">
        <v>3385</v>
      </c>
      <c r="E31" s="3533" t="s">
        <v>4053</v>
      </c>
      <c r="F31" s="3535">
        <v>86.93</v>
      </c>
      <c r="G31" s="3536" t="s">
        <v>3431</v>
      </c>
      <c r="H31" s="3664"/>
      <c r="I31" s="3665"/>
      <c r="J31" s="3665"/>
      <c r="K31" s="3665"/>
      <c r="L31" s="3665"/>
      <c r="M31" s="3665"/>
      <c r="N31" s="3665"/>
      <c r="O31" s="3666"/>
    </row>
    <row r="32" spans="1:15">
      <c r="A32" s="3532">
        <v>2</v>
      </c>
      <c r="B32" s="3533" t="s">
        <v>4054</v>
      </c>
      <c r="C32" s="3534">
        <v>86.91</v>
      </c>
      <c r="D32" s="3654"/>
      <c r="E32" s="3533" t="s">
        <v>4055</v>
      </c>
      <c r="F32" s="3535">
        <v>86.93</v>
      </c>
      <c r="G32" s="3536" t="s">
        <v>3431</v>
      </c>
      <c r="H32" s="3664"/>
      <c r="I32" s="3665"/>
      <c r="J32" s="3665"/>
      <c r="K32" s="3665"/>
      <c r="L32" s="3665"/>
      <c r="M32" s="3665"/>
      <c r="N32" s="3665"/>
      <c r="O32" s="3666"/>
    </row>
    <row r="33" spans="1:15">
      <c r="A33" s="3532">
        <v>3</v>
      </c>
      <c r="B33" s="3533" t="s">
        <v>4056</v>
      </c>
      <c r="C33" s="3534">
        <v>86.91</v>
      </c>
      <c r="D33" s="3654"/>
      <c r="E33" s="3533" t="s">
        <v>4057</v>
      </c>
      <c r="F33" s="3535">
        <v>86.93</v>
      </c>
      <c r="G33" s="3536" t="s">
        <v>3431</v>
      </c>
      <c r="H33" s="3664"/>
      <c r="I33" s="3665"/>
      <c r="J33" s="3665"/>
      <c r="K33" s="3665"/>
      <c r="L33" s="3665"/>
      <c r="M33" s="3665"/>
      <c r="N33" s="3665"/>
      <c r="O33" s="3666"/>
    </row>
    <row r="34" spans="1:15">
      <c r="A34" s="3532">
        <v>4</v>
      </c>
      <c r="B34" s="3533" t="s">
        <v>4058</v>
      </c>
      <c r="C34" s="3534">
        <v>86.91</v>
      </c>
      <c r="D34" s="3654"/>
      <c r="E34" s="3533" t="s">
        <v>4059</v>
      </c>
      <c r="F34" s="3535">
        <v>86.93</v>
      </c>
      <c r="G34" s="3536" t="s">
        <v>3431</v>
      </c>
      <c r="H34" s="3664"/>
      <c r="I34" s="3665"/>
      <c r="J34" s="3665"/>
      <c r="K34" s="3665"/>
      <c r="L34" s="3665"/>
      <c r="M34" s="3665"/>
      <c r="N34" s="3665"/>
      <c r="O34" s="3666"/>
    </row>
    <row r="35" spans="1:15">
      <c r="A35" s="3532">
        <v>5</v>
      </c>
      <c r="B35" s="3537" t="s">
        <v>4060</v>
      </c>
      <c r="C35" s="3534">
        <v>86.91</v>
      </c>
      <c r="D35" s="3654"/>
      <c r="E35" s="3533" t="s">
        <v>4061</v>
      </c>
      <c r="F35" s="3535">
        <v>86.93</v>
      </c>
      <c r="G35" s="3536" t="s">
        <v>3431</v>
      </c>
      <c r="H35" s="3664"/>
      <c r="I35" s="3665"/>
      <c r="J35" s="3665"/>
      <c r="K35" s="3665"/>
      <c r="L35" s="3665"/>
      <c r="M35" s="3665"/>
      <c r="N35" s="3665"/>
      <c r="O35" s="3666"/>
    </row>
    <row r="36" spans="1:15">
      <c r="A36" s="3532">
        <v>6</v>
      </c>
      <c r="B36" s="3537" t="s">
        <v>4062</v>
      </c>
      <c r="C36" s="3534">
        <v>89.64</v>
      </c>
      <c r="D36" s="3654"/>
      <c r="E36" s="3533" t="s">
        <v>4063</v>
      </c>
      <c r="F36" s="3535">
        <v>89.65</v>
      </c>
      <c r="G36" s="3536" t="s">
        <v>3431</v>
      </c>
      <c r="H36" s="3664"/>
      <c r="I36" s="3665"/>
      <c r="J36" s="3665"/>
      <c r="K36" s="3665"/>
      <c r="L36" s="3665"/>
      <c r="M36" s="3665"/>
      <c r="N36" s="3665"/>
      <c r="O36" s="3666"/>
    </row>
    <row r="37" spans="1:15">
      <c r="A37" s="3532">
        <v>7</v>
      </c>
      <c r="B37" s="3537" t="s">
        <v>4064</v>
      </c>
      <c r="C37" s="3534">
        <v>89.64</v>
      </c>
      <c r="D37" s="3654"/>
      <c r="E37" s="3533" t="s">
        <v>4065</v>
      </c>
      <c r="F37" s="3535">
        <v>89.65</v>
      </c>
      <c r="G37" s="3536" t="s">
        <v>3431</v>
      </c>
      <c r="H37" s="3664"/>
      <c r="I37" s="3665"/>
      <c r="J37" s="3665"/>
      <c r="K37" s="3665"/>
      <c r="L37" s="3665"/>
      <c r="M37" s="3665"/>
      <c r="N37" s="3665"/>
      <c r="O37" s="3666"/>
    </row>
    <row r="38" spans="1:15">
      <c r="A38" s="3532">
        <v>8</v>
      </c>
      <c r="B38" s="3537" t="s">
        <v>4066</v>
      </c>
      <c r="C38" s="3534">
        <v>89.64</v>
      </c>
      <c r="D38" s="3654"/>
      <c r="E38" s="3533" t="s">
        <v>4067</v>
      </c>
      <c r="F38" s="3535">
        <v>89.65</v>
      </c>
      <c r="G38" s="3536" t="s">
        <v>3431</v>
      </c>
      <c r="H38" s="3664"/>
      <c r="I38" s="3665"/>
      <c r="J38" s="3665"/>
      <c r="K38" s="3665"/>
      <c r="L38" s="3665"/>
      <c r="M38" s="3665"/>
      <c r="N38" s="3665"/>
      <c r="O38" s="3666"/>
    </row>
    <row r="39" spans="1:15">
      <c r="A39" s="3532">
        <v>9</v>
      </c>
      <c r="B39" s="3537" t="s">
        <v>4068</v>
      </c>
      <c r="C39" s="3534">
        <v>89.64</v>
      </c>
      <c r="D39" s="3654"/>
      <c r="E39" s="3533" t="s">
        <v>4069</v>
      </c>
      <c r="F39" s="3535">
        <v>89.65</v>
      </c>
      <c r="G39" s="3536" t="s">
        <v>3431</v>
      </c>
      <c r="H39" s="3664"/>
      <c r="I39" s="3665"/>
      <c r="J39" s="3665"/>
      <c r="K39" s="3665"/>
      <c r="L39" s="3665"/>
      <c r="M39" s="3665"/>
      <c r="N39" s="3665"/>
      <c r="O39" s="3666"/>
    </row>
    <row r="40" spans="1:15">
      <c r="A40" s="3532">
        <v>10</v>
      </c>
      <c r="B40" s="3537" t="s">
        <v>4070</v>
      </c>
      <c r="C40" s="3534">
        <v>86.98</v>
      </c>
      <c r="D40" s="3654"/>
      <c r="E40" s="3533" t="s">
        <v>4071</v>
      </c>
      <c r="F40" s="3535">
        <v>86.99</v>
      </c>
      <c r="G40" s="3536" t="s">
        <v>3431</v>
      </c>
      <c r="H40" s="3664"/>
      <c r="I40" s="3665"/>
      <c r="J40" s="3665"/>
      <c r="K40" s="3665"/>
      <c r="L40" s="3665"/>
      <c r="M40" s="3665"/>
      <c r="N40" s="3665"/>
      <c r="O40" s="3666"/>
    </row>
    <row r="41" spans="1:15" s="3543" customFormat="1">
      <c r="A41" s="3538" t="s">
        <v>4006</v>
      </c>
      <c r="B41" s="3539"/>
      <c r="C41" s="3540">
        <f>SUBTOTAL(9,C31:C40)</f>
        <v>880.08999999999992</v>
      </c>
      <c r="D41" s="3654"/>
      <c r="E41" s="3533" t="s">
        <v>4007</v>
      </c>
      <c r="F41" s="3541">
        <f>SUBTOTAL(9,F31:F40)</f>
        <v>880.24</v>
      </c>
      <c r="G41" s="3542"/>
      <c r="H41" s="3664"/>
      <c r="I41" s="3665"/>
      <c r="J41" s="3665"/>
      <c r="K41" s="3665"/>
      <c r="L41" s="3665"/>
      <c r="M41" s="3665"/>
      <c r="N41" s="3665"/>
      <c r="O41" s="3666"/>
    </row>
    <row r="42" spans="1:15">
      <c r="A42" s="3532">
        <v>1</v>
      </c>
      <c r="B42" s="3537" t="s">
        <v>4072</v>
      </c>
      <c r="C42" s="3534">
        <v>87.02</v>
      </c>
      <c r="D42" s="3653" t="s">
        <v>3384</v>
      </c>
      <c r="E42" s="3533" t="s">
        <v>4073</v>
      </c>
      <c r="F42" s="3535">
        <v>87.04</v>
      </c>
      <c r="G42" s="3536" t="s">
        <v>3431</v>
      </c>
      <c r="H42" s="3664"/>
      <c r="I42" s="3665"/>
      <c r="J42" s="3665"/>
      <c r="K42" s="3665"/>
      <c r="L42" s="3665"/>
      <c r="M42" s="3665"/>
      <c r="N42" s="3665"/>
      <c r="O42" s="3666"/>
    </row>
    <row r="43" spans="1:15">
      <c r="A43" s="3532">
        <v>2</v>
      </c>
      <c r="B43" s="3537" t="s">
        <v>4074</v>
      </c>
      <c r="C43" s="3534">
        <v>89.69</v>
      </c>
      <c r="D43" s="3654"/>
      <c r="E43" s="3533" t="s">
        <v>4075</v>
      </c>
      <c r="F43" s="3535">
        <v>89.7</v>
      </c>
      <c r="G43" s="3536" t="s">
        <v>3431</v>
      </c>
      <c r="H43" s="3664"/>
      <c r="I43" s="3665"/>
      <c r="J43" s="3665"/>
      <c r="K43" s="3665"/>
      <c r="L43" s="3665"/>
      <c r="M43" s="3665"/>
      <c r="N43" s="3665"/>
      <c r="O43" s="3666"/>
    </row>
    <row r="44" spans="1:15">
      <c r="A44" s="3532">
        <v>3</v>
      </c>
      <c r="B44" s="3537" t="s">
        <v>4076</v>
      </c>
      <c r="C44" s="3534">
        <v>87.02</v>
      </c>
      <c r="D44" s="3654"/>
      <c r="E44" s="3533" t="s">
        <v>4077</v>
      </c>
      <c r="F44" s="3535">
        <v>87.04</v>
      </c>
      <c r="G44" s="3536" t="s">
        <v>3431</v>
      </c>
      <c r="H44" s="3664"/>
      <c r="I44" s="3665"/>
      <c r="J44" s="3665"/>
      <c r="K44" s="3665"/>
      <c r="L44" s="3665"/>
      <c r="M44" s="3665"/>
      <c r="N44" s="3665"/>
      <c r="O44" s="3666"/>
    </row>
    <row r="45" spans="1:15">
      <c r="A45" s="3532">
        <v>4</v>
      </c>
      <c r="B45" s="3537" t="s">
        <v>4078</v>
      </c>
      <c r="C45" s="3534">
        <v>89.69</v>
      </c>
      <c r="D45" s="3654"/>
      <c r="E45" s="3533" t="s">
        <v>4079</v>
      </c>
      <c r="F45" s="3535">
        <v>89.7</v>
      </c>
      <c r="G45" s="3536" t="s">
        <v>3431</v>
      </c>
      <c r="H45" s="3664"/>
      <c r="I45" s="3665"/>
      <c r="J45" s="3665"/>
      <c r="K45" s="3665"/>
      <c r="L45" s="3665"/>
      <c r="M45" s="3665"/>
      <c r="N45" s="3665"/>
      <c r="O45" s="3666"/>
    </row>
    <row r="46" spans="1:15">
      <c r="A46" s="3532">
        <v>5</v>
      </c>
      <c r="B46" s="3537" t="s">
        <v>4080</v>
      </c>
      <c r="C46" s="3534">
        <v>87.02</v>
      </c>
      <c r="D46" s="3654"/>
      <c r="E46" s="3533" t="s">
        <v>4081</v>
      </c>
      <c r="F46" s="3535">
        <v>87.04</v>
      </c>
      <c r="G46" s="3536" t="s">
        <v>3431</v>
      </c>
      <c r="H46" s="3664"/>
      <c r="I46" s="3665"/>
      <c r="J46" s="3665"/>
      <c r="K46" s="3665"/>
      <c r="L46" s="3665"/>
      <c r="M46" s="3665"/>
      <c r="N46" s="3665"/>
      <c r="O46" s="3666"/>
    </row>
    <row r="47" spans="1:15">
      <c r="A47" s="3532">
        <v>6</v>
      </c>
      <c r="B47" s="3537" t="s">
        <v>4082</v>
      </c>
      <c r="C47" s="3534">
        <v>89.69</v>
      </c>
      <c r="D47" s="3654"/>
      <c r="E47" s="3533" t="s">
        <v>4083</v>
      </c>
      <c r="F47" s="3535">
        <v>89.7</v>
      </c>
      <c r="G47" s="3536" t="s">
        <v>3431</v>
      </c>
      <c r="H47" s="3664"/>
      <c r="I47" s="3665"/>
      <c r="J47" s="3665"/>
      <c r="K47" s="3665"/>
      <c r="L47" s="3665"/>
      <c r="M47" s="3665"/>
      <c r="N47" s="3665"/>
      <c r="O47" s="3666"/>
    </row>
    <row r="48" spans="1:15">
      <c r="A48" s="3532">
        <v>7</v>
      </c>
      <c r="B48" s="3537" t="s">
        <v>4084</v>
      </c>
      <c r="C48" s="3534">
        <v>87.02</v>
      </c>
      <c r="D48" s="3654"/>
      <c r="E48" s="3533" t="s">
        <v>4085</v>
      </c>
      <c r="F48" s="3535">
        <v>87.04</v>
      </c>
      <c r="G48" s="3536" t="s">
        <v>3431</v>
      </c>
      <c r="H48" s="3664"/>
      <c r="I48" s="3665"/>
      <c r="J48" s="3665"/>
      <c r="K48" s="3665"/>
      <c r="L48" s="3665"/>
      <c r="M48" s="3665"/>
      <c r="N48" s="3665"/>
      <c r="O48" s="3666"/>
    </row>
    <row r="49" spans="1:15">
      <c r="A49" s="3532">
        <v>8</v>
      </c>
      <c r="B49" s="3537" t="s">
        <v>4086</v>
      </c>
      <c r="C49" s="3534">
        <v>87.02</v>
      </c>
      <c r="D49" s="3654"/>
      <c r="E49" s="3533" t="s">
        <v>4087</v>
      </c>
      <c r="F49" s="3535">
        <v>87.04</v>
      </c>
      <c r="G49" s="3536" t="s">
        <v>3431</v>
      </c>
      <c r="H49" s="3664"/>
      <c r="I49" s="3665"/>
      <c r="J49" s="3665"/>
      <c r="K49" s="3665"/>
      <c r="L49" s="3665"/>
      <c r="M49" s="3665"/>
      <c r="N49" s="3665"/>
      <c r="O49" s="3666"/>
    </row>
    <row r="50" spans="1:15">
      <c r="A50" s="3532">
        <v>9</v>
      </c>
      <c r="B50" s="3537" t="s">
        <v>4088</v>
      </c>
      <c r="C50" s="3534">
        <v>87.02</v>
      </c>
      <c r="D50" s="3654"/>
      <c r="E50" s="3533" t="s">
        <v>4089</v>
      </c>
      <c r="F50" s="3535">
        <v>87.04</v>
      </c>
      <c r="G50" s="3536" t="s">
        <v>3431</v>
      </c>
      <c r="H50" s="3664"/>
      <c r="I50" s="3665"/>
      <c r="J50" s="3665"/>
      <c r="K50" s="3665"/>
      <c r="L50" s="3665"/>
      <c r="M50" s="3665"/>
      <c r="N50" s="3665"/>
      <c r="O50" s="3666"/>
    </row>
    <row r="51" spans="1:15">
      <c r="A51" s="3532">
        <v>10</v>
      </c>
      <c r="B51" s="3537" t="s">
        <v>4090</v>
      </c>
      <c r="C51" s="3534">
        <v>87.02</v>
      </c>
      <c r="D51" s="3654"/>
      <c r="E51" s="3533" t="s">
        <v>4091</v>
      </c>
      <c r="F51" s="3535">
        <v>87.04</v>
      </c>
      <c r="G51" s="3536" t="s">
        <v>3431</v>
      </c>
      <c r="H51" s="3664"/>
      <c r="I51" s="3665"/>
      <c r="J51" s="3665"/>
      <c r="K51" s="3665"/>
      <c r="L51" s="3665"/>
      <c r="M51" s="3665"/>
      <c r="N51" s="3665"/>
      <c r="O51" s="3666"/>
    </row>
    <row r="52" spans="1:15">
      <c r="A52" s="3532">
        <v>11</v>
      </c>
      <c r="B52" s="3537" t="s">
        <v>4092</v>
      </c>
      <c r="C52" s="3534">
        <v>87.02</v>
      </c>
      <c r="D52" s="3654"/>
      <c r="E52" s="3533" t="s">
        <v>4093</v>
      </c>
      <c r="F52" s="3535">
        <v>87.04</v>
      </c>
      <c r="G52" s="3536" t="s">
        <v>3431</v>
      </c>
      <c r="H52" s="3664"/>
      <c r="I52" s="3665"/>
      <c r="J52" s="3665"/>
      <c r="K52" s="3665"/>
      <c r="L52" s="3665"/>
      <c r="M52" s="3665"/>
      <c r="N52" s="3665"/>
      <c r="O52" s="3666"/>
    </row>
    <row r="53" spans="1:15">
      <c r="A53" s="3532">
        <v>12</v>
      </c>
      <c r="B53" s="3537" t="s">
        <v>4094</v>
      </c>
      <c r="C53" s="3534">
        <v>87.02</v>
      </c>
      <c r="D53" s="3654"/>
      <c r="E53" s="3533" t="s">
        <v>4095</v>
      </c>
      <c r="F53" s="3535">
        <v>87.04</v>
      </c>
      <c r="G53" s="3536" t="s">
        <v>3431</v>
      </c>
      <c r="H53" s="3664"/>
      <c r="I53" s="3665"/>
      <c r="J53" s="3665"/>
      <c r="K53" s="3665"/>
      <c r="L53" s="3665"/>
      <c r="M53" s="3665"/>
      <c r="N53" s="3665"/>
      <c r="O53" s="3666"/>
    </row>
    <row r="54" spans="1:15">
      <c r="A54" s="3532">
        <v>13</v>
      </c>
      <c r="B54" s="3537" t="s">
        <v>4096</v>
      </c>
      <c r="C54" s="3534">
        <v>89.69</v>
      </c>
      <c r="D54" s="3654"/>
      <c r="E54" s="3533" t="s">
        <v>4097</v>
      </c>
      <c r="F54" s="3535">
        <v>89.7</v>
      </c>
      <c r="G54" s="3536" t="s">
        <v>3431</v>
      </c>
      <c r="H54" s="3664"/>
      <c r="I54" s="3665"/>
      <c r="J54" s="3665"/>
      <c r="K54" s="3665"/>
      <c r="L54" s="3665"/>
      <c r="M54" s="3665"/>
      <c r="N54" s="3665"/>
      <c r="O54" s="3666"/>
    </row>
    <row r="55" spans="1:15">
      <c r="A55" s="3532">
        <v>14</v>
      </c>
      <c r="B55" s="3537" t="s">
        <v>4098</v>
      </c>
      <c r="C55" s="3534">
        <v>89.69</v>
      </c>
      <c r="D55" s="3654"/>
      <c r="E55" s="3533" t="s">
        <v>4099</v>
      </c>
      <c r="F55" s="3535">
        <v>89.7</v>
      </c>
      <c r="G55" s="3536" t="s">
        <v>3431</v>
      </c>
      <c r="H55" s="3664"/>
      <c r="I55" s="3665"/>
      <c r="J55" s="3665"/>
      <c r="K55" s="3665"/>
      <c r="L55" s="3665"/>
      <c r="M55" s="3665"/>
      <c r="N55" s="3665"/>
      <c r="O55" s="3666"/>
    </row>
    <row r="56" spans="1:15">
      <c r="A56" s="3532">
        <v>15</v>
      </c>
      <c r="B56" s="3537" t="s">
        <v>4100</v>
      </c>
      <c r="C56" s="3534">
        <v>87.02</v>
      </c>
      <c r="D56" s="3654"/>
      <c r="E56" s="3533" t="s">
        <v>4101</v>
      </c>
      <c r="F56" s="3535">
        <v>87.04</v>
      </c>
      <c r="G56" s="3536" t="s">
        <v>3431</v>
      </c>
      <c r="H56" s="3664"/>
      <c r="I56" s="3665"/>
      <c r="J56" s="3665"/>
      <c r="K56" s="3665"/>
      <c r="L56" s="3665"/>
      <c r="M56" s="3665"/>
      <c r="N56" s="3665"/>
      <c r="O56" s="3666"/>
    </row>
    <row r="57" spans="1:15">
      <c r="A57" s="3532">
        <v>16</v>
      </c>
      <c r="B57" s="3537" t="s">
        <v>4102</v>
      </c>
      <c r="C57" s="3534">
        <v>89.69</v>
      </c>
      <c r="D57" s="3654"/>
      <c r="E57" s="3533" t="s">
        <v>4103</v>
      </c>
      <c r="F57" s="3535">
        <v>89.7</v>
      </c>
      <c r="G57" s="3536" t="s">
        <v>3431</v>
      </c>
      <c r="H57" s="3664"/>
      <c r="I57" s="3665"/>
      <c r="J57" s="3665"/>
      <c r="K57" s="3665"/>
      <c r="L57" s="3665"/>
      <c r="M57" s="3665"/>
      <c r="N57" s="3665"/>
      <c r="O57" s="3666"/>
    </row>
    <row r="58" spans="1:15">
      <c r="A58" s="3532">
        <v>17</v>
      </c>
      <c r="B58" s="3537" t="s">
        <v>4104</v>
      </c>
      <c r="C58" s="3534">
        <v>87.02</v>
      </c>
      <c r="D58" s="3654"/>
      <c r="E58" s="3533" t="s">
        <v>4105</v>
      </c>
      <c r="F58" s="3535">
        <v>87.04</v>
      </c>
      <c r="G58" s="3536" t="s">
        <v>3431</v>
      </c>
      <c r="H58" s="3664"/>
      <c r="I58" s="3665"/>
      <c r="J58" s="3665"/>
      <c r="K58" s="3665"/>
      <c r="L58" s="3665"/>
      <c r="M58" s="3665"/>
      <c r="N58" s="3665"/>
      <c r="O58" s="3666"/>
    </row>
    <row r="59" spans="1:15">
      <c r="A59" s="3532">
        <v>18</v>
      </c>
      <c r="B59" s="3537" t="s">
        <v>4106</v>
      </c>
      <c r="C59" s="3534">
        <v>89.69</v>
      </c>
      <c r="D59" s="3654"/>
      <c r="E59" s="3533" t="s">
        <v>4107</v>
      </c>
      <c r="F59" s="3535">
        <v>89.7</v>
      </c>
      <c r="G59" s="3536" t="s">
        <v>3431</v>
      </c>
      <c r="H59" s="3664"/>
      <c r="I59" s="3665"/>
      <c r="J59" s="3665"/>
      <c r="K59" s="3665"/>
      <c r="L59" s="3665"/>
      <c r="M59" s="3665"/>
      <c r="N59" s="3665"/>
      <c r="O59" s="3666"/>
    </row>
    <row r="60" spans="1:15">
      <c r="A60" s="3532">
        <v>19</v>
      </c>
      <c r="B60" s="3537" t="s">
        <v>4108</v>
      </c>
      <c r="C60" s="3534">
        <v>87.02</v>
      </c>
      <c r="D60" s="3654"/>
      <c r="E60" s="3533" t="s">
        <v>4109</v>
      </c>
      <c r="F60" s="3535">
        <v>87.04</v>
      </c>
      <c r="G60" s="3536" t="s">
        <v>3431</v>
      </c>
      <c r="H60" s="3664"/>
      <c r="I60" s="3665"/>
      <c r="J60" s="3665"/>
      <c r="K60" s="3665"/>
      <c r="L60" s="3665"/>
      <c r="M60" s="3665"/>
      <c r="N60" s="3665"/>
      <c r="O60" s="3666"/>
    </row>
    <row r="61" spans="1:15">
      <c r="A61" s="3532">
        <v>20</v>
      </c>
      <c r="B61" s="3537" t="s">
        <v>4110</v>
      </c>
      <c r="C61" s="3534">
        <v>87.02</v>
      </c>
      <c r="D61" s="3654"/>
      <c r="E61" s="3533" t="s">
        <v>4111</v>
      </c>
      <c r="F61" s="3535">
        <v>87.04</v>
      </c>
      <c r="G61" s="3536" t="s">
        <v>3431</v>
      </c>
      <c r="H61" s="3664"/>
      <c r="I61" s="3665"/>
      <c r="J61" s="3665"/>
      <c r="K61" s="3665"/>
      <c r="L61" s="3665"/>
      <c r="M61" s="3665"/>
      <c r="N61" s="3665"/>
      <c r="O61" s="3666"/>
    </row>
    <row r="62" spans="1:15">
      <c r="A62" s="3532">
        <v>21</v>
      </c>
      <c r="B62" s="3537" t="s">
        <v>4112</v>
      </c>
      <c r="C62" s="3534">
        <v>87.02</v>
      </c>
      <c r="D62" s="3654"/>
      <c r="E62" s="3533" t="s">
        <v>4113</v>
      </c>
      <c r="F62" s="3535">
        <v>87.04</v>
      </c>
      <c r="G62" s="3536" t="s">
        <v>3431</v>
      </c>
      <c r="H62" s="3664"/>
      <c r="I62" s="3665"/>
      <c r="J62" s="3665"/>
      <c r="K62" s="3665"/>
      <c r="L62" s="3665"/>
      <c r="M62" s="3665"/>
      <c r="N62" s="3665"/>
      <c r="O62" s="3666"/>
    </row>
    <row r="63" spans="1:15">
      <c r="A63" s="3532">
        <v>22</v>
      </c>
      <c r="B63" s="3537" t="s">
        <v>4114</v>
      </c>
      <c r="C63" s="3534">
        <v>87.02</v>
      </c>
      <c r="D63" s="3654"/>
      <c r="E63" s="3533" t="s">
        <v>4115</v>
      </c>
      <c r="F63" s="3535">
        <v>87.04</v>
      </c>
      <c r="G63" s="3536" t="s">
        <v>3431</v>
      </c>
      <c r="H63" s="3664"/>
      <c r="I63" s="3665"/>
      <c r="J63" s="3665"/>
      <c r="K63" s="3665"/>
      <c r="L63" s="3665"/>
      <c r="M63" s="3665"/>
      <c r="N63" s="3665"/>
      <c r="O63" s="3666"/>
    </row>
    <row r="64" spans="1:15">
      <c r="A64" s="3532">
        <v>23</v>
      </c>
      <c r="B64" s="3537" t="s">
        <v>4116</v>
      </c>
      <c r="C64" s="3534">
        <v>87.02</v>
      </c>
      <c r="D64" s="3654"/>
      <c r="E64" s="3533" t="s">
        <v>4117</v>
      </c>
      <c r="F64" s="3535">
        <v>87.04</v>
      </c>
      <c r="G64" s="3536" t="s">
        <v>3431</v>
      </c>
      <c r="H64" s="3664"/>
      <c r="I64" s="3665"/>
      <c r="J64" s="3665"/>
      <c r="K64" s="3665"/>
      <c r="L64" s="3665"/>
      <c r="M64" s="3665"/>
      <c r="N64" s="3665"/>
      <c r="O64" s="3666"/>
    </row>
    <row r="65" spans="1:15">
      <c r="A65" s="3532">
        <v>24</v>
      </c>
      <c r="B65" s="3537" t="s">
        <v>4118</v>
      </c>
      <c r="C65" s="3534">
        <v>89.69</v>
      </c>
      <c r="D65" s="3654"/>
      <c r="E65" s="3533" t="s">
        <v>4119</v>
      </c>
      <c r="F65" s="3535">
        <v>89.7</v>
      </c>
      <c r="G65" s="3536" t="s">
        <v>3431</v>
      </c>
      <c r="H65" s="3664"/>
      <c r="I65" s="3665"/>
      <c r="J65" s="3665"/>
      <c r="K65" s="3665"/>
      <c r="L65" s="3665"/>
      <c r="M65" s="3665"/>
      <c r="N65" s="3665"/>
      <c r="O65" s="3666"/>
    </row>
    <row r="66" spans="1:15">
      <c r="A66" s="3532">
        <v>25</v>
      </c>
      <c r="B66" s="3537" t="s">
        <v>4120</v>
      </c>
      <c r="C66" s="3534">
        <v>87.02</v>
      </c>
      <c r="D66" s="3654"/>
      <c r="E66" s="3533" t="s">
        <v>4121</v>
      </c>
      <c r="F66" s="3535">
        <v>87.04</v>
      </c>
      <c r="G66" s="3536" t="s">
        <v>3431</v>
      </c>
      <c r="H66" s="3664"/>
      <c r="I66" s="3665"/>
      <c r="J66" s="3665"/>
      <c r="K66" s="3665"/>
      <c r="L66" s="3665"/>
      <c r="M66" s="3665"/>
      <c r="N66" s="3665"/>
      <c r="O66" s="3666"/>
    </row>
    <row r="67" spans="1:15" s="3543" customFormat="1">
      <c r="A67" s="3538" t="s">
        <v>4006</v>
      </c>
      <c r="B67" s="3539"/>
      <c r="C67" s="3540">
        <f>SUBTOTAL(9,C42:C66)</f>
        <v>2196.8599999999997</v>
      </c>
      <c r="D67" s="3654"/>
      <c r="E67" s="3533" t="s">
        <v>4007</v>
      </c>
      <c r="F67" s="3541">
        <f>SUBTOTAL(9,F42:F66)</f>
        <v>2197.2799999999997</v>
      </c>
      <c r="G67" s="3542"/>
      <c r="H67" s="3664"/>
      <c r="I67" s="3665"/>
      <c r="J67" s="3665"/>
      <c r="K67" s="3665"/>
      <c r="L67" s="3665"/>
      <c r="M67" s="3665"/>
      <c r="N67" s="3665"/>
      <c r="O67" s="3666"/>
    </row>
    <row r="68" spans="1:15">
      <c r="A68" s="3532">
        <v>1</v>
      </c>
      <c r="B68" s="3537" t="s">
        <v>4122</v>
      </c>
      <c r="C68" s="3534">
        <v>84.14</v>
      </c>
      <c r="D68" s="3653" t="s">
        <v>3382</v>
      </c>
      <c r="E68" s="3533" t="s">
        <v>4123</v>
      </c>
      <c r="F68" s="3535">
        <v>84.16</v>
      </c>
      <c r="G68" s="3536" t="s">
        <v>3431</v>
      </c>
      <c r="H68" s="3664"/>
      <c r="I68" s="3665"/>
      <c r="J68" s="3665"/>
      <c r="K68" s="3665"/>
      <c r="L68" s="3665"/>
      <c r="M68" s="3665"/>
      <c r="N68" s="3665"/>
      <c r="O68" s="3666"/>
    </row>
    <row r="69" spans="1:15">
      <c r="A69" s="3532">
        <v>2</v>
      </c>
      <c r="B69" s="3537" t="s">
        <v>4124</v>
      </c>
      <c r="C69" s="3534">
        <v>109.4</v>
      </c>
      <c r="D69" s="3654"/>
      <c r="E69" s="3533" t="s">
        <v>4125</v>
      </c>
      <c r="F69" s="3535">
        <v>109.42</v>
      </c>
      <c r="G69" s="3536" t="s">
        <v>3431</v>
      </c>
      <c r="H69" s="3664"/>
      <c r="I69" s="3665"/>
      <c r="J69" s="3665"/>
      <c r="K69" s="3665"/>
      <c r="L69" s="3665"/>
      <c r="M69" s="3665"/>
      <c r="N69" s="3665"/>
      <c r="O69" s="3666"/>
    </row>
    <row r="70" spans="1:15">
      <c r="A70" s="3532">
        <v>3</v>
      </c>
      <c r="B70" s="3537" t="s">
        <v>4126</v>
      </c>
      <c r="C70" s="3534">
        <v>84.14</v>
      </c>
      <c r="D70" s="3654"/>
      <c r="E70" s="3533" t="s">
        <v>4127</v>
      </c>
      <c r="F70" s="3535">
        <v>84.16</v>
      </c>
      <c r="G70" s="3536" t="s">
        <v>3431</v>
      </c>
      <c r="H70" s="3664"/>
      <c r="I70" s="3665"/>
      <c r="J70" s="3665"/>
      <c r="K70" s="3665"/>
      <c r="L70" s="3665"/>
      <c r="M70" s="3665"/>
      <c r="N70" s="3665"/>
      <c r="O70" s="3666"/>
    </row>
    <row r="71" spans="1:15">
      <c r="A71" s="3532">
        <v>4</v>
      </c>
      <c r="B71" s="3537" t="s">
        <v>4128</v>
      </c>
      <c r="C71" s="3534">
        <v>84.14</v>
      </c>
      <c r="D71" s="3654"/>
      <c r="E71" s="3533" t="s">
        <v>4129</v>
      </c>
      <c r="F71" s="3535">
        <v>84.16</v>
      </c>
      <c r="G71" s="3536" t="s">
        <v>3431</v>
      </c>
      <c r="H71" s="3664"/>
      <c r="I71" s="3665"/>
      <c r="J71" s="3665"/>
      <c r="K71" s="3665"/>
      <c r="L71" s="3665"/>
      <c r="M71" s="3665"/>
      <c r="N71" s="3665"/>
      <c r="O71" s="3666"/>
    </row>
    <row r="72" spans="1:15">
      <c r="A72" s="3532">
        <v>5</v>
      </c>
      <c r="B72" s="3537" t="s">
        <v>4130</v>
      </c>
      <c r="C72" s="3534">
        <v>84.14</v>
      </c>
      <c r="D72" s="3654"/>
      <c r="E72" s="3533" t="s">
        <v>4131</v>
      </c>
      <c r="F72" s="3535">
        <v>84.16</v>
      </c>
      <c r="G72" s="3536" t="s">
        <v>3431</v>
      </c>
      <c r="H72" s="3664"/>
      <c r="I72" s="3665"/>
      <c r="J72" s="3665"/>
      <c r="K72" s="3665"/>
      <c r="L72" s="3665"/>
      <c r="M72" s="3665"/>
      <c r="N72" s="3665"/>
      <c r="O72" s="3666"/>
    </row>
    <row r="73" spans="1:15">
      <c r="A73" s="3532">
        <v>6</v>
      </c>
      <c r="B73" s="3537" t="s">
        <v>4132</v>
      </c>
      <c r="C73" s="3534">
        <v>84.14</v>
      </c>
      <c r="D73" s="3654"/>
      <c r="E73" s="3533" t="s">
        <v>4133</v>
      </c>
      <c r="F73" s="3535">
        <v>84.16</v>
      </c>
      <c r="G73" s="3536" t="s">
        <v>3431</v>
      </c>
      <c r="H73" s="3664"/>
      <c r="I73" s="3665"/>
      <c r="J73" s="3665"/>
      <c r="K73" s="3665"/>
      <c r="L73" s="3665"/>
      <c r="M73" s="3665"/>
      <c r="N73" s="3665"/>
      <c r="O73" s="3666"/>
    </row>
    <row r="74" spans="1:15">
      <c r="A74" s="3532">
        <v>7</v>
      </c>
      <c r="B74" s="3537" t="s">
        <v>4134</v>
      </c>
      <c r="C74" s="3534">
        <v>109.4</v>
      </c>
      <c r="D74" s="3654"/>
      <c r="E74" s="3533" t="s">
        <v>4135</v>
      </c>
      <c r="F74" s="3535">
        <v>109.42</v>
      </c>
      <c r="G74" s="3536" t="s">
        <v>3431</v>
      </c>
      <c r="H74" s="3664"/>
      <c r="I74" s="3665"/>
      <c r="J74" s="3665"/>
      <c r="K74" s="3665"/>
      <c r="L74" s="3665"/>
      <c r="M74" s="3665"/>
      <c r="N74" s="3665"/>
      <c r="O74" s="3666"/>
    </row>
    <row r="75" spans="1:15">
      <c r="A75" s="3532">
        <v>8</v>
      </c>
      <c r="B75" s="3537" t="s">
        <v>4136</v>
      </c>
      <c r="C75" s="3534">
        <v>84.14</v>
      </c>
      <c r="D75" s="3654"/>
      <c r="E75" s="3533" t="s">
        <v>4137</v>
      </c>
      <c r="F75" s="3535">
        <v>84.16</v>
      </c>
      <c r="G75" s="3536" t="s">
        <v>3431</v>
      </c>
      <c r="H75" s="3664"/>
      <c r="I75" s="3665"/>
      <c r="J75" s="3665"/>
      <c r="K75" s="3665"/>
      <c r="L75" s="3665"/>
      <c r="M75" s="3665"/>
      <c r="N75" s="3665"/>
      <c r="O75" s="3666"/>
    </row>
    <row r="76" spans="1:15">
      <c r="A76" s="3532">
        <v>9</v>
      </c>
      <c r="B76" s="3537" t="s">
        <v>4138</v>
      </c>
      <c r="C76" s="3534">
        <v>84.14</v>
      </c>
      <c r="D76" s="3654"/>
      <c r="E76" s="3533" t="s">
        <v>4139</v>
      </c>
      <c r="F76" s="3535">
        <v>84.16</v>
      </c>
      <c r="G76" s="3536" t="s">
        <v>3431</v>
      </c>
      <c r="H76" s="3664"/>
      <c r="I76" s="3665"/>
      <c r="J76" s="3665"/>
      <c r="K76" s="3665"/>
      <c r="L76" s="3665"/>
      <c r="M76" s="3665"/>
      <c r="N76" s="3665"/>
      <c r="O76" s="3666"/>
    </row>
    <row r="77" spans="1:15">
      <c r="A77" s="3532">
        <v>10</v>
      </c>
      <c r="B77" s="3537" t="s">
        <v>4140</v>
      </c>
      <c r="C77" s="3534">
        <v>84.14</v>
      </c>
      <c r="D77" s="3654"/>
      <c r="E77" s="3533" t="s">
        <v>4141</v>
      </c>
      <c r="F77" s="3535">
        <v>84.16</v>
      </c>
      <c r="G77" s="3536" t="s">
        <v>3431</v>
      </c>
      <c r="H77" s="3664"/>
      <c r="I77" s="3665"/>
      <c r="J77" s="3665"/>
      <c r="K77" s="3665"/>
      <c r="L77" s="3665"/>
      <c r="M77" s="3665"/>
      <c r="N77" s="3665"/>
      <c r="O77" s="3666"/>
    </row>
    <row r="78" spans="1:15">
      <c r="A78" s="3532">
        <v>11</v>
      </c>
      <c r="B78" s="3537" t="s">
        <v>4142</v>
      </c>
      <c r="C78" s="3534">
        <v>84.14</v>
      </c>
      <c r="D78" s="3654"/>
      <c r="E78" s="3533" t="s">
        <v>4143</v>
      </c>
      <c r="F78" s="3535">
        <v>84.16</v>
      </c>
      <c r="G78" s="3536" t="s">
        <v>3431</v>
      </c>
      <c r="H78" s="3664"/>
      <c r="I78" s="3665"/>
      <c r="J78" s="3665"/>
      <c r="K78" s="3665"/>
      <c r="L78" s="3665"/>
      <c r="M78" s="3665"/>
      <c r="N78" s="3665"/>
      <c r="O78" s="3666"/>
    </row>
    <row r="79" spans="1:15">
      <c r="A79" s="3532">
        <v>12</v>
      </c>
      <c r="B79" s="3537" t="s">
        <v>4144</v>
      </c>
      <c r="C79" s="3534">
        <v>84.14</v>
      </c>
      <c r="D79" s="3654"/>
      <c r="E79" s="3533" t="s">
        <v>4145</v>
      </c>
      <c r="F79" s="3535">
        <v>84.16</v>
      </c>
      <c r="G79" s="3536" t="s">
        <v>3431</v>
      </c>
      <c r="H79" s="3664"/>
      <c r="I79" s="3665"/>
      <c r="J79" s="3665"/>
      <c r="K79" s="3665"/>
      <c r="L79" s="3665"/>
      <c r="M79" s="3665"/>
      <c r="N79" s="3665"/>
      <c r="O79" s="3666"/>
    </row>
    <row r="80" spans="1:15">
      <c r="A80" s="3532">
        <v>13</v>
      </c>
      <c r="B80" s="3537" t="s">
        <v>4146</v>
      </c>
      <c r="C80" s="3534">
        <v>84.14</v>
      </c>
      <c r="D80" s="3654"/>
      <c r="E80" s="3533" t="s">
        <v>4147</v>
      </c>
      <c r="F80" s="3535">
        <v>84.16</v>
      </c>
      <c r="G80" s="3536" t="s">
        <v>3431</v>
      </c>
      <c r="H80" s="3664"/>
      <c r="I80" s="3665"/>
      <c r="J80" s="3665"/>
      <c r="K80" s="3665"/>
      <c r="L80" s="3665"/>
      <c r="M80" s="3665"/>
      <c r="N80" s="3665"/>
      <c r="O80" s="3666"/>
    </row>
    <row r="81" spans="1:15">
      <c r="A81" s="3532">
        <v>14</v>
      </c>
      <c r="B81" s="3537" t="s">
        <v>4148</v>
      </c>
      <c r="C81" s="3534">
        <v>168.29</v>
      </c>
      <c r="D81" s="3654"/>
      <c r="E81" s="3533" t="s">
        <v>4149</v>
      </c>
      <c r="F81" s="3535">
        <v>168.31</v>
      </c>
      <c r="G81" s="3536" t="s">
        <v>3431</v>
      </c>
      <c r="H81" s="3664"/>
      <c r="I81" s="3665"/>
      <c r="J81" s="3665"/>
      <c r="K81" s="3665"/>
      <c r="L81" s="3665"/>
      <c r="M81" s="3665"/>
      <c r="N81" s="3665"/>
      <c r="O81" s="3666"/>
    </row>
    <row r="82" spans="1:15">
      <c r="A82" s="3532">
        <v>15</v>
      </c>
      <c r="B82" s="3537" t="s">
        <v>4150</v>
      </c>
      <c r="C82" s="3534">
        <v>84.14</v>
      </c>
      <c r="D82" s="3654"/>
      <c r="E82" s="3533" t="s">
        <v>4151</v>
      </c>
      <c r="F82" s="3535">
        <v>84.16</v>
      </c>
      <c r="G82" s="3536" t="s">
        <v>3431</v>
      </c>
      <c r="H82" s="3664"/>
      <c r="I82" s="3665"/>
      <c r="J82" s="3665"/>
      <c r="K82" s="3665"/>
      <c r="L82" s="3665"/>
      <c r="M82" s="3665"/>
      <c r="N82" s="3665"/>
      <c r="O82" s="3666"/>
    </row>
    <row r="83" spans="1:15">
      <c r="A83" s="3532">
        <v>16</v>
      </c>
      <c r="B83" s="3537" t="s">
        <v>4152</v>
      </c>
      <c r="C83" s="3534">
        <v>84.14</v>
      </c>
      <c r="D83" s="3654"/>
      <c r="E83" s="3533" t="s">
        <v>4153</v>
      </c>
      <c r="F83" s="3535">
        <v>84.16</v>
      </c>
      <c r="G83" s="3536" t="s">
        <v>3431</v>
      </c>
      <c r="H83" s="3664"/>
      <c r="I83" s="3665"/>
      <c r="J83" s="3665"/>
      <c r="K83" s="3665"/>
      <c r="L83" s="3665"/>
      <c r="M83" s="3665"/>
      <c r="N83" s="3665"/>
      <c r="O83" s="3666"/>
    </row>
    <row r="84" spans="1:15">
      <c r="A84" s="3532">
        <v>17</v>
      </c>
      <c r="B84" s="3537" t="s">
        <v>4154</v>
      </c>
      <c r="C84" s="3534">
        <v>84.14</v>
      </c>
      <c r="D84" s="3654"/>
      <c r="E84" s="3533" t="s">
        <v>4155</v>
      </c>
      <c r="F84" s="3535">
        <v>84.16</v>
      </c>
      <c r="G84" s="3536" t="s">
        <v>3431</v>
      </c>
      <c r="H84" s="3664"/>
      <c r="I84" s="3665"/>
      <c r="J84" s="3665"/>
      <c r="K84" s="3665"/>
      <c r="L84" s="3665"/>
      <c r="M84" s="3665"/>
      <c r="N84" s="3665"/>
      <c r="O84" s="3666"/>
    </row>
    <row r="85" spans="1:15">
      <c r="A85" s="3532">
        <v>18</v>
      </c>
      <c r="B85" s="3537" t="s">
        <v>4156</v>
      </c>
      <c r="C85" s="3534">
        <v>84.14</v>
      </c>
      <c r="D85" s="3654"/>
      <c r="E85" s="3533" t="s">
        <v>4157</v>
      </c>
      <c r="F85" s="3535">
        <v>84.16</v>
      </c>
      <c r="G85" s="3536" t="s">
        <v>3431</v>
      </c>
      <c r="H85" s="3664"/>
      <c r="I85" s="3665"/>
      <c r="J85" s="3665"/>
      <c r="K85" s="3665"/>
      <c r="L85" s="3665"/>
      <c r="M85" s="3665"/>
      <c r="N85" s="3665"/>
      <c r="O85" s="3666"/>
    </row>
    <row r="86" spans="1:15">
      <c r="A86" s="3532">
        <v>19</v>
      </c>
      <c r="B86" s="3537" t="s">
        <v>4158</v>
      </c>
      <c r="C86" s="3534">
        <v>84.14</v>
      </c>
      <c r="D86" s="3654"/>
      <c r="E86" s="3533" t="s">
        <v>4159</v>
      </c>
      <c r="F86" s="3535">
        <v>84.16</v>
      </c>
      <c r="G86" s="3536" t="s">
        <v>3431</v>
      </c>
      <c r="H86" s="3664"/>
      <c r="I86" s="3665"/>
      <c r="J86" s="3665"/>
      <c r="K86" s="3665"/>
      <c r="L86" s="3665"/>
      <c r="M86" s="3665"/>
      <c r="N86" s="3665"/>
      <c r="O86" s="3666"/>
    </row>
    <row r="87" spans="1:15">
      <c r="A87" s="3532">
        <v>20</v>
      </c>
      <c r="B87" s="3537" t="s">
        <v>4160</v>
      </c>
      <c r="C87" s="3534">
        <v>84.14</v>
      </c>
      <c r="D87" s="3654"/>
      <c r="E87" s="3533" t="s">
        <v>4161</v>
      </c>
      <c r="F87" s="3535">
        <v>84.16</v>
      </c>
      <c r="G87" s="3536" t="s">
        <v>3431</v>
      </c>
      <c r="H87" s="3664"/>
      <c r="I87" s="3665"/>
      <c r="J87" s="3665"/>
      <c r="K87" s="3665"/>
      <c r="L87" s="3665"/>
      <c r="M87" s="3665"/>
      <c r="N87" s="3665"/>
      <c r="O87" s="3666"/>
    </row>
    <row r="88" spans="1:15">
      <c r="A88" s="3532">
        <v>21</v>
      </c>
      <c r="B88" s="3537" t="s">
        <v>4162</v>
      </c>
      <c r="C88" s="3534">
        <v>84.14</v>
      </c>
      <c r="D88" s="3654"/>
      <c r="E88" s="3533" t="s">
        <v>4163</v>
      </c>
      <c r="F88" s="3535">
        <v>84.16</v>
      </c>
      <c r="G88" s="3536" t="s">
        <v>3431</v>
      </c>
      <c r="H88" s="3664"/>
      <c r="I88" s="3665"/>
      <c r="J88" s="3665"/>
      <c r="K88" s="3665"/>
      <c r="L88" s="3665"/>
      <c r="M88" s="3665"/>
      <c r="N88" s="3665"/>
      <c r="O88" s="3666"/>
    </row>
    <row r="89" spans="1:15">
      <c r="A89" s="3532">
        <v>22</v>
      </c>
      <c r="B89" s="3537" t="s">
        <v>4164</v>
      </c>
      <c r="C89" s="3534">
        <v>84.14</v>
      </c>
      <c r="D89" s="3654"/>
      <c r="E89" s="3533" t="s">
        <v>4165</v>
      </c>
      <c r="F89" s="3535">
        <v>84.16</v>
      </c>
      <c r="G89" s="3536" t="s">
        <v>3431</v>
      </c>
      <c r="H89" s="3664"/>
      <c r="I89" s="3665"/>
      <c r="J89" s="3665"/>
      <c r="K89" s="3665"/>
      <c r="L89" s="3665"/>
      <c r="M89" s="3665"/>
      <c r="N89" s="3665"/>
      <c r="O89" s="3666"/>
    </row>
    <row r="90" spans="1:15">
      <c r="A90" s="3532">
        <v>23</v>
      </c>
      <c r="B90" s="3537" t="s">
        <v>4166</v>
      </c>
      <c r="C90" s="3534">
        <v>109.4</v>
      </c>
      <c r="D90" s="3654"/>
      <c r="E90" s="3533" t="s">
        <v>4167</v>
      </c>
      <c r="F90" s="3535">
        <v>109.42</v>
      </c>
      <c r="G90" s="3536" t="s">
        <v>3431</v>
      </c>
      <c r="H90" s="3664"/>
      <c r="I90" s="3665"/>
      <c r="J90" s="3665"/>
      <c r="K90" s="3665"/>
      <c r="L90" s="3665"/>
      <c r="M90" s="3665"/>
      <c r="N90" s="3665"/>
      <c r="O90" s="3666"/>
    </row>
    <row r="91" spans="1:15">
      <c r="A91" s="3532">
        <v>24</v>
      </c>
      <c r="B91" s="3537" t="s">
        <v>4168</v>
      </c>
      <c r="C91" s="3534">
        <v>84.14</v>
      </c>
      <c r="D91" s="3654"/>
      <c r="E91" s="3533" t="s">
        <v>4169</v>
      </c>
      <c r="F91" s="3535">
        <v>84.16</v>
      </c>
      <c r="G91" s="3536" t="s">
        <v>3431</v>
      </c>
      <c r="H91" s="3664"/>
      <c r="I91" s="3665"/>
      <c r="J91" s="3665"/>
      <c r="K91" s="3665"/>
      <c r="L91" s="3665"/>
      <c r="M91" s="3665"/>
      <c r="N91" s="3665"/>
      <c r="O91" s="3666"/>
    </row>
    <row r="92" spans="1:15" s="3543" customFormat="1">
      <c r="A92" s="3538" t="s">
        <v>4006</v>
      </c>
      <c r="B92" s="3539"/>
      <c r="C92" s="3540">
        <f>SUBTOTAL(9,C68:C91)</f>
        <v>2179.2900000000009</v>
      </c>
      <c r="D92" s="3654"/>
      <c r="E92" s="3533" t="s">
        <v>4007</v>
      </c>
      <c r="F92" s="3541">
        <f>SUBTOTAL(9,F68:F91)</f>
        <v>2179.7700000000004</v>
      </c>
      <c r="G92" s="3542"/>
      <c r="H92" s="3664"/>
      <c r="I92" s="3665"/>
      <c r="J92" s="3665"/>
      <c r="K92" s="3665"/>
      <c r="L92" s="3665"/>
      <c r="M92" s="3665"/>
      <c r="N92" s="3665"/>
      <c r="O92" s="3666"/>
    </row>
    <row r="93" spans="1:15">
      <c r="A93" s="3532">
        <v>1</v>
      </c>
      <c r="B93" s="3537" t="s">
        <v>4170</v>
      </c>
      <c r="C93" s="3534">
        <v>87.02</v>
      </c>
      <c r="D93" s="3653" t="s">
        <v>3383</v>
      </c>
      <c r="E93" s="3533" t="s">
        <v>4171</v>
      </c>
      <c r="F93" s="3535">
        <v>87.04</v>
      </c>
      <c r="G93" s="3536" t="s">
        <v>3431</v>
      </c>
      <c r="H93" s="3664"/>
      <c r="I93" s="3665"/>
      <c r="J93" s="3665"/>
      <c r="K93" s="3665"/>
      <c r="L93" s="3665"/>
      <c r="M93" s="3665"/>
      <c r="N93" s="3665"/>
      <c r="O93" s="3666"/>
    </row>
    <row r="94" spans="1:15">
      <c r="A94" s="3532">
        <v>2</v>
      </c>
      <c r="B94" s="3537" t="s">
        <v>4172</v>
      </c>
      <c r="C94" s="3534">
        <v>89.69</v>
      </c>
      <c r="D94" s="3654"/>
      <c r="E94" s="3533" t="s">
        <v>4173</v>
      </c>
      <c r="F94" s="3535">
        <v>89.7</v>
      </c>
      <c r="G94" s="3536" t="s">
        <v>3431</v>
      </c>
      <c r="H94" s="3664"/>
      <c r="I94" s="3665"/>
      <c r="J94" s="3665"/>
      <c r="K94" s="3665"/>
      <c r="L94" s="3665"/>
      <c r="M94" s="3665"/>
      <c r="N94" s="3665"/>
      <c r="O94" s="3666"/>
    </row>
    <row r="95" spans="1:15">
      <c r="A95" s="3532">
        <v>3</v>
      </c>
      <c r="B95" s="3537" t="s">
        <v>4174</v>
      </c>
      <c r="C95" s="3534">
        <v>87.02</v>
      </c>
      <c r="D95" s="3654"/>
      <c r="E95" s="3533" t="s">
        <v>4175</v>
      </c>
      <c r="F95" s="3535">
        <v>87.04</v>
      </c>
      <c r="G95" s="3536" t="s">
        <v>3431</v>
      </c>
      <c r="H95" s="3664"/>
      <c r="I95" s="3665"/>
      <c r="J95" s="3665"/>
      <c r="K95" s="3665"/>
      <c r="L95" s="3665"/>
      <c r="M95" s="3665"/>
      <c r="N95" s="3665"/>
      <c r="O95" s="3666"/>
    </row>
    <row r="96" spans="1:15">
      <c r="A96" s="3532">
        <v>4</v>
      </c>
      <c r="B96" s="3537" t="s">
        <v>4176</v>
      </c>
      <c r="C96" s="3534">
        <v>89.69</v>
      </c>
      <c r="D96" s="3654"/>
      <c r="E96" s="3533" t="s">
        <v>4177</v>
      </c>
      <c r="F96" s="3535">
        <v>89.7</v>
      </c>
      <c r="G96" s="3536" t="s">
        <v>3431</v>
      </c>
      <c r="H96" s="3652" t="s">
        <v>3999</v>
      </c>
      <c r="I96" s="3642"/>
      <c r="J96" s="3641" t="s">
        <v>4000</v>
      </c>
      <c r="K96" s="3642" t="s">
        <v>4001</v>
      </c>
      <c r="L96" s="3641" t="s">
        <v>4002</v>
      </c>
      <c r="M96" s="3641" t="s">
        <v>4002</v>
      </c>
      <c r="N96" s="3642" t="s">
        <v>4003</v>
      </c>
      <c r="O96" s="3641"/>
    </row>
    <row r="97" spans="1:15">
      <c r="A97" s="3532">
        <v>5</v>
      </c>
      <c r="B97" s="3537" t="s">
        <v>4178</v>
      </c>
      <c r="C97" s="3534">
        <v>87.02</v>
      </c>
      <c r="D97" s="3654"/>
      <c r="E97" s="3533" t="s">
        <v>4179</v>
      </c>
      <c r="F97" s="3535">
        <v>87.04</v>
      </c>
      <c r="G97" s="3536" t="s">
        <v>3431</v>
      </c>
      <c r="H97" s="3652"/>
      <c r="I97" s="3642"/>
      <c r="J97" s="3641"/>
      <c r="K97" s="3642"/>
      <c r="L97" s="3641"/>
      <c r="M97" s="3641"/>
      <c r="N97" s="3642"/>
      <c r="O97" s="3641"/>
    </row>
    <row r="98" spans="1:15">
      <c r="A98" s="3532">
        <v>6</v>
      </c>
      <c r="B98" s="3537" t="s">
        <v>4180</v>
      </c>
      <c r="C98" s="3534">
        <v>87.02</v>
      </c>
      <c r="D98" s="3654"/>
      <c r="E98" s="3533" t="s">
        <v>4181</v>
      </c>
      <c r="F98" s="3535">
        <v>87.04</v>
      </c>
      <c r="G98" s="3536" t="s">
        <v>3431</v>
      </c>
      <c r="H98" s="3652"/>
      <c r="I98" s="3642"/>
      <c r="J98" s="3641"/>
      <c r="K98" s="3642"/>
      <c r="L98" s="3641"/>
      <c r="M98" s="3641"/>
      <c r="N98" s="3642"/>
      <c r="O98" s="3641"/>
    </row>
    <row r="99" spans="1:15">
      <c r="A99" s="3532">
        <v>7</v>
      </c>
      <c r="B99" s="3537" t="s">
        <v>4182</v>
      </c>
      <c r="C99" s="3534">
        <v>87.02</v>
      </c>
      <c r="D99" s="3654"/>
      <c r="E99" s="3533" t="s">
        <v>4183</v>
      </c>
      <c r="F99" s="3535">
        <v>87.04</v>
      </c>
      <c r="G99" s="3536" t="s">
        <v>3431</v>
      </c>
      <c r="H99" s="3652"/>
      <c r="I99" s="3642"/>
      <c r="J99" s="3641"/>
      <c r="K99" s="3642"/>
      <c r="L99" s="3641"/>
      <c r="M99" s="3641"/>
      <c r="N99" s="3642"/>
      <c r="O99" s="3641"/>
    </row>
    <row r="100" spans="1:15">
      <c r="A100" s="3532">
        <v>8</v>
      </c>
      <c r="B100" s="3537" t="s">
        <v>4184</v>
      </c>
      <c r="C100" s="3534">
        <v>87.02</v>
      </c>
      <c r="D100" s="3654"/>
      <c r="E100" s="3533" t="s">
        <v>4185</v>
      </c>
      <c r="F100" s="3535">
        <v>87.04</v>
      </c>
      <c r="G100" s="3536" t="s">
        <v>3431</v>
      </c>
      <c r="H100" s="3652"/>
      <c r="I100" s="3642"/>
      <c r="J100" s="3641"/>
      <c r="K100" s="3642"/>
      <c r="L100" s="3641"/>
      <c r="M100" s="3641"/>
      <c r="N100" s="3642"/>
      <c r="O100" s="3641"/>
    </row>
    <row r="101" spans="1:15">
      <c r="A101" s="3532">
        <v>9</v>
      </c>
      <c r="B101" s="3537" t="s">
        <v>4186</v>
      </c>
      <c r="C101" s="3534">
        <v>87.02</v>
      </c>
      <c r="D101" s="3654"/>
      <c r="E101" s="3533" t="s">
        <v>4187</v>
      </c>
      <c r="F101" s="3535">
        <v>87.04</v>
      </c>
      <c r="G101" s="3536" t="s">
        <v>3431</v>
      </c>
      <c r="H101" s="3652"/>
      <c r="I101" s="3642"/>
      <c r="J101" s="3641"/>
      <c r="K101" s="3642"/>
      <c r="L101" s="3641"/>
      <c r="M101" s="3641"/>
      <c r="N101" s="3642"/>
      <c r="O101" s="3641"/>
    </row>
    <row r="102" spans="1:15">
      <c r="A102" s="3532">
        <v>10</v>
      </c>
      <c r="B102" s="3537" t="s">
        <v>4188</v>
      </c>
      <c r="C102" s="3534">
        <v>87.02</v>
      </c>
      <c r="D102" s="3654"/>
      <c r="E102" s="3533" t="s">
        <v>4189</v>
      </c>
      <c r="F102" s="3535">
        <v>87.04</v>
      </c>
      <c r="G102" s="3536" t="s">
        <v>3431</v>
      </c>
      <c r="H102" s="3652"/>
      <c r="I102" s="3642"/>
      <c r="J102" s="3641"/>
      <c r="K102" s="3642"/>
      <c r="L102" s="3641"/>
      <c r="M102" s="3641"/>
      <c r="N102" s="3642"/>
      <c r="O102" s="3641"/>
    </row>
    <row r="103" spans="1:15">
      <c r="A103" s="3532">
        <v>11</v>
      </c>
      <c r="B103" s="3537" t="s">
        <v>4190</v>
      </c>
      <c r="C103" s="3534">
        <v>87.02</v>
      </c>
      <c r="D103" s="3654"/>
      <c r="E103" s="3533" t="s">
        <v>4191</v>
      </c>
      <c r="F103" s="3535">
        <v>87.04</v>
      </c>
      <c r="G103" s="3536" t="s">
        <v>3431</v>
      </c>
      <c r="H103" s="3652"/>
      <c r="I103" s="3642"/>
      <c r="J103" s="3641"/>
      <c r="K103" s="3642"/>
      <c r="L103" s="3641"/>
      <c r="M103" s="3641"/>
      <c r="N103" s="3642"/>
      <c r="O103" s="3641"/>
    </row>
    <row r="104" spans="1:15">
      <c r="A104" s="3532">
        <v>12</v>
      </c>
      <c r="B104" s="3537" t="s">
        <v>4192</v>
      </c>
      <c r="C104" s="3534">
        <v>87.02</v>
      </c>
      <c r="D104" s="3654"/>
      <c r="E104" s="3533" t="s">
        <v>4193</v>
      </c>
      <c r="F104" s="3535">
        <v>87.04</v>
      </c>
      <c r="G104" s="3536" t="s">
        <v>3431</v>
      </c>
      <c r="H104" s="3652"/>
      <c r="I104" s="3642"/>
      <c r="J104" s="3641"/>
      <c r="K104" s="3642"/>
      <c r="L104" s="3641"/>
      <c r="M104" s="3641"/>
      <c r="N104" s="3642"/>
      <c r="O104" s="3641"/>
    </row>
    <row r="105" spans="1:15">
      <c r="A105" s="3532">
        <v>13</v>
      </c>
      <c r="B105" s="3537" t="s">
        <v>4194</v>
      </c>
      <c r="C105" s="3534">
        <v>87.02</v>
      </c>
      <c r="D105" s="3654"/>
      <c r="E105" s="3533" t="s">
        <v>4195</v>
      </c>
      <c r="F105" s="3535">
        <v>87.04</v>
      </c>
      <c r="G105" s="3536" t="s">
        <v>3431</v>
      </c>
      <c r="H105" s="3652"/>
      <c r="I105" s="3642"/>
      <c r="J105" s="3641"/>
      <c r="K105" s="3642"/>
      <c r="L105" s="3641"/>
      <c r="M105" s="3641"/>
      <c r="N105" s="3642"/>
      <c r="O105" s="3641"/>
    </row>
    <row r="106" spans="1:15">
      <c r="A106" s="3532">
        <v>14</v>
      </c>
      <c r="B106" s="3537" t="s">
        <v>4196</v>
      </c>
      <c r="C106" s="3534">
        <v>89.69</v>
      </c>
      <c r="D106" s="3654"/>
      <c r="E106" s="3533" t="s">
        <v>4197</v>
      </c>
      <c r="F106" s="3535">
        <v>89.7</v>
      </c>
      <c r="G106" s="3536" t="s">
        <v>3431</v>
      </c>
      <c r="H106" s="3652"/>
      <c r="I106" s="3642"/>
      <c r="J106" s="3641"/>
      <c r="K106" s="3642"/>
      <c r="L106" s="3641"/>
      <c r="M106" s="3641"/>
      <c r="N106" s="3642"/>
      <c r="O106" s="3641"/>
    </row>
    <row r="107" spans="1:15">
      <c r="A107" s="3532">
        <v>15</v>
      </c>
      <c r="B107" s="3537" t="s">
        <v>4198</v>
      </c>
      <c r="C107" s="3534">
        <v>87.02</v>
      </c>
      <c r="D107" s="3654"/>
      <c r="E107" s="3533" t="s">
        <v>4199</v>
      </c>
      <c r="F107" s="3535">
        <v>87.04</v>
      </c>
      <c r="G107" s="3536" t="s">
        <v>3431</v>
      </c>
      <c r="H107" s="3652"/>
      <c r="I107" s="3642"/>
      <c r="J107" s="3641"/>
      <c r="K107" s="3642"/>
      <c r="L107" s="3641"/>
      <c r="M107" s="3641"/>
      <c r="N107" s="3642"/>
      <c r="O107" s="3641"/>
    </row>
    <row r="108" spans="1:15">
      <c r="A108" s="3532">
        <v>16</v>
      </c>
      <c r="B108" s="3537" t="s">
        <v>4200</v>
      </c>
      <c r="C108" s="3534">
        <v>89.69</v>
      </c>
      <c r="D108" s="3654"/>
      <c r="E108" s="3533" t="s">
        <v>4201</v>
      </c>
      <c r="F108" s="3535">
        <v>89.7</v>
      </c>
      <c r="G108" s="3536" t="s">
        <v>3431</v>
      </c>
      <c r="H108" s="3652"/>
      <c r="I108" s="3642"/>
      <c r="J108" s="3641"/>
      <c r="K108" s="3642"/>
      <c r="L108" s="3641"/>
      <c r="M108" s="3641"/>
      <c r="N108" s="3642"/>
      <c r="O108" s="3641"/>
    </row>
    <row r="109" spans="1:15">
      <c r="A109" s="3532">
        <v>17</v>
      </c>
      <c r="B109" s="3537" t="s">
        <v>4202</v>
      </c>
      <c r="C109" s="3534">
        <v>87.02</v>
      </c>
      <c r="D109" s="3654"/>
      <c r="E109" s="3533" t="s">
        <v>4203</v>
      </c>
      <c r="F109" s="3535">
        <v>87.04</v>
      </c>
      <c r="G109" s="3536" t="s">
        <v>3431</v>
      </c>
      <c r="H109" s="3652"/>
      <c r="I109" s="3642"/>
      <c r="J109" s="3641"/>
      <c r="K109" s="3642"/>
      <c r="L109" s="3641"/>
      <c r="M109" s="3641"/>
      <c r="N109" s="3642"/>
      <c r="O109" s="3641"/>
    </row>
    <row r="110" spans="1:15">
      <c r="A110" s="3532">
        <v>18</v>
      </c>
      <c r="B110" s="3537" t="s">
        <v>4204</v>
      </c>
      <c r="C110" s="3534">
        <v>89.69</v>
      </c>
      <c r="D110" s="3654"/>
      <c r="E110" s="3533" t="s">
        <v>4205</v>
      </c>
      <c r="F110" s="3535">
        <v>89.7</v>
      </c>
      <c r="G110" s="3536" t="s">
        <v>3431</v>
      </c>
      <c r="H110" s="3652"/>
      <c r="I110" s="3642"/>
      <c r="J110" s="3641"/>
      <c r="K110" s="3642"/>
      <c r="L110" s="3641"/>
      <c r="M110" s="3641"/>
      <c r="N110" s="3642"/>
      <c r="O110" s="3641"/>
    </row>
    <row r="111" spans="1:15">
      <c r="A111" s="3532">
        <v>19</v>
      </c>
      <c r="B111" s="3537" t="s">
        <v>4206</v>
      </c>
      <c r="C111" s="3534">
        <v>87.02</v>
      </c>
      <c r="D111" s="3654"/>
      <c r="E111" s="3533" t="s">
        <v>4207</v>
      </c>
      <c r="F111" s="3535">
        <v>87.04</v>
      </c>
      <c r="G111" s="3536" t="s">
        <v>3431</v>
      </c>
      <c r="H111" s="3652"/>
      <c r="I111" s="3642"/>
      <c r="J111" s="3641"/>
      <c r="K111" s="3642"/>
      <c r="L111" s="3641"/>
      <c r="M111" s="3641"/>
      <c r="N111" s="3642"/>
      <c r="O111" s="3641"/>
    </row>
    <row r="112" spans="1:15">
      <c r="A112" s="3532">
        <v>20</v>
      </c>
      <c r="B112" s="3537" t="s">
        <v>4208</v>
      </c>
      <c r="C112" s="3534">
        <v>87.02</v>
      </c>
      <c r="D112" s="3654"/>
      <c r="E112" s="3533" t="s">
        <v>4209</v>
      </c>
      <c r="F112" s="3535">
        <v>87.04</v>
      </c>
      <c r="G112" s="3536" t="s">
        <v>3431</v>
      </c>
      <c r="H112" s="3652"/>
      <c r="I112" s="3642"/>
      <c r="J112" s="3641"/>
      <c r="K112" s="3642"/>
      <c r="L112" s="3641"/>
      <c r="M112" s="3641"/>
      <c r="N112" s="3642"/>
      <c r="O112" s="3641"/>
    </row>
    <row r="113" spans="1:15">
      <c r="A113" s="3532">
        <v>21</v>
      </c>
      <c r="B113" s="3537" t="s">
        <v>4210</v>
      </c>
      <c r="C113" s="3534">
        <v>87.02</v>
      </c>
      <c r="D113" s="3654"/>
      <c r="E113" s="3533" t="s">
        <v>4211</v>
      </c>
      <c r="F113" s="3535">
        <v>87.04</v>
      </c>
      <c r="G113" s="3536" t="s">
        <v>3431</v>
      </c>
      <c r="H113" s="3652"/>
      <c r="I113" s="3642"/>
      <c r="J113" s="3641"/>
      <c r="K113" s="3642"/>
      <c r="L113" s="3641"/>
      <c r="M113" s="3641"/>
      <c r="N113" s="3642"/>
      <c r="O113" s="3641"/>
    </row>
    <row r="114" spans="1:15">
      <c r="A114" s="3532">
        <v>22</v>
      </c>
      <c r="B114" s="3537" t="s">
        <v>4212</v>
      </c>
      <c r="C114" s="3534">
        <v>87.02</v>
      </c>
      <c r="D114" s="3654"/>
      <c r="E114" s="3533" t="s">
        <v>4213</v>
      </c>
      <c r="F114" s="3535">
        <v>87.04</v>
      </c>
      <c r="G114" s="3536" t="s">
        <v>3431</v>
      </c>
      <c r="H114" s="3652"/>
      <c r="I114" s="3642"/>
      <c r="J114" s="3641"/>
      <c r="K114" s="3642"/>
      <c r="L114" s="3641"/>
      <c r="M114" s="3641"/>
      <c r="N114" s="3642"/>
      <c r="O114" s="3641"/>
    </row>
    <row r="115" spans="1:15">
      <c r="A115" s="3532">
        <v>23</v>
      </c>
      <c r="B115" s="3537" t="s">
        <v>4214</v>
      </c>
      <c r="C115" s="3534">
        <v>87.02</v>
      </c>
      <c r="D115" s="3654"/>
      <c r="E115" s="3533" t="s">
        <v>4215</v>
      </c>
      <c r="F115" s="3535">
        <v>87.04</v>
      </c>
      <c r="G115" s="3536" t="s">
        <v>3431</v>
      </c>
      <c r="H115" s="3652"/>
      <c r="I115" s="3642"/>
      <c r="J115" s="3641"/>
      <c r="K115" s="3642"/>
      <c r="L115" s="3641"/>
      <c r="M115" s="3641"/>
      <c r="N115" s="3642"/>
      <c r="O115" s="3641"/>
    </row>
    <row r="116" spans="1:15">
      <c r="A116" s="3532">
        <v>24</v>
      </c>
      <c r="B116" s="3537" t="s">
        <v>4216</v>
      </c>
      <c r="C116" s="3534">
        <v>87.02</v>
      </c>
      <c r="D116" s="3654"/>
      <c r="E116" s="3533" t="s">
        <v>4217</v>
      </c>
      <c r="F116" s="3535">
        <v>87.04</v>
      </c>
      <c r="G116" s="3536" t="s">
        <v>3431</v>
      </c>
      <c r="H116" s="3652"/>
      <c r="I116" s="3642"/>
      <c r="J116" s="3641"/>
      <c r="K116" s="3642"/>
      <c r="L116" s="3641"/>
      <c r="M116" s="3641"/>
      <c r="N116" s="3642"/>
      <c r="O116" s="3641"/>
    </row>
    <row r="117" spans="1:15">
      <c r="A117" s="3532">
        <v>25</v>
      </c>
      <c r="B117" s="3537" t="s">
        <v>4218</v>
      </c>
      <c r="C117" s="3534">
        <v>89.69</v>
      </c>
      <c r="D117" s="3654"/>
      <c r="E117" s="3533" t="s">
        <v>4219</v>
      </c>
      <c r="F117" s="3535">
        <v>89.7</v>
      </c>
      <c r="G117" s="3536" t="s">
        <v>3431</v>
      </c>
      <c r="H117" s="3652"/>
      <c r="I117" s="3642"/>
      <c r="J117" s="3641"/>
      <c r="K117" s="3642"/>
      <c r="L117" s="3641"/>
      <c r="M117" s="3641"/>
      <c r="N117" s="3642"/>
      <c r="O117" s="3641"/>
    </row>
    <row r="118" spans="1:15">
      <c r="A118" s="3532">
        <v>26</v>
      </c>
      <c r="B118" s="3537" t="s">
        <v>4220</v>
      </c>
      <c r="C118" s="3534">
        <v>87.02</v>
      </c>
      <c r="D118" s="3654"/>
      <c r="E118" s="3533" t="s">
        <v>4221</v>
      </c>
      <c r="F118" s="3535">
        <v>87.04</v>
      </c>
      <c r="G118" s="3536" t="s">
        <v>3431</v>
      </c>
      <c r="H118" s="3652"/>
      <c r="I118" s="3642"/>
      <c r="J118" s="3641"/>
      <c r="K118" s="3642"/>
      <c r="L118" s="3641"/>
      <c r="M118" s="3641"/>
      <c r="N118" s="3642"/>
      <c r="O118" s="3641"/>
    </row>
    <row r="119" spans="1:15" s="3543" customFormat="1">
      <c r="A119" s="3538" t="s">
        <v>4006</v>
      </c>
      <c r="B119" s="3539"/>
      <c r="C119" s="3540">
        <f>SUBTOTAL(9,C93:C118)</f>
        <v>2278.54</v>
      </c>
      <c r="D119" s="3654"/>
      <c r="E119" s="3533" t="s">
        <v>4007</v>
      </c>
      <c r="F119" s="3541">
        <f>SUBTOTAL(9,F93:F118)</f>
        <v>2278.9999999999995</v>
      </c>
      <c r="G119" s="3542"/>
      <c r="H119" s="3652"/>
      <c r="I119" s="3642"/>
      <c r="J119" s="3641"/>
      <c r="K119" s="3642"/>
      <c r="L119" s="3641"/>
      <c r="M119" s="3641"/>
      <c r="N119" s="3642"/>
      <c r="O119" s="3641"/>
    </row>
    <row r="120" spans="1:15">
      <c r="A120" s="3532">
        <v>1</v>
      </c>
      <c r="B120" s="3537" t="s">
        <v>4222</v>
      </c>
      <c r="C120" s="3534">
        <v>86.52</v>
      </c>
      <c r="D120" s="3653" t="s">
        <v>4223</v>
      </c>
      <c r="E120" s="3533" t="s">
        <v>4224</v>
      </c>
      <c r="F120" s="3535">
        <v>86.53</v>
      </c>
      <c r="G120" s="3536" t="s">
        <v>3431</v>
      </c>
      <c r="H120" s="3652"/>
      <c r="I120" s="3642"/>
      <c r="J120" s="3641"/>
      <c r="K120" s="3642"/>
      <c r="L120" s="3641"/>
      <c r="M120" s="3641"/>
      <c r="N120" s="3642"/>
      <c r="O120" s="3641"/>
    </row>
    <row r="121" spans="1:15">
      <c r="A121" s="3532">
        <v>2</v>
      </c>
      <c r="B121" s="3537" t="s">
        <v>4225</v>
      </c>
      <c r="C121" s="3534">
        <v>86.52</v>
      </c>
      <c r="D121" s="3654"/>
      <c r="E121" s="3533" t="s">
        <v>4226</v>
      </c>
      <c r="F121" s="3535">
        <v>86.53</v>
      </c>
      <c r="G121" s="3536" t="s">
        <v>3431</v>
      </c>
      <c r="H121" s="3652"/>
      <c r="I121" s="3642"/>
      <c r="J121" s="3641"/>
      <c r="K121" s="3642"/>
      <c r="L121" s="3641"/>
      <c r="M121" s="3641"/>
      <c r="N121" s="3642"/>
      <c r="O121" s="3641"/>
    </row>
    <row r="122" spans="1:15">
      <c r="A122" s="3532">
        <v>3</v>
      </c>
      <c r="B122" s="3537" t="s">
        <v>4227</v>
      </c>
      <c r="C122" s="3534">
        <v>86.52</v>
      </c>
      <c r="D122" s="3654"/>
      <c r="E122" s="3533" t="s">
        <v>4228</v>
      </c>
      <c r="F122" s="3535">
        <v>86.53</v>
      </c>
      <c r="G122" s="3536" t="s">
        <v>3431</v>
      </c>
      <c r="H122" s="3652"/>
      <c r="I122" s="3642"/>
      <c r="J122" s="3641"/>
      <c r="K122" s="3642"/>
      <c r="L122" s="3641"/>
      <c r="M122" s="3641"/>
      <c r="N122" s="3642"/>
      <c r="O122" s="3641"/>
    </row>
    <row r="123" spans="1:15">
      <c r="A123" s="3532">
        <v>4</v>
      </c>
      <c r="B123" s="3537" t="s">
        <v>4229</v>
      </c>
      <c r="C123" s="3548">
        <v>82.58</v>
      </c>
      <c r="D123" s="3654"/>
      <c r="E123" s="3533" t="s">
        <v>4230</v>
      </c>
      <c r="F123" s="3535">
        <v>82.59</v>
      </c>
      <c r="G123" s="3536" t="s">
        <v>3431</v>
      </c>
      <c r="H123" s="3652"/>
      <c r="I123" s="3642"/>
      <c r="J123" s="3641"/>
      <c r="K123" s="3642"/>
      <c r="L123" s="3641"/>
      <c r="M123" s="3641"/>
      <c r="N123" s="3642"/>
      <c r="O123" s="3641"/>
    </row>
    <row r="124" spans="1:15">
      <c r="A124" s="3532">
        <v>5</v>
      </c>
      <c r="B124" s="3537" t="s">
        <v>4231</v>
      </c>
      <c r="C124" s="3534">
        <v>82.58</v>
      </c>
      <c r="D124" s="3654"/>
      <c r="E124" s="3533" t="s">
        <v>4232</v>
      </c>
      <c r="F124" s="3535">
        <v>82.59</v>
      </c>
      <c r="G124" s="3536" t="s">
        <v>3431</v>
      </c>
      <c r="H124" s="3652"/>
      <c r="I124" s="3642"/>
      <c r="J124" s="3641"/>
      <c r="K124" s="3642"/>
      <c r="L124" s="3641"/>
      <c r="M124" s="3641"/>
      <c r="N124" s="3642"/>
      <c r="O124" s="3641"/>
    </row>
    <row r="125" spans="1:15">
      <c r="A125" s="3532">
        <v>6</v>
      </c>
      <c r="B125" s="3537" t="s">
        <v>4233</v>
      </c>
      <c r="C125" s="3534">
        <v>82.58</v>
      </c>
      <c r="D125" s="3654"/>
      <c r="E125" s="3533" t="s">
        <v>4234</v>
      </c>
      <c r="F125" s="3535">
        <v>82.59</v>
      </c>
      <c r="G125" s="3536" t="s">
        <v>3431</v>
      </c>
      <c r="H125" s="3652"/>
      <c r="I125" s="3642"/>
      <c r="J125" s="3641"/>
      <c r="K125" s="3642"/>
      <c r="L125" s="3641"/>
      <c r="M125" s="3641"/>
      <c r="N125" s="3642"/>
      <c r="O125" s="3641"/>
    </row>
    <row r="126" spans="1:15">
      <c r="A126" s="3532">
        <v>7</v>
      </c>
      <c r="B126" s="3537" t="s">
        <v>4235</v>
      </c>
      <c r="C126" s="3534">
        <v>82.58</v>
      </c>
      <c r="D126" s="3654"/>
      <c r="E126" s="3533" t="s">
        <v>4236</v>
      </c>
      <c r="F126" s="3535">
        <v>82.59</v>
      </c>
      <c r="G126" s="3536" t="s">
        <v>3431</v>
      </c>
      <c r="H126" s="3652"/>
      <c r="I126" s="3642"/>
      <c r="J126" s="3641"/>
      <c r="K126" s="3642"/>
      <c r="L126" s="3641"/>
      <c r="M126" s="3641"/>
      <c r="N126" s="3642"/>
      <c r="O126" s="3641"/>
    </row>
    <row r="127" spans="1:15">
      <c r="A127" s="3532">
        <v>8</v>
      </c>
      <c r="B127" s="3537" t="s">
        <v>4237</v>
      </c>
      <c r="C127" s="3534">
        <v>86.52</v>
      </c>
      <c r="D127" s="3654"/>
      <c r="E127" s="3533" t="s">
        <v>4238</v>
      </c>
      <c r="F127" s="3535">
        <v>86.53</v>
      </c>
      <c r="G127" s="3536" t="s">
        <v>3431</v>
      </c>
      <c r="H127" s="3652"/>
      <c r="I127" s="3642"/>
      <c r="J127" s="3641"/>
      <c r="K127" s="3642"/>
      <c r="L127" s="3641"/>
      <c r="M127" s="3641"/>
      <c r="N127" s="3642"/>
      <c r="O127" s="3641"/>
    </row>
    <row r="128" spans="1:15">
      <c r="A128" s="3532">
        <v>9</v>
      </c>
      <c r="B128" s="3537" t="s">
        <v>4239</v>
      </c>
      <c r="C128" s="3534">
        <v>86.52</v>
      </c>
      <c r="D128" s="3654"/>
      <c r="E128" s="3533" t="s">
        <v>4240</v>
      </c>
      <c r="F128" s="3535">
        <v>86.53</v>
      </c>
      <c r="G128" s="3536" t="s">
        <v>3431</v>
      </c>
      <c r="H128" s="3652"/>
      <c r="I128" s="3642"/>
      <c r="J128" s="3641"/>
      <c r="K128" s="3642"/>
      <c r="L128" s="3641"/>
      <c r="M128" s="3641"/>
      <c r="N128" s="3642"/>
      <c r="O128" s="3641"/>
    </row>
    <row r="129" spans="1:15">
      <c r="A129" s="3532">
        <v>10</v>
      </c>
      <c r="B129" s="3537" t="s">
        <v>4241</v>
      </c>
      <c r="C129" s="3534">
        <v>86.52</v>
      </c>
      <c r="D129" s="3654"/>
      <c r="E129" s="3533" t="s">
        <v>4242</v>
      </c>
      <c r="F129" s="3535">
        <v>86.53</v>
      </c>
      <c r="G129" s="3536" t="s">
        <v>3431</v>
      </c>
      <c r="H129" s="3652"/>
      <c r="I129" s="3642"/>
      <c r="J129" s="3641"/>
      <c r="K129" s="3642"/>
      <c r="L129" s="3641"/>
      <c r="M129" s="3641"/>
      <c r="N129" s="3642"/>
      <c r="O129" s="3641"/>
    </row>
    <row r="130" spans="1:15">
      <c r="A130" s="3532">
        <v>11</v>
      </c>
      <c r="B130" s="3537" t="s">
        <v>4243</v>
      </c>
      <c r="C130" s="3534">
        <v>86.52</v>
      </c>
      <c r="D130" s="3654"/>
      <c r="E130" s="3533" t="s">
        <v>4244</v>
      </c>
      <c r="F130" s="3535">
        <v>86.53</v>
      </c>
      <c r="G130" s="3536" t="s">
        <v>3431</v>
      </c>
      <c r="H130" s="3652"/>
      <c r="I130" s="3642"/>
      <c r="J130" s="3641"/>
      <c r="K130" s="3642"/>
      <c r="L130" s="3641"/>
      <c r="M130" s="3641"/>
      <c r="N130" s="3642"/>
      <c r="O130" s="3641"/>
    </row>
    <row r="131" spans="1:15">
      <c r="A131" s="3532">
        <v>12</v>
      </c>
      <c r="B131" s="3537" t="s">
        <v>4245</v>
      </c>
      <c r="C131" s="3534">
        <v>86.52</v>
      </c>
      <c r="D131" s="3654"/>
      <c r="E131" s="3533" t="s">
        <v>4246</v>
      </c>
      <c r="F131" s="3535">
        <v>86.53</v>
      </c>
      <c r="G131" s="3536" t="s">
        <v>3431</v>
      </c>
      <c r="H131" s="3652"/>
      <c r="I131" s="3642"/>
      <c r="J131" s="3641"/>
      <c r="K131" s="3642"/>
      <c r="L131" s="3641"/>
      <c r="M131" s="3641"/>
      <c r="N131" s="3642"/>
      <c r="O131" s="3641"/>
    </row>
    <row r="132" spans="1:15">
      <c r="A132" s="3532">
        <v>13</v>
      </c>
      <c r="B132" s="3537" t="s">
        <v>4247</v>
      </c>
      <c r="C132" s="3534">
        <v>86.52</v>
      </c>
      <c r="D132" s="3654"/>
      <c r="E132" s="3533" t="s">
        <v>4248</v>
      </c>
      <c r="F132" s="3535">
        <v>86.53</v>
      </c>
      <c r="G132" s="3536" t="s">
        <v>3431</v>
      </c>
      <c r="H132" s="3652"/>
      <c r="I132" s="3642"/>
      <c r="J132" s="3641"/>
      <c r="K132" s="3642"/>
      <c r="L132" s="3641"/>
      <c r="M132" s="3641"/>
      <c r="N132" s="3642"/>
      <c r="O132" s="3641"/>
    </row>
    <row r="133" spans="1:15">
      <c r="A133" s="3532">
        <v>14</v>
      </c>
      <c r="B133" s="3537" t="s">
        <v>4249</v>
      </c>
      <c r="C133" s="3534">
        <v>86.52</v>
      </c>
      <c r="D133" s="3654"/>
      <c r="E133" s="3533" t="s">
        <v>4250</v>
      </c>
      <c r="F133" s="3535">
        <v>86.53</v>
      </c>
      <c r="G133" s="3536" t="s">
        <v>3431</v>
      </c>
      <c r="H133" s="3652"/>
      <c r="I133" s="3642"/>
      <c r="J133" s="3641"/>
      <c r="K133" s="3642"/>
      <c r="L133" s="3641"/>
      <c r="M133" s="3641"/>
      <c r="N133" s="3642"/>
      <c r="O133" s="3641"/>
    </row>
    <row r="134" spans="1:15" s="3543" customFormat="1">
      <c r="A134" s="3538" t="s">
        <v>4006</v>
      </c>
      <c r="B134" s="3539"/>
      <c r="C134" s="3540">
        <f>SUBTOTAL(9,C120:C133)</f>
        <v>1195.52</v>
      </c>
      <c r="D134" s="3654"/>
      <c r="E134" s="3533" t="s">
        <v>4007</v>
      </c>
      <c r="F134" s="3541">
        <f>SUBTOTAL(9,F120:F133)</f>
        <v>1195.6600000000001</v>
      </c>
      <c r="G134" s="3542"/>
      <c r="H134" s="3652"/>
      <c r="I134" s="3642"/>
      <c r="J134" s="3641"/>
      <c r="K134" s="3642"/>
      <c r="L134" s="3641"/>
      <c r="M134" s="3641"/>
      <c r="N134" s="3642"/>
      <c r="O134" s="3641"/>
    </row>
    <row r="135" spans="1:15">
      <c r="A135" s="3532">
        <v>1</v>
      </c>
      <c r="B135" s="3537" t="s">
        <v>4251</v>
      </c>
      <c r="C135" s="3534">
        <v>87.38</v>
      </c>
      <c r="D135" s="3653" t="s">
        <v>4252</v>
      </c>
      <c r="E135" s="3533" t="s">
        <v>4253</v>
      </c>
      <c r="F135" s="3535">
        <v>87.39</v>
      </c>
      <c r="G135" s="3536" t="s">
        <v>3431</v>
      </c>
      <c r="H135" s="3652"/>
      <c r="I135" s="3642"/>
      <c r="J135" s="3641"/>
      <c r="K135" s="3642"/>
      <c r="L135" s="3641"/>
      <c r="M135" s="3641"/>
      <c r="N135" s="3642"/>
      <c r="O135" s="3641"/>
    </row>
    <row r="136" spans="1:15">
      <c r="A136" s="3532">
        <v>2</v>
      </c>
      <c r="B136" s="3537" t="s">
        <v>4254</v>
      </c>
      <c r="C136" s="3534">
        <v>87.38</v>
      </c>
      <c r="D136" s="3654"/>
      <c r="E136" s="3533" t="s">
        <v>4255</v>
      </c>
      <c r="F136" s="3535">
        <v>87.39</v>
      </c>
      <c r="G136" s="3536" t="s">
        <v>3431</v>
      </c>
      <c r="H136" s="3652"/>
      <c r="I136" s="3642"/>
      <c r="J136" s="3641"/>
      <c r="K136" s="3642"/>
      <c r="L136" s="3641"/>
      <c r="M136" s="3641"/>
      <c r="N136" s="3642"/>
      <c r="O136" s="3641"/>
    </row>
    <row r="137" spans="1:15">
      <c r="A137" s="3532">
        <v>3</v>
      </c>
      <c r="B137" s="3537" t="s">
        <v>4256</v>
      </c>
      <c r="C137" s="3534">
        <v>87.38</v>
      </c>
      <c r="D137" s="3654"/>
      <c r="E137" s="3533" t="s">
        <v>4257</v>
      </c>
      <c r="F137" s="3535">
        <v>87.39</v>
      </c>
      <c r="G137" s="3536" t="s">
        <v>3431</v>
      </c>
      <c r="H137" s="3652"/>
      <c r="I137" s="3642"/>
      <c r="J137" s="3641"/>
      <c r="K137" s="3642"/>
      <c r="L137" s="3641"/>
      <c r="M137" s="3641"/>
      <c r="N137" s="3642"/>
      <c r="O137" s="3641"/>
    </row>
    <row r="138" spans="1:15">
      <c r="A138" s="3532">
        <v>4</v>
      </c>
      <c r="B138" s="3537" t="s">
        <v>4258</v>
      </c>
      <c r="C138" s="3534">
        <v>87.38</v>
      </c>
      <c r="D138" s="3654"/>
      <c r="E138" s="3533" t="s">
        <v>4259</v>
      </c>
      <c r="F138" s="3535">
        <v>87.39</v>
      </c>
      <c r="G138" s="3536" t="s">
        <v>3431</v>
      </c>
      <c r="H138" s="3652"/>
      <c r="I138" s="3642"/>
      <c r="J138" s="3641"/>
      <c r="K138" s="3642"/>
      <c r="L138" s="3641"/>
      <c r="M138" s="3641"/>
      <c r="N138" s="3642"/>
      <c r="O138" s="3641"/>
    </row>
    <row r="139" spans="1:15">
      <c r="A139" s="3532">
        <v>5</v>
      </c>
      <c r="B139" s="3537" t="s">
        <v>4260</v>
      </c>
      <c r="C139" s="3534">
        <v>87.38</v>
      </c>
      <c r="D139" s="3654"/>
      <c r="E139" s="3533" t="s">
        <v>4261</v>
      </c>
      <c r="F139" s="3535">
        <v>87.39</v>
      </c>
      <c r="G139" s="3536" t="s">
        <v>3431</v>
      </c>
      <c r="H139" s="3652"/>
      <c r="I139" s="3642"/>
      <c r="J139" s="3641"/>
      <c r="K139" s="3642"/>
      <c r="L139" s="3641"/>
      <c r="M139" s="3641"/>
      <c r="N139" s="3642"/>
      <c r="O139" s="3641"/>
    </row>
    <row r="140" spans="1:15">
      <c r="A140" s="3532">
        <v>6</v>
      </c>
      <c r="B140" s="3537" t="s">
        <v>4262</v>
      </c>
      <c r="C140" s="3534">
        <v>87.38</v>
      </c>
      <c r="D140" s="3654"/>
      <c r="E140" s="3533" t="s">
        <v>4263</v>
      </c>
      <c r="F140" s="3535">
        <v>87.39</v>
      </c>
      <c r="G140" s="3536" t="s">
        <v>3431</v>
      </c>
      <c r="H140" s="3652"/>
      <c r="I140" s="3642"/>
      <c r="J140" s="3641"/>
      <c r="K140" s="3642"/>
      <c r="L140" s="3641"/>
      <c r="M140" s="3641"/>
      <c r="N140" s="3642"/>
      <c r="O140" s="3641"/>
    </row>
    <row r="141" spans="1:15">
      <c r="A141" s="3532">
        <v>7</v>
      </c>
      <c r="B141" s="3537" t="s">
        <v>4264</v>
      </c>
      <c r="C141" s="3534">
        <v>87.38</v>
      </c>
      <c r="D141" s="3654"/>
      <c r="E141" s="3533" t="s">
        <v>4265</v>
      </c>
      <c r="F141" s="3535">
        <v>87.39</v>
      </c>
      <c r="G141" s="3536" t="s">
        <v>3431</v>
      </c>
      <c r="H141" s="3652"/>
      <c r="I141" s="3642"/>
      <c r="J141" s="3641"/>
      <c r="K141" s="3642"/>
      <c r="L141" s="3641"/>
      <c r="M141" s="3641"/>
      <c r="N141" s="3642"/>
      <c r="O141" s="3641"/>
    </row>
    <row r="142" spans="1:15">
      <c r="A142" s="3532">
        <v>8</v>
      </c>
      <c r="B142" s="3537" t="s">
        <v>4266</v>
      </c>
      <c r="C142" s="3534">
        <v>87.38</v>
      </c>
      <c r="D142" s="3654"/>
      <c r="E142" s="3533" t="s">
        <v>4267</v>
      </c>
      <c r="F142" s="3535">
        <v>87.39</v>
      </c>
      <c r="G142" s="3536" t="s">
        <v>3431</v>
      </c>
      <c r="H142" s="3652"/>
      <c r="I142" s="3642"/>
      <c r="J142" s="3641"/>
      <c r="K142" s="3642"/>
      <c r="L142" s="3641"/>
      <c r="M142" s="3641"/>
      <c r="N142" s="3642"/>
      <c r="O142" s="3641"/>
    </row>
    <row r="143" spans="1:15">
      <c r="A143" s="3532">
        <v>9</v>
      </c>
      <c r="B143" s="3537" t="s">
        <v>4268</v>
      </c>
      <c r="C143" s="3534">
        <v>87.38</v>
      </c>
      <c r="D143" s="3654"/>
      <c r="E143" s="3533" t="s">
        <v>4269</v>
      </c>
      <c r="F143" s="3535">
        <v>87.39</v>
      </c>
      <c r="G143" s="3536" t="s">
        <v>3431</v>
      </c>
      <c r="H143" s="3652"/>
      <c r="I143" s="3642"/>
      <c r="J143" s="3641"/>
      <c r="K143" s="3642"/>
      <c r="L143" s="3641"/>
      <c r="M143" s="3641"/>
      <c r="N143" s="3642"/>
      <c r="O143" s="3641"/>
    </row>
    <row r="144" spans="1:15">
      <c r="A144" s="3532">
        <v>10</v>
      </c>
      <c r="B144" s="3537" t="s">
        <v>4270</v>
      </c>
      <c r="C144" s="3534">
        <v>87.38</v>
      </c>
      <c r="D144" s="3654"/>
      <c r="E144" s="3533" t="s">
        <v>4271</v>
      </c>
      <c r="F144" s="3535">
        <v>87.39</v>
      </c>
      <c r="G144" s="3536" t="s">
        <v>3431</v>
      </c>
      <c r="H144" s="3652"/>
      <c r="I144" s="3642"/>
      <c r="J144" s="3641"/>
      <c r="K144" s="3642"/>
      <c r="L144" s="3641"/>
      <c r="M144" s="3641"/>
      <c r="N144" s="3642"/>
      <c r="O144" s="3641"/>
    </row>
    <row r="145" spans="1:15">
      <c r="A145" s="3532">
        <v>11</v>
      </c>
      <c r="B145" s="3537" t="s">
        <v>4272</v>
      </c>
      <c r="C145" s="3534">
        <v>87.38</v>
      </c>
      <c r="D145" s="3654"/>
      <c r="E145" s="3533" t="s">
        <v>4273</v>
      </c>
      <c r="F145" s="3535">
        <v>87.39</v>
      </c>
      <c r="G145" s="3536" t="s">
        <v>3431</v>
      </c>
      <c r="H145" s="3652"/>
      <c r="I145" s="3642"/>
      <c r="J145" s="3641"/>
      <c r="K145" s="3642"/>
      <c r="L145" s="3641"/>
      <c r="M145" s="3641"/>
      <c r="N145" s="3642"/>
      <c r="O145" s="3641"/>
    </row>
    <row r="146" spans="1:15">
      <c r="A146" s="3532">
        <v>12</v>
      </c>
      <c r="B146" s="3537" t="s">
        <v>4274</v>
      </c>
      <c r="C146" s="3534">
        <v>83.4</v>
      </c>
      <c r="D146" s="3654"/>
      <c r="E146" s="3533" t="s">
        <v>4275</v>
      </c>
      <c r="F146" s="3535">
        <v>83.42</v>
      </c>
      <c r="G146" s="3536" t="s">
        <v>3431</v>
      </c>
      <c r="H146" s="3652"/>
      <c r="I146" s="3642"/>
      <c r="J146" s="3641"/>
      <c r="K146" s="3642"/>
      <c r="L146" s="3641"/>
      <c r="M146" s="3641"/>
      <c r="N146" s="3642"/>
      <c r="O146" s="3641"/>
    </row>
    <row r="147" spans="1:15">
      <c r="A147" s="3532">
        <v>13</v>
      </c>
      <c r="B147" s="3537" t="s">
        <v>4276</v>
      </c>
      <c r="C147" s="3534">
        <v>83.4</v>
      </c>
      <c r="D147" s="3654"/>
      <c r="E147" s="3533" t="s">
        <v>4277</v>
      </c>
      <c r="F147" s="3535">
        <v>83.42</v>
      </c>
      <c r="G147" s="3536" t="s">
        <v>3431</v>
      </c>
      <c r="H147" s="3652"/>
      <c r="I147" s="3642"/>
      <c r="J147" s="3641"/>
      <c r="K147" s="3642"/>
      <c r="L147" s="3641"/>
      <c r="M147" s="3641"/>
      <c r="N147" s="3642"/>
      <c r="O147" s="3641"/>
    </row>
    <row r="148" spans="1:15">
      <c r="A148" s="3532">
        <v>14</v>
      </c>
      <c r="B148" s="3537" t="s">
        <v>4278</v>
      </c>
      <c r="C148" s="3534">
        <v>83.4</v>
      </c>
      <c r="D148" s="3654"/>
      <c r="E148" s="3533" t="s">
        <v>4279</v>
      </c>
      <c r="F148" s="3535">
        <v>83.42</v>
      </c>
      <c r="G148" s="3536" t="s">
        <v>3431</v>
      </c>
      <c r="H148" s="3652"/>
      <c r="I148" s="3642"/>
      <c r="J148" s="3641"/>
      <c r="K148" s="3642"/>
      <c r="L148" s="3641"/>
      <c r="M148" s="3641"/>
      <c r="N148" s="3642"/>
      <c r="O148" s="3641"/>
    </row>
    <row r="149" spans="1:15">
      <c r="A149" s="3532">
        <v>15</v>
      </c>
      <c r="B149" s="3537" t="s">
        <v>4280</v>
      </c>
      <c r="C149" s="3534">
        <v>83.4</v>
      </c>
      <c r="D149" s="3654"/>
      <c r="E149" s="3533" t="s">
        <v>4281</v>
      </c>
      <c r="F149" s="3535">
        <v>83.42</v>
      </c>
      <c r="G149" s="3536" t="s">
        <v>3431</v>
      </c>
      <c r="H149" s="3652"/>
      <c r="I149" s="3642"/>
      <c r="J149" s="3641"/>
      <c r="K149" s="3642"/>
      <c r="L149" s="3641"/>
      <c r="M149" s="3641"/>
      <c r="N149" s="3642"/>
      <c r="O149" s="3641"/>
    </row>
    <row r="150" spans="1:15">
      <c r="A150" s="3532">
        <v>16</v>
      </c>
      <c r="B150" s="3537" t="s">
        <v>4282</v>
      </c>
      <c r="C150" s="3534">
        <v>83.4</v>
      </c>
      <c r="D150" s="3654"/>
      <c r="E150" s="3533" t="s">
        <v>4283</v>
      </c>
      <c r="F150" s="3535">
        <v>83.42</v>
      </c>
      <c r="G150" s="3536" t="s">
        <v>3431</v>
      </c>
      <c r="H150" s="3652"/>
      <c r="I150" s="3642"/>
      <c r="J150" s="3641"/>
      <c r="K150" s="3642"/>
      <c r="L150" s="3641"/>
      <c r="M150" s="3641"/>
      <c r="N150" s="3642"/>
      <c r="O150" s="3641"/>
    </row>
    <row r="151" spans="1:15">
      <c r="A151" s="3532">
        <v>17</v>
      </c>
      <c r="B151" s="3537" t="s">
        <v>4284</v>
      </c>
      <c r="C151" s="3534">
        <v>87.38</v>
      </c>
      <c r="D151" s="3654"/>
      <c r="E151" s="3533" t="s">
        <v>4285</v>
      </c>
      <c r="F151" s="3535">
        <v>87.39</v>
      </c>
      <c r="G151" s="3536" t="s">
        <v>3431</v>
      </c>
      <c r="H151" s="3652"/>
      <c r="I151" s="3642"/>
      <c r="J151" s="3641"/>
      <c r="K151" s="3642"/>
      <c r="L151" s="3641"/>
      <c r="M151" s="3641"/>
      <c r="N151" s="3642"/>
      <c r="O151" s="3641"/>
    </row>
    <row r="152" spans="1:15">
      <c r="A152" s="3532">
        <v>18</v>
      </c>
      <c r="B152" s="3537" t="s">
        <v>4286</v>
      </c>
      <c r="C152" s="3534">
        <v>87.38</v>
      </c>
      <c r="D152" s="3654"/>
      <c r="E152" s="3533" t="s">
        <v>4287</v>
      </c>
      <c r="F152" s="3535">
        <v>87.39</v>
      </c>
      <c r="G152" s="3536" t="s">
        <v>3431</v>
      </c>
      <c r="H152" s="3652"/>
      <c r="I152" s="3642"/>
      <c r="J152" s="3641"/>
      <c r="K152" s="3642"/>
      <c r="L152" s="3641"/>
      <c r="M152" s="3641"/>
      <c r="N152" s="3642"/>
      <c r="O152" s="3641"/>
    </row>
    <row r="153" spans="1:15" s="3543" customFormat="1">
      <c r="A153" s="3538" t="s">
        <v>4006</v>
      </c>
      <c r="B153" s="3539"/>
      <c r="C153" s="3540">
        <f>SUBTOTAL(9,C135:C152)</f>
        <v>1552.9400000000005</v>
      </c>
      <c r="D153" s="3654"/>
      <c r="E153" s="3533" t="s">
        <v>4007</v>
      </c>
      <c r="F153" s="3541">
        <f>SUBTOTAL(9,F135:F152)</f>
        <v>1553.1700000000005</v>
      </c>
      <c r="G153" s="3542"/>
      <c r="H153" s="3652"/>
      <c r="I153" s="3642"/>
      <c r="J153" s="3641"/>
      <c r="K153" s="3642"/>
      <c r="L153" s="3641"/>
      <c r="M153" s="3641"/>
      <c r="N153" s="3642"/>
      <c r="O153" s="3641"/>
    </row>
    <row r="154" spans="1:15">
      <c r="A154" s="3532">
        <v>1</v>
      </c>
      <c r="B154" s="3537" t="s">
        <v>4288</v>
      </c>
      <c r="C154" s="3534">
        <v>85.88</v>
      </c>
      <c r="D154" s="3653" t="s">
        <v>4289</v>
      </c>
      <c r="E154" s="3533" t="s">
        <v>4290</v>
      </c>
      <c r="F154" s="3535">
        <v>85.89</v>
      </c>
      <c r="G154" s="3536" t="s">
        <v>3431</v>
      </c>
      <c r="H154" s="3652"/>
      <c r="I154" s="3642"/>
      <c r="J154" s="3641"/>
      <c r="K154" s="3642"/>
      <c r="L154" s="3641"/>
      <c r="M154" s="3641"/>
      <c r="N154" s="3642"/>
      <c r="O154" s="3641"/>
    </row>
    <row r="155" spans="1:15">
      <c r="A155" s="3532">
        <v>2</v>
      </c>
      <c r="B155" s="3537" t="s">
        <v>4291</v>
      </c>
      <c r="C155" s="3534">
        <v>81.98</v>
      </c>
      <c r="D155" s="3654"/>
      <c r="E155" s="3533" t="s">
        <v>4292</v>
      </c>
      <c r="F155" s="3535">
        <v>81.99</v>
      </c>
      <c r="G155" s="3536" t="s">
        <v>3431</v>
      </c>
      <c r="H155" s="3652"/>
      <c r="I155" s="3642"/>
      <c r="J155" s="3641"/>
      <c r="K155" s="3642"/>
      <c r="L155" s="3641"/>
      <c r="M155" s="3641"/>
      <c r="N155" s="3642"/>
      <c r="O155" s="3641"/>
    </row>
    <row r="156" spans="1:15">
      <c r="A156" s="3532">
        <v>3</v>
      </c>
      <c r="B156" s="3537" t="s">
        <v>4293</v>
      </c>
      <c r="C156" s="3534">
        <v>85.88</v>
      </c>
      <c r="D156" s="3654"/>
      <c r="E156" s="3533" t="s">
        <v>4294</v>
      </c>
      <c r="F156" s="3535">
        <v>85.89</v>
      </c>
      <c r="G156" s="3536" t="s">
        <v>3431</v>
      </c>
      <c r="H156" s="3652"/>
      <c r="I156" s="3642"/>
      <c r="J156" s="3641"/>
      <c r="K156" s="3642"/>
      <c r="L156" s="3641"/>
      <c r="M156" s="3641"/>
      <c r="N156" s="3642"/>
      <c r="O156" s="3641"/>
    </row>
    <row r="157" spans="1:15">
      <c r="A157" s="3532">
        <v>4</v>
      </c>
      <c r="B157" s="3537" t="s">
        <v>4295</v>
      </c>
      <c r="C157" s="3534">
        <v>81.98</v>
      </c>
      <c r="D157" s="3654"/>
      <c r="E157" s="3533" t="s">
        <v>4296</v>
      </c>
      <c r="F157" s="3535">
        <v>81.99</v>
      </c>
      <c r="G157" s="3536" t="s">
        <v>3431</v>
      </c>
      <c r="H157" s="3652"/>
      <c r="I157" s="3642"/>
      <c r="J157" s="3641"/>
      <c r="K157" s="3642"/>
      <c r="L157" s="3641"/>
      <c r="M157" s="3641"/>
      <c r="N157" s="3642"/>
      <c r="O157" s="3641"/>
    </row>
    <row r="158" spans="1:15">
      <c r="A158" s="3532">
        <v>5</v>
      </c>
      <c r="B158" s="3537" t="s">
        <v>4297</v>
      </c>
      <c r="C158" s="3534">
        <v>85.88</v>
      </c>
      <c r="D158" s="3654"/>
      <c r="E158" s="3533" t="s">
        <v>4298</v>
      </c>
      <c r="F158" s="3535">
        <v>85.89</v>
      </c>
      <c r="G158" s="3536" t="s">
        <v>3431</v>
      </c>
      <c r="H158" s="3652"/>
      <c r="I158" s="3642"/>
      <c r="J158" s="3641"/>
      <c r="K158" s="3642"/>
      <c r="L158" s="3641"/>
      <c r="M158" s="3641"/>
      <c r="N158" s="3642"/>
      <c r="O158" s="3641"/>
    </row>
    <row r="159" spans="1:15">
      <c r="A159" s="3532">
        <v>6</v>
      </c>
      <c r="B159" s="3537" t="s">
        <v>4299</v>
      </c>
      <c r="C159" s="3534">
        <v>81.98</v>
      </c>
      <c r="D159" s="3654"/>
      <c r="E159" s="3533" t="s">
        <v>4300</v>
      </c>
      <c r="F159" s="3535">
        <v>81.99</v>
      </c>
      <c r="G159" s="3536" t="s">
        <v>3431</v>
      </c>
      <c r="H159" s="3652"/>
      <c r="I159" s="3642"/>
      <c r="J159" s="3641"/>
      <c r="K159" s="3642"/>
      <c r="L159" s="3641"/>
      <c r="M159" s="3641"/>
      <c r="N159" s="3642"/>
      <c r="O159" s="3641"/>
    </row>
    <row r="160" spans="1:15">
      <c r="A160" s="3532">
        <v>7</v>
      </c>
      <c r="B160" s="3537" t="s">
        <v>4301</v>
      </c>
      <c r="C160" s="3534">
        <v>85.88</v>
      </c>
      <c r="D160" s="3654"/>
      <c r="E160" s="3533" t="s">
        <v>4302</v>
      </c>
      <c r="F160" s="3535">
        <v>85.89</v>
      </c>
      <c r="G160" s="3536" t="s">
        <v>3431</v>
      </c>
      <c r="H160" s="3652"/>
      <c r="I160" s="3642"/>
      <c r="J160" s="3641"/>
      <c r="K160" s="3642"/>
      <c r="L160" s="3641"/>
      <c r="M160" s="3641"/>
      <c r="N160" s="3642"/>
      <c r="O160" s="3641"/>
    </row>
    <row r="161" spans="1:15">
      <c r="A161" s="3532">
        <v>8</v>
      </c>
      <c r="B161" s="3537" t="s">
        <v>4303</v>
      </c>
      <c r="C161" s="3534">
        <v>81.98</v>
      </c>
      <c r="D161" s="3654"/>
      <c r="E161" s="3533" t="s">
        <v>4304</v>
      </c>
      <c r="F161" s="3535">
        <v>81.99</v>
      </c>
      <c r="G161" s="3536" t="s">
        <v>3431</v>
      </c>
      <c r="H161" s="3652"/>
      <c r="I161" s="3642"/>
      <c r="J161" s="3641"/>
      <c r="K161" s="3642"/>
      <c r="L161" s="3641"/>
      <c r="M161" s="3641"/>
      <c r="N161" s="3642"/>
      <c r="O161" s="3641"/>
    </row>
    <row r="162" spans="1:15">
      <c r="A162" s="3532">
        <v>9</v>
      </c>
      <c r="B162" s="3537" t="s">
        <v>4305</v>
      </c>
      <c r="C162" s="3534">
        <v>85.88</v>
      </c>
      <c r="D162" s="3654"/>
      <c r="E162" s="3533" t="s">
        <v>4306</v>
      </c>
      <c r="F162" s="3535">
        <v>85.89</v>
      </c>
      <c r="G162" s="3536" t="s">
        <v>3431</v>
      </c>
      <c r="H162" s="3652"/>
      <c r="I162" s="3642"/>
      <c r="J162" s="3641"/>
      <c r="K162" s="3642"/>
      <c r="L162" s="3641"/>
      <c r="M162" s="3641"/>
      <c r="N162" s="3642"/>
      <c r="O162" s="3641"/>
    </row>
    <row r="163" spans="1:15">
      <c r="A163" s="3532">
        <v>10</v>
      </c>
      <c r="B163" s="3537" t="s">
        <v>4307</v>
      </c>
      <c r="C163" s="3534">
        <v>81.98</v>
      </c>
      <c r="D163" s="3654"/>
      <c r="E163" s="3533" t="s">
        <v>4308</v>
      </c>
      <c r="F163" s="3535">
        <v>81.99</v>
      </c>
      <c r="G163" s="3536" t="s">
        <v>3431</v>
      </c>
      <c r="H163" s="3652"/>
      <c r="I163" s="3642"/>
      <c r="J163" s="3641"/>
      <c r="K163" s="3642"/>
      <c r="L163" s="3641"/>
      <c r="M163" s="3641"/>
      <c r="N163" s="3642"/>
      <c r="O163" s="3641"/>
    </row>
    <row r="164" spans="1:15">
      <c r="A164" s="3532">
        <v>11</v>
      </c>
      <c r="B164" s="3537" t="s">
        <v>4309</v>
      </c>
      <c r="C164" s="3534">
        <v>85.88</v>
      </c>
      <c r="D164" s="3654"/>
      <c r="E164" s="3533" t="s">
        <v>4310</v>
      </c>
      <c r="F164" s="3535">
        <v>85.89</v>
      </c>
      <c r="G164" s="3536" t="s">
        <v>3431</v>
      </c>
      <c r="H164" s="3652"/>
      <c r="I164" s="3642"/>
      <c r="J164" s="3641"/>
      <c r="K164" s="3642"/>
      <c r="L164" s="3641"/>
      <c r="M164" s="3641"/>
      <c r="N164" s="3642"/>
      <c r="O164" s="3641"/>
    </row>
    <row r="165" spans="1:15">
      <c r="A165" s="3532">
        <v>12</v>
      </c>
      <c r="B165" s="3537" t="s">
        <v>4311</v>
      </c>
      <c r="C165" s="3534">
        <v>81.98</v>
      </c>
      <c r="D165" s="3654"/>
      <c r="E165" s="3533" t="s">
        <v>4312</v>
      </c>
      <c r="F165" s="3535">
        <v>81.99</v>
      </c>
      <c r="G165" s="3536" t="s">
        <v>3431</v>
      </c>
      <c r="H165" s="3652"/>
      <c r="I165" s="3642"/>
      <c r="J165" s="3641"/>
      <c r="K165" s="3642"/>
      <c r="L165" s="3641"/>
      <c r="M165" s="3641"/>
      <c r="N165" s="3642"/>
      <c r="O165" s="3641"/>
    </row>
    <row r="166" spans="1:15">
      <c r="A166" s="3532">
        <v>13</v>
      </c>
      <c r="B166" s="3537" t="s">
        <v>4313</v>
      </c>
      <c r="C166" s="3534">
        <v>85.88</v>
      </c>
      <c r="D166" s="3654"/>
      <c r="E166" s="3533" t="s">
        <v>4314</v>
      </c>
      <c r="F166" s="3535">
        <v>85.89</v>
      </c>
      <c r="G166" s="3536" t="s">
        <v>3431</v>
      </c>
      <c r="H166" s="3652"/>
      <c r="I166" s="3642"/>
      <c r="J166" s="3641"/>
      <c r="K166" s="3642"/>
      <c r="L166" s="3641"/>
      <c r="M166" s="3641"/>
      <c r="N166" s="3642"/>
      <c r="O166" s="3641"/>
    </row>
    <row r="167" spans="1:15">
      <c r="A167" s="3532">
        <v>14</v>
      </c>
      <c r="B167" s="3537" t="s">
        <v>4315</v>
      </c>
      <c r="C167" s="3534">
        <v>85.88</v>
      </c>
      <c r="D167" s="3654"/>
      <c r="E167" s="3533" t="s">
        <v>4316</v>
      </c>
      <c r="F167" s="3535">
        <v>85.89</v>
      </c>
      <c r="G167" s="3536" t="s">
        <v>3431</v>
      </c>
      <c r="H167" s="3652"/>
      <c r="I167" s="3642"/>
      <c r="J167" s="3641"/>
      <c r="K167" s="3642"/>
      <c r="L167" s="3641"/>
      <c r="M167" s="3641"/>
      <c r="N167" s="3642"/>
      <c r="O167" s="3641"/>
    </row>
    <row r="168" spans="1:15">
      <c r="A168" s="3532">
        <v>15</v>
      </c>
      <c r="B168" s="3537" t="s">
        <v>4317</v>
      </c>
      <c r="C168" s="3534">
        <v>81.98</v>
      </c>
      <c r="D168" s="3654"/>
      <c r="E168" s="3533" t="s">
        <v>4318</v>
      </c>
      <c r="F168" s="3535">
        <v>81.99</v>
      </c>
      <c r="G168" s="3536" t="s">
        <v>3431</v>
      </c>
      <c r="H168" s="3652"/>
      <c r="I168" s="3642"/>
      <c r="J168" s="3641"/>
      <c r="K168" s="3642"/>
      <c r="L168" s="3641"/>
      <c r="M168" s="3641"/>
      <c r="N168" s="3642"/>
      <c r="O168" s="3641"/>
    </row>
    <row r="169" spans="1:15">
      <c r="A169" s="3532">
        <v>16</v>
      </c>
      <c r="B169" s="3537" t="s">
        <v>4319</v>
      </c>
      <c r="C169" s="3534">
        <v>85.88</v>
      </c>
      <c r="D169" s="3654"/>
      <c r="E169" s="3533" t="s">
        <v>4320</v>
      </c>
      <c r="F169" s="3535">
        <v>85.89</v>
      </c>
      <c r="G169" s="3536" t="s">
        <v>3431</v>
      </c>
      <c r="H169" s="3652"/>
      <c r="I169" s="3642"/>
      <c r="J169" s="3641"/>
      <c r="K169" s="3642"/>
      <c r="L169" s="3641"/>
      <c r="M169" s="3641"/>
      <c r="N169" s="3642"/>
      <c r="O169" s="3641"/>
    </row>
    <row r="170" spans="1:15">
      <c r="A170" s="3532">
        <v>17</v>
      </c>
      <c r="B170" s="3537" t="s">
        <v>4321</v>
      </c>
      <c r="C170" s="3534">
        <v>81.98</v>
      </c>
      <c r="D170" s="3654"/>
      <c r="E170" s="3533" t="s">
        <v>4322</v>
      </c>
      <c r="F170" s="3535">
        <v>81.99</v>
      </c>
      <c r="G170" s="3536" t="s">
        <v>3431</v>
      </c>
      <c r="H170" s="3652"/>
      <c r="I170" s="3642"/>
      <c r="J170" s="3641"/>
      <c r="K170" s="3642"/>
      <c r="L170" s="3641"/>
      <c r="M170" s="3641"/>
      <c r="N170" s="3642"/>
      <c r="O170" s="3641"/>
    </row>
    <row r="171" spans="1:15">
      <c r="A171" s="3532">
        <v>18</v>
      </c>
      <c r="B171" s="3537" t="s">
        <v>4323</v>
      </c>
      <c r="C171" s="3534">
        <v>81.98</v>
      </c>
      <c r="D171" s="3654"/>
      <c r="E171" s="3533" t="s">
        <v>4324</v>
      </c>
      <c r="F171" s="3535">
        <v>81.99</v>
      </c>
      <c r="G171" s="3536" t="s">
        <v>3431</v>
      </c>
      <c r="H171" s="3652"/>
      <c r="I171" s="3642"/>
      <c r="J171" s="3641"/>
      <c r="K171" s="3642"/>
      <c r="L171" s="3641"/>
      <c r="M171" s="3641"/>
      <c r="N171" s="3642"/>
      <c r="O171" s="3641"/>
    </row>
    <row r="172" spans="1:15">
      <c r="A172" s="3532">
        <v>19</v>
      </c>
      <c r="B172" s="3537" t="s">
        <v>4325</v>
      </c>
      <c r="C172" s="3534">
        <v>85.88</v>
      </c>
      <c r="D172" s="3654"/>
      <c r="E172" s="3533" t="s">
        <v>4326</v>
      </c>
      <c r="F172" s="3535">
        <v>85.89</v>
      </c>
      <c r="G172" s="3536" t="s">
        <v>3431</v>
      </c>
      <c r="H172" s="3652"/>
      <c r="I172" s="3642"/>
      <c r="J172" s="3641"/>
      <c r="K172" s="3642"/>
      <c r="L172" s="3641"/>
      <c r="M172" s="3641"/>
      <c r="N172" s="3642"/>
      <c r="O172" s="3641"/>
    </row>
    <row r="173" spans="1:15">
      <c r="A173" s="3532">
        <v>20</v>
      </c>
      <c r="B173" s="3537" t="s">
        <v>4327</v>
      </c>
      <c r="C173" s="3534">
        <v>81.98</v>
      </c>
      <c r="D173" s="3654"/>
      <c r="E173" s="3533" t="s">
        <v>4328</v>
      </c>
      <c r="F173" s="3535">
        <v>81.99</v>
      </c>
      <c r="G173" s="3536" t="s">
        <v>3431</v>
      </c>
      <c r="H173" s="3652"/>
      <c r="I173" s="3642"/>
      <c r="J173" s="3641"/>
      <c r="K173" s="3642"/>
      <c r="L173" s="3641"/>
      <c r="M173" s="3641"/>
      <c r="N173" s="3642"/>
      <c r="O173" s="3641"/>
    </row>
    <row r="174" spans="1:15">
      <c r="A174" s="3532">
        <v>21</v>
      </c>
      <c r="B174" s="3537" t="s">
        <v>4329</v>
      </c>
      <c r="C174" s="3534">
        <v>85.88</v>
      </c>
      <c r="D174" s="3654"/>
      <c r="E174" s="3533" t="s">
        <v>4330</v>
      </c>
      <c r="F174" s="3535">
        <v>85.89</v>
      </c>
      <c r="G174" s="3536" t="s">
        <v>3431</v>
      </c>
      <c r="H174" s="3652"/>
      <c r="I174" s="3642"/>
      <c r="J174" s="3641"/>
      <c r="K174" s="3642"/>
      <c r="L174" s="3641"/>
      <c r="M174" s="3641"/>
      <c r="N174" s="3642"/>
      <c r="O174" s="3641"/>
    </row>
    <row r="175" spans="1:15">
      <c r="A175" s="3532">
        <v>22</v>
      </c>
      <c r="B175" s="3537" t="s">
        <v>4331</v>
      </c>
      <c r="C175" s="3534">
        <v>81.98</v>
      </c>
      <c r="D175" s="3654"/>
      <c r="E175" s="3533" t="s">
        <v>4332</v>
      </c>
      <c r="F175" s="3535">
        <v>81.99</v>
      </c>
      <c r="G175" s="3536" t="s">
        <v>3431</v>
      </c>
      <c r="H175" s="3652"/>
      <c r="I175" s="3642"/>
      <c r="J175" s="3641"/>
      <c r="K175" s="3642"/>
      <c r="L175" s="3641"/>
      <c r="M175" s="3641"/>
      <c r="N175" s="3642"/>
      <c r="O175" s="3641"/>
    </row>
    <row r="176" spans="1:15">
      <c r="A176" s="3532">
        <v>23</v>
      </c>
      <c r="B176" s="3537" t="s">
        <v>4333</v>
      </c>
      <c r="C176" s="3534">
        <v>85.88</v>
      </c>
      <c r="D176" s="3654"/>
      <c r="E176" s="3533" t="s">
        <v>4334</v>
      </c>
      <c r="F176" s="3535">
        <v>85.89</v>
      </c>
      <c r="G176" s="3536" t="s">
        <v>3431</v>
      </c>
      <c r="H176" s="3652"/>
      <c r="I176" s="3642"/>
      <c r="J176" s="3641"/>
      <c r="K176" s="3642"/>
      <c r="L176" s="3641"/>
      <c r="M176" s="3641"/>
      <c r="N176" s="3642"/>
      <c r="O176" s="3641"/>
    </row>
    <row r="177" spans="1:15">
      <c r="A177" s="3532">
        <v>24</v>
      </c>
      <c r="B177" s="3537" t="s">
        <v>4335</v>
      </c>
      <c r="C177" s="3534">
        <v>81.98</v>
      </c>
      <c r="D177" s="3654"/>
      <c r="E177" s="3533" t="s">
        <v>4336</v>
      </c>
      <c r="F177" s="3535">
        <v>81.99</v>
      </c>
      <c r="G177" s="3536" t="s">
        <v>3431</v>
      </c>
      <c r="H177" s="3652"/>
      <c r="I177" s="3642"/>
      <c r="J177" s="3641"/>
      <c r="K177" s="3642"/>
      <c r="L177" s="3641"/>
      <c r="M177" s="3641"/>
      <c r="N177" s="3642"/>
      <c r="O177" s="3641"/>
    </row>
    <row r="178" spans="1:15">
      <c r="A178" s="3532">
        <v>25</v>
      </c>
      <c r="B178" s="3537" t="s">
        <v>4337</v>
      </c>
      <c r="C178" s="3534">
        <v>85.88</v>
      </c>
      <c r="D178" s="3654"/>
      <c r="E178" s="3533" t="s">
        <v>4338</v>
      </c>
      <c r="F178" s="3535">
        <v>85.89</v>
      </c>
      <c r="G178" s="3536" t="s">
        <v>3431</v>
      </c>
      <c r="H178" s="3652"/>
      <c r="I178" s="3642"/>
      <c r="J178" s="3641"/>
      <c r="K178" s="3642"/>
      <c r="L178" s="3641"/>
      <c r="M178" s="3641"/>
      <c r="N178" s="3642"/>
      <c r="O178" s="3641"/>
    </row>
    <row r="179" spans="1:15">
      <c r="A179" s="3532">
        <v>26</v>
      </c>
      <c r="B179" s="3537" t="s">
        <v>4339</v>
      </c>
      <c r="C179" s="3534">
        <v>85.88</v>
      </c>
      <c r="D179" s="3654"/>
      <c r="E179" s="3533" t="s">
        <v>4340</v>
      </c>
      <c r="F179" s="3535">
        <v>85.89</v>
      </c>
      <c r="G179" s="3536" t="s">
        <v>3431</v>
      </c>
      <c r="H179" s="3652"/>
      <c r="I179" s="3642"/>
      <c r="J179" s="3641"/>
      <c r="K179" s="3642"/>
      <c r="L179" s="3641"/>
      <c r="M179" s="3641"/>
      <c r="N179" s="3642"/>
      <c r="O179" s="3641"/>
    </row>
    <row r="180" spans="1:15">
      <c r="A180" s="3532">
        <v>27</v>
      </c>
      <c r="B180" s="3537" t="s">
        <v>4341</v>
      </c>
      <c r="C180" s="3534">
        <v>85.88</v>
      </c>
      <c r="D180" s="3654"/>
      <c r="E180" s="3533" t="s">
        <v>4342</v>
      </c>
      <c r="F180" s="3535">
        <v>85.89</v>
      </c>
      <c r="G180" s="3536" t="s">
        <v>3431</v>
      </c>
      <c r="H180" s="3652"/>
      <c r="I180" s="3642"/>
      <c r="J180" s="3641"/>
      <c r="K180" s="3642"/>
      <c r="L180" s="3641"/>
      <c r="M180" s="3641"/>
      <c r="N180" s="3642"/>
      <c r="O180" s="3641"/>
    </row>
    <row r="181" spans="1:15">
      <c r="A181" s="3532">
        <v>28</v>
      </c>
      <c r="B181" s="3537" t="s">
        <v>4343</v>
      </c>
      <c r="C181" s="3534">
        <v>81.98</v>
      </c>
      <c r="D181" s="3654"/>
      <c r="E181" s="3533" t="s">
        <v>4344</v>
      </c>
      <c r="F181" s="3535">
        <v>81.99</v>
      </c>
      <c r="G181" s="3536" t="s">
        <v>3431</v>
      </c>
      <c r="H181" s="3652"/>
      <c r="I181" s="3642"/>
      <c r="J181" s="3641"/>
      <c r="K181" s="3642"/>
      <c r="L181" s="3641"/>
      <c r="M181" s="3641"/>
      <c r="N181" s="3642"/>
      <c r="O181" s="3641"/>
    </row>
    <row r="182" spans="1:15">
      <c r="A182" s="3532">
        <v>29</v>
      </c>
      <c r="B182" s="3537" t="s">
        <v>4345</v>
      </c>
      <c r="C182" s="3534">
        <v>85.88</v>
      </c>
      <c r="D182" s="3654"/>
      <c r="E182" s="3533" t="s">
        <v>4346</v>
      </c>
      <c r="F182" s="3535">
        <v>85.89</v>
      </c>
      <c r="G182" s="3536" t="s">
        <v>3431</v>
      </c>
      <c r="H182" s="3652"/>
      <c r="I182" s="3642"/>
      <c r="J182" s="3641"/>
      <c r="K182" s="3642"/>
      <c r="L182" s="3641"/>
      <c r="M182" s="3641"/>
      <c r="N182" s="3642"/>
      <c r="O182" s="3641"/>
    </row>
    <row r="183" spans="1:15">
      <c r="A183" s="3532">
        <v>30</v>
      </c>
      <c r="B183" s="3537" t="s">
        <v>4347</v>
      </c>
      <c r="C183" s="3534">
        <v>85.88</v>
      </c>
      <c r="D183" s="3654"/>
      <c r="E183" s="3533" t="s">
        <v>4348</v>
      </c>
      <c r="F183" s="3535">
        <v>85.89</v>
      </c>
      <c r="G183" s="3536" t="s">
        <v>3431</v>
      </c>
      <c r="H183" s="3652"/>
      <c r="I183" s="3642"/>
      <c r="J183" s="3641"/>
      <c r="K183" s="3642"/>
      <c r="L183" s="3641"/>
      <c r="M183" s="3641"/>
      <c r="N183" s="3642"/>
      <c r="O183" s="3641"/>
    </row>
    <row r="184" spans="1:15">
      <c r="A184" s="3532">
        <v>31</v>
      </c>
      <c r="B184" s="3537" t="s">
        <v>4349</v>
      </c>
      <c r="C184" s="3534">
        <v>81.98</v>
      </c>
      <c r="D184" s="3654"/>
      <c r="E184" s="3533" t="s">
        <v>4350</v>
      </c>
      <c r="F184" s="3535">
        <v>81.99</v>
      </c>
      <c r="G184" s="3536" t="s">
        <v>3431</v>
      </c>
      <c r="H184" s="3652"/>
      <c r="I184" s="3642"/>
      <c r="J184" s="3641"/>
      <c r="K184" s="3642"/>
      <c r="L184" s="3641"/>
      <c r="M184" s="3641"/>
      <c r="N184" s="3642"/>
      <c r="O184" s="3641"/>
    </row>
    <row r="185" spans="1:15">
      <c r="A185" s="3532">
        <v>32</v>
      </c>
      <c r="B185" s="3537" t="s">
        <v>4351</v>
      </c>
      <c r="C185" s="3534">
        <v>85.88</v>
      </c>
      <c r="D185" s="3654"/>
      <c r="E185" s="3533" t="s">
        <v>4352</v>
      </c>
      <c r="F185" s="3535">
        <v>85.89</v>
      </c>
      <c r="G185" s="3536" t="s">
        <v>3431</v>
      </c>
      <c r="H185" s="3652"/>
      <c r="I185" s="3642"/>
      <c r="J185" s="3641"/>
      <c r="K185" s="3642"/>
      <c r="L185" s="3641"/>
      <c r="M185" s="3641"/>
      <c r="N185" s="3642"/>
      <c r="O185" s="3641"/>
    </row>
    <row r="186" spans="1:15" s="3543" customFormat="1">
      <c r="A186" s="3538" t="s">
        <v>4006</v>
      </c>
      <c r="B186" s="3539"/>
      <c r="C186" s="3540">
        <f>SUBTOTAL(9,C154:C185)</f>
        <v>2693.5600000000013</v>
      </c>
      <c r="D186" s="3654"/>
      <c r="E186" s="3533" t="s">
        <v>4007</v>
      </c>
      <c r="F186" s="3541">
        <f>SUBTOTAL(9,F154:F185)</f>
        <v>2693.8799999999997</v>
      </c>
      <c r="G186" s="3542"/>
      <c r="H186" s="3652"/>
      <c r="I186" s="3642"/>
      <c r="J186" s="3641"/>
      <c r="K186" s="3642"/>
      <c r="L186" s="3641"/>
      <c r="M186" s="3641"/>
      <c r="N186" s="3642"/>
      <c r="O186" s="3641"/>
    </row>
    <row r="187" spans="1:15">
      <c r="A187" s="3532">
        <v>1</v>
      </c>
      <c r="B187" s="3537" t="s">
        <v>4353</v>
      </c>
      <c r="C187" s="3534">
        <v>87.24</v>
      </c>
      <c r="D187" s="3653" t="s">
        <v>4354</v>
      </c>
      <c r="E187" s="3533" t="s">
        <v>4355</v>
      </c>
      <c r="F187" s="3535">
        <v>87.26</v>
      </c>
      <c r="G187" s="3536" t="s">
        <v>3431</v>
      </c>
      <c r="H187" s="3652"/>
      <c r="I187" s="3642"/>
      <c r="J187" s="3641"/>
      <c r="K187" s="3642"/>
      <c r="L187" s="3641"/>
      <c r="M187" s="3641"/>
      <c r="N187" s="3642"/>
      <c r="O187" s="3641"/>
    </row>
    <row r="188" spans="1:15">
      <c r="A188" s="3532">
        <v>2</v>
      </c>
      <c r="B188" s="3537" t="s">
        <v>4356</v>
      </c>
      <c r="C188" s="3534">
        <v>87.24</v>
      </c>
      <c r="D188" s="3654"/>
      <c r="E188" s="3533" t="s">
        <v>4357</v>
      </c>
      <c r="F188" s="3535">
        <v>87.26</v>
      </c>
      <c r="G188" s="3536" t="s">
        <v>3431</v>
      </c>
      <c r="H188" s="3652"/>
      <c r="I188" s="3642"/>
      <c r="J188" s="3641"/>
      <c r="K188" s="3642"/>
      <c r="L188" s="3641"/>
      <c r="M188" s="3641"/>
      <c r="N188" s="3642"/>
      <c r="O188" s="3641"/>
    </row>
    <row r="189" spans="1:15">
      <c r="A189" s="3532">
        <v>3</v>
      </c>
      <c r="B189" s="3537" t="s">
        <v>4358</v>
      </c>
      <c r="C189" s="3534">
        <v>87.24</v>
      </c>
      <c r="D189" s="3654"/>
      <c r="E189" s="3533" t="s">
        <v>4359</v>
      </c>
      <c r="F189" s="3535">
        <v>87.26</v>
      </c>
      <c r="G189" s="3536" t="s">
        <v>3431</v>
      </c>
      <c r="H189" s="3652"/>
      <c r="I189" s="3642"/>
      <c r="J189" s="3641"/>
      <c r="K189" s="3642"/>
      <c r="L189" s="3641"/>
      <c r="M189" s="3641"/>
      <c r="N189" s="3642"/>
      <c r="O189" s="3641"/>
    </row>
    <row r="190" spans="1:15">
      <c r="A190" s="3532">
        <v>4</v>
      </c>
      <c r="B190" s="3537" t="s">
        <v>4360</v>
      </c>
      <c r="C190" s="3534">
        <v>83.27</v>
      </c>
      <c r="D190" s="3654"/>
      <c r="E190" s="3533" t="s">
        <v>4361</v>
      </c>
      <c r="F190" s="3535">
        <v>83.29</v>
      </c>
      <c r="G190" s="3536" t="s">
        <v>3431</v>
      </c>
      <c r="H190" s="3652"/>
      <c r="I190" s="3642"/>
      <c r="J190" s="3641"/>
      <c r="K190" s="3642"/>
      <c r="L190" s="3641"/>
      <c r="M190" s="3641"/>
      <c r="N190" s="3642"/>
      <c r="O190" s="3641"/>
    </row>
    <row r="191" spans="1:15">
      <c r="A191" s="3532">
        <v>5</v>
      </c>
      <c r="B191" s="3537" t="s">
        <v>4362</v>
      </c>
      <c r="C191" s="3534">
        <v>87.24</v>
      </c>
      <c r="D191" s="3654"/>
      <c r="E191" s="3533" t="s">
        <v>4363</v>
      </c>
      <c r="F191" s="3535">
        <v>87.26</v>
      </c>
      <c r="G191" s="3536" t="s">
        <v>3431</v>
      </c>
      <c r="H191" s="3652"/>
      <c r="I191" s="3642"/>
      <c r="J191" s="3641"/>
      <c r="K191" s="3642"/>
      <c r="L191" s="3641"/>
      <c r="M191" s="3641"/>
      <c r="N191" s="3642"/>
      <c r="O191" s="3641"/>
    </row>
    <row r="192" spans="1:15">
      <c r="A192" s="3532">
        <v>6</v>
      </c>
      <c r="B192" s="3537" t="s">
        <v>4364</v>
      </c>
      <c r="C192" s="3534">
        <v>83.27</v>
      </c>
      <c r="D192" s="3654"/>
      <c r="E192" s="3533" t="s">
        <v>4365</v>
      </c>
      <c r="F192" s="3535">
        <v>83.29</v>
      </c>
      <c r="G192" s="3536" t="s">
        <v>3431</v>
      </c>
      <c r="H192" s="3652"/>
      <c r="I192" s="3642"/>
      <c r="J192" s="3641"/>
      <c r="K192" s="3642"/>
      <c r="L192" s="3641"/>
      <c r="M192" s="3641"/>
      <c r="N192" s="3642"/>
      <c r="O192" s="3641"/>
    </row>
    <row r="193" spans="1:15">
      <c r="A193" s="3532">
        <v>7</v>
      </c>
      <c r="B193" s="3537" t="s">
        <v>4366</v>
      </c>
      <c r="C193" s="3534">
        <v>87.24</v>
      </c>
      <c r="D193" s="3654"/>
      <c r="E193" s="3533" t="s">
        <v>4367</v>
      </c>
      <c r="F193" s="3535">
        <v>87.26</v>
      </c>
      <c r="G193" s="3536" t="s">
        <v>3431</v>
      </c>
      <c r="H193" s="3652"/>
      <c r="I193" s="3642"/>
      <c r="J193" s="3641"/>
      <c r="K193" s="3642"/>
      <c r="L193" s="3641"/>
      <c r="M193" s="3641"/>
      <c r="N193" s="3642"/>
      <c r="O193" s="3641"/>
    </row>
    <row r="194" spans="1:15">
      <c r="A194" s="3532">
        <v>8</v>
      </c>
      <c r="B194" s="3537" t="s">
        <v>4368</v>
      </c>
      <c r="C194" s="3534">
        <v>83.27</v>
      </c>
      <c r="D194" s="3654"/>
      <c r="E194" s="3533" t="s">
        <v>4369</v>
      </c>
      <c r="F194" s="3535">
        <v>83.29</v>
      </c>
      <c r="G194" s="3536" t="s">
        <v>3431</v>
      </c>
      <c r="H194" s="3652"/>
      <c r="I194" s="3642"/>
      <c r="J194" s="3641"/>
      <c r="K194" s="3642"/>
      <c r="L194" s="3641"/>
      <c r="M194" s="3641"/>
      <c r="N194" s="3642"/>
      <c r="O194" s="3641"/>
    </row>
    <row r="195" spans="1:15">
      <c r="A195" s="3532">
        <v>9</v>
      </c>
      <c r="B195" s="3537" t="s">
        <v>4370</v>
      </c>
      <c r="C195" s="3534">
        <v>87.24</v>
      </c>
      <c r="D195" s="3654"/>
      <c r="E195" s="3533" t="s">
        <v>4371</v>
      </c>
      <c r="F195" s="3535">
        <v>87.26</v>
      </c>
      <c r="G195" s="3536" t="s">
        <v>3431</v>
      </c>
      <c r="H195" s="3652"/>
      <c r="I195" s="3642"/>
      <c r="J195" s="3641"/>
      <c r="K195" s="3642"/>
      <c r="L195" s="3641"/>
      <c r="M195" s="3641"/>
      <c r="N195" s="3642"/>
      <c r="O195" s="3641"/>
    </row>
    <row r="196" spans="1:15">
      <c r="A196" s="3532">
        <v>10</v>
      </c>
      <c r="B196" s="3537" t="s">
        <v>4372</v>
      </c>
      <c r="C196" s="3534">
        <v>83.27</v>
      </c>
      <c r="D196" s="3654"/>
      <c r="E196" s="3533" t="s">
        <v>4373</v>
      </c>
      <c r="F196" s="3535">
        <v>83.29</v>
      </c>
      <c r="G196" s="3536" t="s">
        <v>3431</v>
      </c>
      <c r="H196" s="3652"/>
      <c r="I196" s="3642"/>
      <c r="J196" s="3641"/>
      <c r="K196" s="3642"/>
      <c r="L196" s="3641"/>
      <c r="M196" s="3641"/>
      <c r="N196" s="3642"/>
      <c r="O196" s="3641"/>
    </row>
    <row r="197" spans="1:15">
      <c r="A197" s="3532">
        <v>11</v>
      </c>
      <c r="B197" s="3537" t="s">
        <v>4374</v>
      </c>
      <c r="C197" s="3534">
        <v>87.24</v>
      </c>
      <c r="D197" s="3654"/>
      <c r="E197" s="3533" t="s">
        <v>4375</v>
      </c>
      <c r="F197" s="3535">
        <v>87.26</v>
      </c>
      <c r="G197" s="3536" t="s">
        <v>3431</v>
      </c>
      <c r="H197" s="3652" t="s">
        <v>3999</v>
      </c>
      <c r="I197" s="3642"/>
      <c r="J197" s="3641" t="s">
        <v>4000</v>
      </c>
      <c r="K197" s="3642" t="s">
        <v>4001</v>
      </c>
      <c r="L197" s="3641" t="s">
        <v>4002</v>
      </c>
      <c r="M197" s="3641" t="s">
        <v>4002</v>
      </c>
      <c r="N197" s="3642" t="s">
        <v>4003</v>
      </c>
      <c r="O197" s="3641"/>
    </row>
    <row r="198" spans="1:15">
      <c r="A198" s="3532">
        <v>12</v>
      </c>
      <c r="B198" s="3537" t="s">
        <v>4376</v>
      </c>
      <c r="C198" s="3534">
        <v>83.27</v>
      </c>
      <c r="D198" s="3654"/>
      <c r="E198" s="3533" t="s">
        <v>4377</v>
      </c>
      <c r="F198" s="3535">
        <v>83.29</v>
      </c>
      <c r="G198" s="3536" t="s">
        <v>3431</v>
      </c>
      <c r="H198" s="3652"/>
      <c r="I198" s="3642"/>
      <c r="J198" s="3641"/>
      <c r="K198" s="3642"/>
      <c r="L198" s="3641"/>
      <c r="M198" s="3641"/>
      <c r="N198" s="3642"/>
      <c r="O198" s="3641"/>
    </row>
    <row r="199" spans="1:15">
      <c r="A199" s="3532">
        <v>13</v>
      </c>
      <c r="B199" s="3537" t="s">
        <v>4378</v>
      </c>
      <c r="C199" s="3534">
        <v>87.24</v>
      </c>
      <c r="D199" s="3654"/>
      <c r="E199" s="3533" t="s">
        <v>4379</v>
      </c>
      <c r="F199" s="3535">
        <v>87.26</v>
      </c>
      <c r="G199" s="3536" t="s">
        <v>3431</v>
      </c>
      <c r="H199" s="3652"/>
      <c r="I199" s="3642"/>
      <c r="J199" s="3641"/>
      <c r="K199" s="3642"/>
      <c r="L199" s="3641"/>
      <c r="M199" s="3641"/>
      <c r="N199" s="3642"/>
      <c r="O199" s="3641"/>
    </row>
    <row r="200" spans="1:15">
      <c r="A200" s="3532">
        <v>14</v>
      </c>
      <c r="B200" s="3537" t="s">
        <v>4380</v>
      </c>
      <c r="C200" s="3534">
        <v>83.27</v>
      </c>
      <c r="D200" s="3654"/>
      <c r="E200" s="3533" t="s">
        <v>4381</v>
      </c>
      <c r="F200" s="3535">
        <v>83.29</v>
      </c>
      <c r="G200" s="3536" t="s">
        <v>3431</v>
      </c>
      <c r="H200" s="3652"/>
      <c r="I200" s="3642"/>
      <c r="J200" s="3641"/>
      <c r="K200" s="3642"/>
      <c r="L200" s="3641"/>
      <c r="M200" s="3641"/>
      <c r="N200" s="3642"/>
      <c r="O200" s="3641"/>
    </row>
    <row r="201" spans="1:15">
      <c r="A201" s="3532">
        <v>15</v>
      </c>
      <c r="B201" s="3537" t="s">
        <v>4382</v>
      </c>
      <c r="C201" s="3534">
        <v>87.24</v>
      </c>
      <c r="D201" s="3654"/>
      <c r="E201" s="3533" t="s">
        <v>4383</v>
      </c>
      <c r="F201" s="3535">
        <v>87.26</v>
      </c>
      <c r="G201" s="3536" t="s">
        <v>3431</v>
      </c>
      <c r="H201" s="3652"/>
      <c r="I201" s="3642"/>
      <c r="J201" s="3641"/>
      <c r="K201" s="3642"/>
      <c r="L201" s="3641"/>
      <c r="M201" s="3641"/>
      <c r="N201" s="3642"/>
      <c r="O201" s="3641"/>
    </row>
    <row r="202" spans="1:15">
      <c r="A202" s="3532">
        <v>16</v>
      </c>
      <c r="B202" s="3537" t="s">
        <v>4384</v>
      </c>
      <c r="C202" s="3534">
        <v>83.27</v>
      </c>
      <c r="D202" s="3654"/>
      <c r="E202" s="3533" t="s">
        <v>4385</v>
      </c>
      <c r="F202" s="3535">
        <v>83.29</v>
      </c>
      <c r="G202" s="3536" t="s">
        <v>3431</v>
      </c>
      <c r="H202" s="3652"/>
      <c r="I202" s="3642"/>
      <c r="J202" s="3641"/>
      <c r="K202" s="3642"/>
      <c r="L202" s="3641"/>
      <c r="M202" s="3641"/>
      <c r="N202" s="3642"/>
      <c r="O202" s="3641"/>
    </row>
    <row r="203" spans="1:15">
      <c r="A203" s="3532">
        <v>17</v>
      </c>
      <c r="B203" s="3537" t="s">
        <v>4386</v>
      </c>
      <c r="C203" s="3534">
        <v>87.24</v>
      </c>
      <c r="D203" s="3654"/>
      <c r="E203" s="3533" t="s">
        <v>4387</v>
      </c>
      <c r="F203" s="3535">
        <v>87.26</v>
      </c>
      <c r="G203" s="3536" t="s">
        <v>3431</v>
      </c>
      <c r="H203" s="3652"/>
      <c r="I203" s="3642"/>
      <c r="J203" s="3641"/>
      <c r="K203" s="3642"/>
      <c r="L203" s="3641"/>
      <c r="M203" s="3641"/>
      <c r="N203" s="3642"/>
      <c r="O203" s="3641"/>
    </row>
    <row r="204" spans="1:15">
      <c r="A204" s="3532">
        <v>18</v>
      </c>
      <c r="B204" s="3537" t="s">
        <v>4388</v>
      </c>
      <c r="C204" s="3534">
        <v>83.27</v>
      </c>
      <c r="D204" s="3654"/>
      <c r="E204" s="3533" t="s">
        <v>4389</v>
      </c>
      <c r="F204" s="3535">
        <v>83.29</v>
      </c>
      <c r="G204" s="3536" t="s">
        <v>3431</v>
      </c>
      <c r="H204" s="3652"/>
      <c r="I204" s="3642"/>
      <c r="J204" s="3641"/>
      <c r="K204" s="3642"/>
      <c r="L204" s="3641"/>
      <c r="M204" s="3641"/>
      <c r="N204" s="3642"/>
      <c r="O204" s="3641"/>
    </row>
    <row r="205" spans="1:15">
      <c r="A205" s="3532">
        <v>19</v>
      </c>
      <c r="B205" s="3537" t="s">
        <v>4390</v>
      </c>
      <c r="C205" s="3534">
        <v>87.24</v>
      </c>
      <c r="D205" s="3654"/>
      <c r="E205" s="3533" t="s">
        <v>4391</v>
      </c>
      <c r="F205" s="3535">
        <v>87.26</v>
      </c>
      <c r="G205" s="3536" t="s">
        <v>3431</v>
      </c>
      <c r="H205" s="3652"/>
      <c r="I205" s="3642"/>
      <c r="J205" s="3641"/>
      <c r="K205" s="3642"/>
      <c r="L205" s="3641"/>
      <c r="M205" s="3641"/>
      <c r="N205" s="3642"/>
      <c r="O205" s="3641"/>
    </row>
    <row r="206" spans="1:15">
      <c r="A206" s="3532">
        <v>20</v>
      </c>
      <c r="B206" s="3537" t="s">
        <v>4392</v>
      </c>
      <c r="C206" s="3534">
        <v>83.27</v>
      </c>
      <c r="D206" s="3654"/>
      <c r="E206" s="3533" t="s">
        <v>4393</v>
      </c>
      <c r="F206" s="3535">
        <v>83.29</v>
      </c>
      <c r="G206" s="3536" t="s">
        <v>3431</v>
      </c>
      <c r="H206" s="3652"/>
      <c r="I206" s="3642"/>
      <c r="J206" s="3641"/>
      <c r="K206" s="3642"/>
      <c r="L206" s="3641"/>
      <c r="M206" s="3641"/>
      <c r="N206" s="3642"/>
      <c r="O206" s="3641"/>
    </row>
    <row r="207" spans="1:15">
      <c r="A207" s="3532">
        <v>21</v>
      </c>
      <c r="B207" s="3537" t="s">
        <v>4394</v>
      </c>
      <c r="C207" s="3534">
        <v>87.24</v>
      </c>
      <c r="D207" s="3654"/>
      <c r="E207" s="3533" t="s">
        <v>4395</v>
      </c>
      <c r="F207" s="3535">
        <v>87.26</v>
      </c>
      <c r="G207" s="3536" t="s">
        <v>3431</v>
      </c>
      <c r="H207" s="3652"/>
      <c r="I207" s="3642"/>
      <c r="J207" s="3641"/>
      <c r="K207" s="3642"/>
      <c r="L207" s="3641"/>
      <c r="M207" s="3641"/>
      <c r="N207" s="3642"/>
      <c r="O207" s="3641"/>
    </row>
    <row r="208" spans="1:15">
      <c r="A208" s="3532">
        <v>22</v>
      </c>
      <c r="B208" s="3537" t="s">
        <v>4396</v>
      </c>
      <c r="C208" s="3534">
        <v>83.27</v>
      </c>
      <c r="D208" s="3654"/>
      <c r="E208" s="3533" t="s">
        <v>4397</v>
      </c>
      <c r="F208" s="3535">
        <v>83.29</v>
      </c>
      <c r="G208" s="3536" t="s">
        <v>3431</v>
      </c>
      <c r="H208" s="3652"/>
      <c r="I208" s="3642"/>
      <c r="J208" s="3641"/>
      <c r="K208" s="3642"/>
      <c r="L208" s="3641"/>
      <c r="M208" s="3641"/>
      <c r="N208" s="3642"/>
      <c r="O208" s="3641"/>
    </row>
    <row r="209" spans="1:15">
      <c r="A209" s="3532">
        <v>23</v>
      </c>
      <c r="B209" s="3537" t="s">
        <v>4398</v>
      </c>
      <c r="C209" s="3534">
        <v>87.24</v>
      </c>
      <c r="D209" s="3654"/>
      <c r="E209" s="3533" t="s">
        <v>4399</v>
      </c>
      <c r="F209" s="3535">
        <v>87.26</v>
      </c>
      <c r="G209" s="3536" t="s">
        <v>3431</v>
      </c>
      <c r="H209" s="3652"/>
      <c r="I209" s="3642"/>
      <c r="J209" s="3641"/>
      <c r="K209" s="3642"/>
      <c r="L209" s="3641"/>
      <c r="M209" s="3641"/>
      <c r="N209" s="3642"/>
      <c r="O209" s="3641"/>
    </row>
    <row r="210" spans="1:15">
      <c r="A210" s="3532">
        <v>24</v>
      </c>
      <c r="B210" s="3537" t="s">
        <v>4400</v>
      </c>
      <c r="C210" s="3534">
        <v>83.27</v>
      </c>
      <c r="D210" s="3654"/>
      <c r="E210" s="3533" t="s">
        <v>4401</v>
      </c>
      <c r="F210" s="3535">
        <v>83.29</v>
      </c>
      <c r="G210" s="3536" t="s">
        <v>3431</v>
      </c>
      <c r="H210" s="3652"/>
      <c r="I210" s="3642"/>
      <c r="J210" s="3641"/>
      <c r="K210" s="3642"/>
      <c r="L210" s="3641"/>
      <c r="M210" s="3641"/>
      <c r="N210" s="3642"/>
      <c r="O210" s="3641"/>
    </row>
    <row r="211" spans="1:15">
      <c r="A211" s="3532">
        <v>25</v>
      </c>
      <c r="B211" s="3537" t="s">
        <v>4402</v>
      </c>
      <c r="C211" s="3534">
        <v>87.24</v>
      </c>
      <c r="D211" s="3654"/>
      <c r="E211" s="3533" t="s">
        <v>4403</v>
      </c>
      <c r="F211" s="3535">
        <v>87.26</v>
      </c>
      <c r="G211" s="3536" t="s">
        <v>3431</v>
      </c>
      <c r="H211" s="3652"/>
      <c r="I211" s="3642"/>
      <c r="J211" s="3641"/>
      <c r="K211" s="3642"/>
      <c r="L211" s="3641"/>
      <c r="M211" s="3641"/>
      <c r="N211" s="3642"/>
      <c r="O211" s="3641"/>
    </row>
    <row r="212" spans="1:15">
      <c r="A212" s="3532">
        <v>26</v>
      </c>
      <c r="B212" s="3537" t="s">
        <v>4404</v>
      </c>
      <c r="C212" s="3534">
        <v>83.27</v>
      </c>
      <c r="D212" s="3654"/>
      <c r="E212" s="3533" t="s">
        <v>4405</v>
      </c>
      <c r="F212" s="3535">
        <v>83.29</v>
      </c>
      <c r="G212" s="3536" t="s">
        <v>3431</v>
      </c>
      <c r="H212" s="3652"/>
      <c r="I212" s="3642"/>
      <c r="J212" s="3641"/>
      <c r="K212" s="3642"/>
      <c r="L212" s="3641"/>
      <c r="M212" s="3641"/>
      <c r="N212" s="3642"/>
      <c r="O212" s="3641"/>
    </row>
    <row r="213" spans="1:15">
      <c r="A213" s="3532">
        <v>27</v>
      </c>
      <c r="B213" s="3537" t="s">
        <v>4406</v>
      </c>
      <c r="C213" s="3534">
        <v>87.24</v>
      </c>
      <c r="D213" s="3654"/>
      <c r="E213" s="3533" t="s">
        <v>4407</v>
      </c>
      <c r="F213" s="3535">
        <v>87.26</v>
      </c>
      <c r="G213" s="3536" t="s">
        <v>3431</v>
      </c>
      <c r="H213" s="3652"/>
      <c r="I213" s="3642"/>
      <c r="J213" s="3641"/>
      <c r="K213" s="3642"/>
      <c r="L213" s="3641"/>
      <c r="M213" s="3641"/>
      <c r="N213" s="3642"/>
      <c r="O213" s="3641"/>
    </row>
    <row r="214" spans="1:15">
      <c r="A214" s="3532">
        <v>28</v>
      </c>
      <c r="B214" s="3537" t="s">
        <v>4408</v>
      </c>
      <c r="C214" s="3534">
        <v>83.27</v>
      </c>
      <c r="D214" s="3654"/>
      <c r="E214" s="3533" t="s">
        <v>4409</v>
      </c>
      <c r="F214" s="3535">
        <v>83.29</v>
      </c>
      <c r="G214" s="3536" t="s">
        <v>3431</v>
      </c>
      <c r="H214" s="3652"/>
      <c r="I214" s="3642"/>
      <c r="J214" s="3641"/>
      <c r="K214" s="3642"/>
      <c r="L214" s="3641"/>
      <c r="M214" s="3641"/>
      <c r="N214" s="3642"/>
      <c r="O214" s="3641"/>
    </row>
    <row r="215" spans="1:15">
      <c r="A215" s="3532">
        <v>29</v>
      </c>
      <c r="B215" s="3537" t="s">
        <v>4410</v>
      </c>
      <c r="C215" s="3534">
        <v>87.24</v>
      </c>
      <c r="D215" s="3654"/>
      <c r="E215" s="3533" t="s">
        <v>4411</v>
      </c>
      <c r="F215" s="3535">
        <v>87.26</v>
      </c>
      <c r="G215" s="3536" t="s">
        <v>3431</v>
      </c>
      <c r="H215" s="3652"/>
      <c r="I215" s="3642"/>
      <c r="J215" s="3641"/>
      <c r="K215" s="3642"/>
      <c r="L215" s="3641"/>
      <c r="M215" s="3641"/>
      <c r="N215" s="3642"/>
      <c r="O215" s="3641"/>
    </row>
    <row r="216" spans="1:15">
      <c r="A216" s="3532">
        <v>30</v>
      </c>
      <c r="B216" s="3537" t="s">
        <v>4412</v>
      </c>
      <c r="C216" s="3534">
        <v>83.27</v>
      </c>
      <c r="D216" s="3654"/>
      <c r="E216" s="3533" t="s">
        <v>4413</v>
      </c>
      <c r="F216" s="3535">
        <v>83.29</v>
      </c>
      <c r="G216" s="3536" t="s">
        <v>3431</v>
      </c>
      <c r="H216" s="3652"/>
      <c r="I216" s="3642"/>
      <c r="J216" s="3641"/>
      <c r="K216" s="3642"/>
      <c r="L216" s="3641"/>
      <c r="M216" s="3641"/>
      <c r="N216" s="3642"/>
      <c r="O216" s="3641"/>
    </row>
    <row r="217" spans="1:15">
      <c r="A217" s="3532">
        <v>31</v>
      </c>
      <c r="B217" s="3537" t="s">
        <v>4414</v>
      </c>
      <c r="C217" s="3534">
        <v>87.24</v>
      </c>
      <c r="D217" s="3654"/>
      <c r="E217" s="3533" t="s">
        <v>4415</v>
      </c>
      <c r="F217" s="3535">
        <v>87.26</v>
      </c>
      <c r="G217" s="3536" t="s">
        <v>3431</v>
      </c>
      <c r="H217" s="3652"/>
      <c r="I217" s="3642"/>
      <c r="J217" s="3641"/>
      <c r="K217" s="3642"/>
      <c r="L217" s="3641"/>
      <c r="M217" s="3641"/>
      <c r="N217" s="3642"/>
      <c r="O217" s="3641"/>
    </row>
    <row r="218" spans="1:15">
      <c r="A218" s="3532">
        <v>32</v>
      </c>
      <c r="B218" s="3537" t="s">
        <v>4416</v>
      </c>
      <c r="C218" s="3534">
        <v>83.27</v>
      </c>
      <c r="D218" s="3654"/>
      <c r="E218" s="3533" t="s">
        <v>4417</v>
      </c>
      <c r="F218" s="3535">
        <v>83.29</v>
      </c>
      <c r="G218" s="3536" t="s">
        <v>3431</v>
      </c>
      <c r="H218" s="3652"/>
      <c r="I218" s="3642"/>
      <c r="J218" s="3641"/>
      <c r="K218" s="3642"/>
      <c r="L218" s="3641"/>
      <c r="M218" s="3641"/>
      <c r="N218" s="3642"/>
      <c r="O218" s="3641"/>
    </row>
    <row r="219" spans="1:15">
      <c r="A219" s="3532">
        <v>33</v>
      </c>
      <c r="B219" s="3537" t="s">
        <v>4418</v>
      </c>
      <c r="C219" s="3534">
        <v>87.24</v>
      </c>
      <c r="D219" s="3654"/>
      <c r="E219" s="3533" t="s">
        <v>4419</v>
      </c>
      <c r="F219" s="3535">
        <v>87.26</v>
      </c>
      <c r="G219" s="3536" t="s">
        <v>3431</v>
      </c>
      <c r="H219" s="3652"/>
      <c r="I219" s="3642"/>
      <c r="J219" s="3641"/>
      <c r="K219" s="3642"/>
      <c r="L219" s="3641"/>
      <c r="M219" s="3641"/>
      <c r="N219" s="3642"/>
      <c r="O219" s="3641"/>
    </row>
    <row r="220" spans="1:15">
      <c r="A220" s="3532">
        <v>34</v>
      </c>
      <c r="B220" s="3537" t="s">
        <v>4420</v>
      </c>
      <c r="C220" s="3534">
        <v>83.27</v>
      </c>
      <c r="D220" s="3654"/>
      <c r="E220" s="3533" t="s">
        <v>4421</v>
      </c>
      <c r="F220" s="3535">
        <v>83.29</v>
      </c>
      <c r="G220" s="3536" t="s">
        <v>3431</v>
      </c>
      <c r="H220" s="3652"/>
      <c r="I220" s="3642"/>
      <c r="J220" s="3641"/>
      <c r="K220" s="3642"/>
      <c r="L220" s="3641"/>
      <c r="M220" s="3641"/>
      <c r="N220" s="3642"/>
      <c r="O220" s="3641"/>
    </row>
    <row r="221" spans="1:15">
      <c r="A221" s="3532">
        <v>35</v>
      </c>
      <c r="B221" s="3537" t="s">
        <v>4422</v>
      </c>
      <c r="C221" s="3534">
        <v>87.24</v>
      </c>
      <c r="D221" s="3654"/>
      <c r="E221" s="3533" t="s">
        <v>4423</v>
      </c>
      <c r="F221" s="3535">
        <v>87.26</v>
      </c>
      <c r="G221" s="3536" t="s">
        <v>3431</v>
      </c>
      <c r="H221" s="3652"/>
      <c r="I221" s="3642"/>
      <c r="J221" s="3641"/>
      <c r="K221" s="3642"/>
      <c r="L221" s="3641"/>
      <c r="M221" s="3641"/>
      <c r="N221" s="3642"/>
      <c r="O221" s="3641"/>
    </row>
    <row r="222" spans="1:15" s="3543" customFormat="1">
      <c r="A222" s="3538" t="s">
        <v>4006</v>
      </c>
      <c r="B222" s="3539"/>
      <c r="C222" s="3540">
        <f>SUBTOTAL(9,C187:C221)</f>
        <v>2989.8799999999987</v>
      </c>
      <c r="D222" s="3654"/>
      <c r="E222" s="3533" t="s">
        <v>4007</v>
      </c>
      <c r="F222" s="3541">
        <f>SUBTOTAL(9,F187:F221)</f>
        <v>2990.5800000000008</v>
      </c>
      <c r="G222" s="3542"/>
      <c r="H222" s="3652"/>
      <c r="I222" s="3642"/>
      <c r="J222" s="3641"/>
      <c r="K222" s="3642"/>
      <c r="L222" s="3641"/>
      <c r="M222" s="3641"/>
      <c r="N222" s="3642"/>
      <c r="O222" s="3641"/>
    </row>
    <row r="223" spans="1:15">
      <c r="A223" s="3532">
        <v>1</v>
      </c>
      <c r="B223" s="3537" t="s">
        <v>4424</v>
      </c>
      <c r="C223" s="3537">
        <v>87.14</v>
      </c>
      <c r="D223" s="3658" t="s">
        <v>4425</v>
      </c>
      <c r="E223" s="3533" t="s">
        <v>4426</v>
      </c>
      <c r="F223" s="3535">
        <v>87.15</v>
      </c>
      <c r="G223" s="3536" t="s">
        <v>3431</v>
      </c>
      <c r="H223" s="3652"/>
      <c r="I223" s="3642"/>
      <c r="J223" s="3641"/>
      <c r="K223" s="3642"/>
      <c r="L223" s="3641"/>
      <c r="M223" s="3641"/>
      <c r="N223" s="3642"/>
      <c r="O223" s="3641"/>
    </row>
    <row r="224" spans="1:15">
      <c r="A224" s="3532">
        <v>2</v>
      </c>
      <c r="B224" s="3537" t="s">
        <v>4427</v>
      </c>
      <c r="C224" s="3537">
        <v>73.400000000000006</v>
      </c>
      <c r="D224" s="3659"/>
      <c r="E224" s="3533" t="s">
        <v>4428</v>
      </c>
      <c r="F224" s="3535">
        <v>73.41</v>
      </c>
      <c r="G224" s="3536" t="s">
        <v>3431</v>
      </c>
      <c r="H224" s="3652"/>
      <c r="I224" s="3642"/>
      <c r="J224" s="3641"/>
      <c r="K224" s="3642"/>
      <c r="L224" s="3641"/>
      <c r="M224" s="3641"/>
      <c r="N224" s="3642"/>
      <c r="O224" s="3641"/>
    </row>
    <row r="225" spans="1:15">
      <c r="A225" s="3532">
        <v>3</v>
      </c>
      <c r="B225" s="3537" t="s">
        <v>4429</v>
      </c>
      <c r="C225" s="3537">
        <v>87.14</v>
      </c>
      <c r="D225" s="3659"/>
      <c r="E225" s="3533" t="s">
        <v>4430</v>
      </c>
      <c r="F225" s="3535">
        <v>87.15</v>
      </c>
      <c r="G225" s="3536" t="s">
        <v>3431</v>
      </c>
      <c r="H225" s="3652"/>
      <c r="I225" s="3642"/>
      <c r="J225" s="3641"/>
      <c r="K225" s="3642"/>
      <c r="L225" s="3641"/>
      <c r="M225" s="3641"/>
      <c r="N225" s="3642"/>
      <c r="O225" s="3641"/>
    </row>
    <row r="226" spans="1:15">
      <c r="A226" s="3532">
        <v>4</v>
      </c>
      <c r="B226" s="3537" t="s">
        <v>4431</v>
      </c>
      <c r="C226" s="3537">
        <v>89.81</v>
      </c>
      <c r="D226" s="3659"/>
      <c r="E226" s="3533" t="s">
        <v>4432</v>
      </c>
      <c r="F226" s="3535">
        <v>89.82</v>
      </c>
      <c r="G226" s="3536" t="s">
        <v>3431</v>
      </c>
      <c r="H226" s="3652"/>
      <c r="I226" s="3642"/>
      <c r="J226" s="3641"/>
      <c r="K226" s="3642"/>
      <c r="L226" s="3641"/>
      <c r="M226" s="3641"/>
      <c r="N226" s="3642"/>
      <c r="O226" s="3641"/>
    </row>
    <row r="227" spans="1:15">
      <c r="A227" s="3532">
        <v>5</v>
      </c>
      <c r="B227" s="3537" t="s">
        <v>4433</v>
      </c>
      <c r="C227" s="3537">
        <v>87.14</v>
      </c>
      <c r="D227" s="3659"/>
      <c r="E227" s="3533" t="s">
        <v>4434</v>
      </c>
      <c r="F227" s="3535">
        <v>87.15</v>
      </c>
      <c r="G227" s="3536" t="s">
        <v>3431</v>
      </c>
      <c r="H227" s="3652"/>
      <c r="I227" s="3642"/>
      <c r="J227" s="3641"/>
      <c r="K227" s="3642"/>
      <c r="L227" s="3641"/>
      <c r="M227" s="3641"/>
      <c r="N227" s="3642"/>
      <c r="O227" s="3641"/>
    </row>
    <row r="228" spans="1:15">
      <c r="A228" s="3532">
        <v>6</v>
      </c>
      <c r="B228" s="3537" t="s">
        <v>4435</v>
      </c>
      <c r="C228" s="3537">
        <v>89.81</v>
      </c>
      <c r="D228" s="3659"/>
      <c r="E228" s="3533" t="s">
        <v>4436</v>
      </c>
      <c r="F228" s="3535">
        <v>89.82</v>
      </c>
      <c r="G228" s="3536" t="s">
        <v>3431</v>
      </c>
      <c r="H228" s="3652"/>
      <c r="I228" s="3642"/>
      <c r="J228" s="3641"/>
      <c r="K228" s="3642"/>
      <c r="L228" s="3641"/>
      <c r="M228" s="3641"/>
      <c r="N228" s="3642"/>
      <c r="O228" s="3641"/>
    </row>
    <row r="229" spans="1:15">
      <c r="A229" s="3532">
        <v>7</v>
      </c>
      <c r="B229" s="3537" t="s">
        <v>4437</v>
      </c>
      <c r="C229" s="3537">
        <v>87.14</v>
      </c>
      <c r="D229" s="3659"/>
      <c r="E229" s="3533" t="s">
        <v>4438</v>
      </c>
      <c r="F229" s="3535">
        <v>87.15</v>
      </c>
      <c r="G229" s="3536" t="s">
        <v>3431</v>
      </c>
      <c r="H229" s="3652"/>
      <c r="I229" s="3642"/>
      <c r="J229" s="3641"/>
      <c r="K229" s="3642"/>
      <c r="L229" s="3641"/>
      <c r="M229" s="3641"/>
      <c r="N229" s="3642"/>
      <c r="O229" s="3641"/>
    </row>
    <row r="230" spans="1:15">
      <c r="A230" s="3532">
        <v>8</v>
      </c>
      <c r="B230" s="3537" t="s">
        <v>4439</v>
      </c>
      <c r="C230" s="3537">
        <v>89.81</v>
      </c>
      <c r="D230" s="3659"/>
      <c r="E230" s="3533" t="s">
        <v>4440</v>
      </c>
      <c r="F230" s="3535">
        <v>89.82</v>
      </c>
      <c r="G230" s="3536" t="s">
        <v>3431</v>
      </c>
      <c r="H230" s="3652"/>
      <c r="I230" s="3642"/>
      <c r="J230" s="3641"/>
      <c r="K230" s="3642"/>
      <c r="L230" s="3641"/>
      <c r="M230" s="3641"/>
      <c r="N230" s="3642"/>
      <c r="O230" s="3641"/>
    </row>
    <row r="231" spans="1:15">
      <c r="A231" s="3532">
        <v>9</v>
      </c>
      <c r="B231" s="3537" t="s">
        <v>4441</v>
      </c>
      <c r="C231" s="3537">
        <v>87.14</v>
      </c>
      <c r="D231" s="3659"/>
      <c r="E231" s="3533" t="s">
        <v>4442</v>
      </c>
      <c r="F231" s="3535">
        <v>87.15</v>
      </c>
      <c r="G231" s="3536" t="s">
        <v>3431</v>
      </c>
      <c r="H231" s="3652"/>
      <c r="I231" s="3642"/>
      <c r="J231" s="3641"/>
      <c r="K231" s="3642"/>
      <c r="L231" s="3641"/>
      <c r="M231" s="3641"/>
      <c r="N231" s="3642"/>
      <c r="O231" s="3641"/>
    </row>
    <row r="232" spans="1:15">
      <c r="A232" s="3532">
        <v>10</v>
      </c>
      <c r="B232" s="3537" t="s">
        <v>4443</v>
      </c>
      <c r="C232" s="3537">
        <v>89.81</v>
      </c>
      <c r="D232" s="3659"/>
      <c r="E232" s="3533" t="s">
        <v>4444</v>
      </c>
      <c r="F232" s="3535">
        <v>89.82</v>
      </c>
      <c r="G232" s="3536" t="s">
        <v>3431</v>
      </c>
      <c r="H232" s="3652"/>
      <c r="I232" s="3642"/>
      <c r="J232" s="3641"/>
      <c r="K232" s="3642"/>
      <c r="L232" s="3641"/>
      <c r="M232" s="3641"/>
      <c r="N232" s="3642"/>
      <c r="O232" s="3641"/>
    </row>
    <row r="233" spans="1:15">
      <c r="A233" s="3532">
        <v>11</v>
      </c>
      <c r="B233" s="3537" t="s">
        <v>4445</v>
      </c>
      <c r="C233" s="3537">
        <v>87.14</v>
      </c>
      <c r="D233" s="3659"/>
      <c r="E233" s="3533" t="s">
        <v>4446</v>
      </c>
      <c r="F233" s="3535">
        <v>87.15</v>
      </c>
      <c r="G233" s="3536" t="s">
        <v>3431</v>
      </c>
      <c r="H233" s="3652"/>
      <c r="I233" s="3642"/>
      <c r="J233" s="3641"/>
      <c r="K233" s="3642"/>
      <c r="L233" s="3641"/>
      <c r="M233" s="3641"/>
      <c r="N233" s="3642"/>
      <c r="O233" s="3641"/>
    </row>
    <row r="234" spans="1:15">
      <c r="A234" s="3532">
        <v>12</v>
      </c>
      <c r="B234" s="3537" t="s">
        <v>4447</v>
      </c>
      <c r="C234" s="3537">
        <v>89.81</v>
      </c>
      <c r="D234" s="3659"/>
      <c r="E234" s="3533" t="s">
        <v>4448</v>
      </c>
      <c r="F234" s="3535">
        <v>89.82</v>
      </c>
      <c r="G234" s="3536" t="s">
        <v>3431</v>
      </c>
      <c r="H234" s="3652"/>
      <c r="I234" s="3642"/>
      <c r="J234" s="3641"/>
      <c r="K234" s="3642"/>
      <c r="L234" s="3641"/>
      <c r="M234" s="3641"/>
      <c r="N234" s="3642"/>
      <c r="O234" s="3641"/>
    </row>
    <row r="235" spans="1:15">
      <c r="A235" s="3532">
        <v>13</v>
      </c>
      <c r="B235" s="3537" t="s">
        <v>4449</v>
      </c>
      <c r="C235" s="3537">
        <v>87.14</v>
      </c>
      <c r="D235" s="3659"/>
      <c r="E235" s="3533" t="s">
        <v>4450</v>
      </c>
      <c r="F235" s="3535">
        <v>87.15</v>
      </c>
      <c r="G235" s="3536" t="s">
        <v>3431</v>
      </c>
      <c r="H235" s="3652"/>
      <c r="I235" s="3642"/>
      <c r="J235" s="3641"/>
      <c r="K235" s="3642"/>
      <c r="L235" s="3641"/>
      <c r="M235" s="3641"/>
      <c r="N235" s="3642"/>
      <c r="O235" s="3641"/>
    </row>
    <row r="236" spans="1:15">
      <c r="A236" s="3532">
        <v>14</v>
      </c>
      <c r="B236" s="3537" t="s">
        <v>4451</v>
      </c>
      <c r="C236" s="3537">
        <v>89.81</v>
      </c>
      <c r="D236" s="3659"/>
      <c r="E236" s="3533" t="s">
        <v>4452</v>
      </c>
      <c r="F236" s="3535">
        <v>89.82</v>
      </c>
      <c r="G236" s="3536" t="s">
        <v>3431</v>
      </c>
      <c r="H236" s="3652"/>
      <c r="I236" s="3642"/>
      <c r="J236" s="3641"/>
      <c r="K236" s="3642"/>
      <c r="L236" s="3641"/>
      <c r="M236" s="3641"/>
      <c r="N236" s="3642"/>
      <c r="O236" s="3641"/>
    </row>
    <row r="237" spans="1:15">
      <c r="A237" s="3532">
        <v>15</v>
      </c>
      <c r="B237" s="3537" t="s">
        <v>4453</v>
      </c>
      <c r="C237" s="3537">
        <v>87.14</v>
      </c>
      <c r="D237" s="3659"/>
      <c r="E237" s="3533" t="s">
        <v>4454</v>
      </c>
      <c r="F237" s="3535">
        <v>87.15</v>
      </c>
      <c r="G237" s="3536" t="s">
        <v>3431</v>
      </c>
      <c r="H237" s="3652"/>
      <c r="I237" s="3642"/>
      <c r="J237" s="3641"/>
      <c r="K237" s="3642"/>
      <c r="L237" s="3641"/>
      <c r="M237" s="3641"/>
      <c r="N237" s="3642"/>
      <c r="O237" s="3641"/>
    </row>
    <row r="238" spans="1:15">
      <c r="A238" s="3532">
        <v>16</v>
      </c>
      <c r="B238" s="3537" t="s">
        <v>4455</v>
      </c>
      <c r="C238" s="3537">
        <v>89.81</v>
      </c>
      <c r="D238" s="3659"/>
      <c r="E238" s="3533" t="s">
        <v>4456</v>
      </c>
      <c r="F238" s="3535">
        <v>89.82</v>
      </c>
      <c r="G238" s="3536" t="s">
        <v>3431</v>
      </c>
      <c r="H238" s="3652"/>
      <c r="I238" s="3642"/>
      <c r="J238" s="3641"/>
      <c r="K238" s="3642"/>
      <c r="L238" s="3641"/>
      <c r="M238" s="3641"/>
      <c r="N238" s="3642"/>
      <c r="O238" s="3641"/>
    </row>
    <row r="239" spans="1:15">
      <c r="A239" s="3532">
        <v>17</v>
      </c>
      <c r="B239" s="3537" t="s">
        <v>4457</v>
      </c>
      <c r="C239" s="3537">
        <v>87.14</v>
      </c>
      <c r="D239" s="3659"/>
      <c r="E239" s="3533" t="s">
        <v>4458</v>
      </c>
      <c r="F239" s="3535">
        <v>87.15</v>
      </c>
      <c r="G239" s="3536" t="s">
        <v>3431</v>
      </c>
      <c r="H239" s="3652"/>
      <c r="I239" s="3642"/>
      <c r="J239" s="3641"/>
      <c r="K239" s="3642"/>
      <c r="L239" s="3641"/>
      <c r="M239" s="3641"/>
      <c r="N239" s="3642"/>
      <c r="O239" s="3641"/>
    </row>
    <row r="240" spans="1:15">
      <c r="A240" s="3532">
        <v>18</v>
      </c>
      <c r="B240" s="3537" t="s">
        <v>4459</v>
      </c>
      <c r="C240" s="3537">
        <v>89.81</v>
      </c>
      <c r="D240" s="3659"/>
      <c r="E240" s="3533" t="s">
        <v>4460</v>
      </c>
      <c r="F240" s="3535">
        <v>89.82</v>
      </c>
      <c r="G240" s="3536" t="s">
        <v>3431</v>
      </c>
      <c r="H240" s="3652"/>
      <c r="I240" s="3642"/>
      <c r="J240" s="3641"/>
      <c r="K240" s="3642"/>
      <c r="L240" s="3641"/>
      <c r="M240" s="3641"/>
      <c r="N240" s="3642"/>
      <c r="O240" s="3641"/>
    </row>
    <row r="241" spans="1:15">
      <c r="A241" s="3532">
        <v>19</v>
      </c>
      <c r="B241" s="3537" t="s">
        <v>4461</v>
      </c>
      <c r="C241" s="3537">
        <v>87.14</v>
      </c>
      <c r="D241" s="3659"/>
      <c r="E241" s="3533" t="s">
        <v>4462</v>
      </c>
      <c r="F241" s="3535">
        <v>87.15</v>
      </c>
      <c r="G241" s="3536" t="s">
        <v>3431</v>
      </c>
      <c r="H241" s="3652"/>
      <c r="I241" s="3642"/>
      <c r="J241" s="3641"/>
      <c r="K241" s="3642"/>
      <c r="L241" s="3641"/>
      <c r="M241" s="3641"/>
      <c r="N241" s="3642"/>
      <c r="O241" s="3641"/>
    </row>
    <row r="242" spans="1:15">
      <c r="A242" s="3532">
        <v>20</v>
      </c>
      <c r="B242" s="3537" t="s">
        <v>4463</v>
      </c>
      <c r="C242" s="3537">
        <v>89.81</v>
      </c>
      <c r="D242" s="3659"/>
      <c r="E242" s="3533" t="s">
        <v>4464</v>
      </c>
      <c r="F242" s="3535">
        <v>89.82</v>
      </c>
      <c r="G242" s="3536" t="s">
        <v>3431</v>
      </c>
      <c r="H242" s="3652"/>
      <c r="I242" s="3642"/>
      <c r="J242" s="3641"/>
      <c r="K242" s="3642"/>
      <c r="L242" s="3641"/>
      <c r="M242" s="3641"/>
      <c r="N242" s="3642"/>
      <c r="O242" s="3641"/>
    </row>
    <row r="243" spans="1:15">
      <c r="A243" s="3532">
        <v>21</v>
      </c>
      <c r="B243" s="3537" t="s">
        <v>4465</v>
      </c>
      <c r="C243" s="3537">
        <v>87.14</v>
      </c>
      <c r="D243" s="3659"/>
      <c r="E243" s="3533" t="s">
        <v>4466</v>
      </c>
      <c r="F243" s="3535">
        <v>87.15</v>
      </c>
      <c r="G243" s="3536" t="s">
        <v>3431</v>
      </c>
      <c r="H243" s="3652"/>
      <c r="I243" s="3642"/>
      <c r="J243" s="3641"/>
      <c r="K243" s="3642"/>
      <c r="L243" s="3641"/>
      <c r="M243" s="3641"/>
      <c r="N243" s="3642"/>
      <c r="O243" s="3641"/>
    </row>
    <row r="244" spans="1:15">
      <c r="A244" s="3532">
        <v>22</v>
      </c>
      <c r="B244" s="3537" t="s">
        <v>4467</v>
      </c>
      <c r="C244" s="3537">
        <v>89.81</v>
      </c>
      <c r="D244" s="3659"/>
      <c r="E244" s="3533" t="s">
        <v>4468</v>
      </c>
      <c r="F244" s="3535">
        <v>89.82</v>
      </c>
      <c r="G244" s="3536" t="s">
        <v>3431</v>
      </c>
      <c r="H244" s="3652"/>
      <c r="I244" s="3642"/>
      <c r="J244" s="3641"/>
      <c r="K244" s="3642"/>
      <c r="L244" s="3641"/>
      <c r="M244" s="3641"/>
      <c r="N244" s="3642"/>
      <c r="O244" s="3641"/>
    </row>
    <row r="245" spans="1:15">
      <c r="A245" s="3532">
        <v>23</v>
      </c>
      <c r="B245" s="3537" t="s">
        <v>4469</v>
      </c>
      <c r="C245" s="3537">
        <v>89.81</v>
      </c>
      <c r="D245" s="3659"/>
      <c r="E245" s="3533" t="s">
        <v>4470</v>
      </c>
      <c r="F245" s="3535">
        <v>89.82</v>
      </c>
      <c r="G245" s="3536" t="s">
        <v>3431</v>
      </c>
      <c r="H245" s="3652"/>
      <c r="I245" s="3642"/>
      <c r="J245" s="3641"/>
      <c r="K245" s="3642"/>
      <c r="L245" s="3641"/>
      <c r="M245" s="3641"/>
      <c r="N245" s="3642"/>
      <c r="O245" s="3641"/>
    </row>
    <row r="246" spans="1:15">
      <c r="A246" s="3532">
        <v>24</v>
      </c>
      <c r="B246" s="3537" t="s">
        <v>4471</v>
      </c>
      <c r="C246" s="3537">
        <v>73.400000000000006</v>
      </c>
      <c r="D246" s="3659"/>
      <c r="E246" s="3533" t="s">
        <v>4472</v>
      </c>
      <c r="F246" s="3535">
        <v>73.41</v>
      </c>
      <c r="G246" s="3536" t="s">
        <v>3431</v>
      </c>
      <c r="H246" s="3652"/>
      <c r="I246" s="3642"/>
      <c r="J246" s="3641"/>
      <c r="K246" s="3642"/>
      <c r="L246" s="3641"/>
      <c r="M246" s="3641"/>
      <c r="N246" s="3642"/>
      <c r="O246" s="3641"/>
    </row>
    <row r="247" spans="1:15">
      <c r="A247" s="3532">
        <v>25</v>
      </c>
      <c r="B247" s="3537" t="s">
        <v>4473</v>
      </c>
      <c r="C247" s="3537">
        <v>89.81</v>
      </c>
      <c r="D247" s="3659"/>
      <c r="E247" s="3533" t="s">
        <v>4474</v>
      </c>
      <c r="F247" s="3535">
        <v>89.82</v>
      </c>
      <c r="G247" s="3536" t="s">
        <v>3431</v>
      </c>
      <c r="H247" s="3652"/>
      <c r="I247" s="3642"/>
      <c r="J247" s="3641"/>
      <c r="K247" s="3642"/>
      <c r="L247" s="3641"/>
      <c r="M247" s="3641"/>
      <c r="N247" s="3642"/>
      <c r="O247" s="3641"/>
    </row>
    <row r="248" spans="1:15">
      <c r="A248" s="3532">
        <v>26</v>
      </c>
      <c r="B248" s="3537" t="s">
        <v>4475</v>
      </c>
      <c r="C248" s="3537">
        <v>89.81</v>
      </c>
      <c r="D248" s="3659"/>
      <c r="E248" s="3533" t="s">
        <v>4476</v>
      </c>
      <c r="F248" s="3535">
        <v>89.82</v>
      </c>
      <c r="G248" s="3536" t="s">
        <v>3431</v>
      </c>
      <c r="H248" s="3652"/>
      <c r="I248" s="3642"/>
      <c r="J248" s="3641"/>
      <c r="K248" s="3642"/>
      <c r="L248" s="3641"/>
      <c r="M248" s="3641"/>
      <c r="N248" s="3642"/>
      <c r="O248" s="3641"/>
    </row>
    <row r="249" spans="1:15">
      <c r="A249" s="3532">
        <v>27</v>
      </c>
      <c r="B249" s="3537" t="s">
        <v>4477</v>
      </c>
      <c r="C249" s="3537">
        <v>89.81</v>
      </c>
      <c r="D249" s="3659"/>
      <c r="E249" s="3533" t="s">
        <v>4478</v>
      </c>
      <c r="F249" s="3535">
        <v>89.82</v>
      </c>
      <c r="G249" s="3536" t="s">
        <v>3431</v>
      </c>
      <c r="H249" s="3652"/>
      <c r="I249" s="3642"/>
      <c r="J249" s="3641"/>
      <c r="K249" s="3642"/>
      <c r="L249" s="3641"/>
      <c r="M249" s="3641"/>
      <c r="N249" s="3642"/>
      <c r="O249" s="3641"/>
    </row>
    <row r="250" spans="1:15">
      <c r="A250" s="3532">
        <v>28</v>
      </c>
      <c r="B250" s="3537" t="s">
        <v>4479</v>
      </c>
      <c r="C250" s="3537">
        <v>89.81</v>
      </c>
      <c r="D250" s="3659"/>
      <c r="E250" s="3533" t="s">
        <v>4480</v>
      </c>
      <c r="F250" s="3535">
        <v>89.82</v>
      </c>
      <c r="G250" s="3536" t="s">
        <v>3431</v>
      </c>
      <c r="H250" s="3652"/>
      <c r="I250" s="3642"/>
      <c r="J250" s="3641"/>
      <c r="K250" s="3642"/>
      <c r="L250" s="3641"/>
      <c r="M250" s="3641"/>
      <c r="N250" s="3642"/>
      <c r="O250" s="3641"/>
    </row>
    <row r="251" spans="1:15">
      <c r="A251" s="3532">
        <v>29</v>
      </c>
      <c r="B251" s="3537" t="s">
        <v>4481</v>
      </c>
      <c r="C251" s="3537">
        <v>89.81</v>
      </c>
      <c r="D251" s="3659"/>
      <c r="E251" s="3533" t="s">
        <v>4482</v>
      </c>
      <c r="F251" s="3535">
        <v>89.82</v>
      </c>
      <c r="G251" s="3536" t="s">
        <v>3431</v>
      </c>
      <c r="H251" s="3652"/>
      <c r="I251" s="3642"/>
      <c r="J251" s="3641"/>
      <c r="K251" s="3642"/>
      <c r="L251" s="3641"/>
      <c r="M251" s="3641"/>
      <c r="N251" s="3642"/>
      <c r="O251" s="3641"/>
    </row>
    <row r="252" spans="1:15">
      <c r="A252" s="3532">
        <v>30</v>
      </c>
      <c r="B252" s="3537" t="s">
        <v>4483</v>
      </c>
      <c r="C252" s="3537">
        <v>89.81</v>
      </c>
      <c r="D252" s="3659"/>
      <c r="E252" s="3533" t="s">
        <v>4484</v>
      </c>
      <c r="F252" s="3535">
        <v>89.82</v>
      </c>
      <c r="G252" s="3536" t="s">
        <v>3431</v>
      </c>
      <c r="H252" s="3652"/>
      <c r="I252" s="3642"/>
      <c r="J252" s="3641"/>
      <c r="K252" s="3642"/>
      <c r="L252" s="3641"/>
      <c r="M252" s="3641"/>
      <c r="N252" s="3642"/>
      <c r="O252" s="3641"/>
    </row>
    <row r="253" spans="1:15">
      <c r="A253" s="3532">
        <v>31</v>
      </c>
      <c r="B253" s="3537" t="s">
        <v>4485</v>
      </c>
      <c r="C253" s="3537">
        <v>89.81</v>
      </c>
      <c r="D253" s="3659"/>
      <c r="E253" s="3533" t="s">
        <v>4486</v>
      </c>
      <c r="F253" s="3535">
        <v>89.82</v>
      </c>
      <c r="G253" s="3536" t="s">
        <v>3431</v>
      </c>
      <c r="H253" s="3652"/>
      <c r="I253" s="3642"/>
      <c r="J253" s="3641"/>
      <c r="K253" s="3642"/>
      <c r="L253" s="3641"/>
      <c r="M253" s="3641"/>
      <c r="N253" s="3642"/>
      <c r="O253" s="3641"/>
    </row>
    <row r="254" spans="1:15">
      <c r="A254" s="3532">
        <v>32</v>
      </c>
      <c r="B254" s="3537" t="s">
        <v>4487</v>
      </c>
      <c r="C254" s="3537">
        <v>89.81</v>
      </c>
      <c r="D254" s="3659"/>
      <c r="E254" s="3533" t="s">
        <v>4488</v>
      </c>
      <c r="F254" s="3535">
        <v>89.82</v>
      </c>
      <c r="G254" s="3536" t="s">
        <v>3431</v>
      </c>
      <c r="H254" s="3652"/>
      <c r="I254" s="3642"/>
      <c r="J254" s="3641"/>
      <c r="K254" s="3642"/>
      <c r="L254" s="3641"/>
      <c r="M254" s="3641"/>
      <c r="N254" s="3642"/>
      <c r="O254" s="3641"/>
    </row>
    <row r="255" spans="1:15">
      <c r="A255" s="3532">
        <v>33</v>
      </c>
      <c r="B255" s="3537" t="s">
        <v>4489</v>
      </c>
      <c r="C255" s="3537">
        <v>89.81</v>
      </c>
      <c r="D255" s="3659"/>
      <c r="E255" s="3533" t="s">
        <v>4490</v>
      </c>
      <c r="F255" s="3535">
        <v>89.82</v>
      </c>
      <c r="G255" s="3536" t="s">
        <v>3431</v>
      </c>
      <c r="H255" s="3652"/>
      <c r="I255" s="3642"/>
      <c r="J255" s="3641"/>
      <c r="K255" s="3642"/>
      <c r="L255" s="3641"/>
      <c r="M255" s="3641"/>
      <c r="N255" s="3642"/>
      <c r="O255" s="3641"/>
    </row>
    <row r="256" spans="1:15">
      <c r="A256" s="3532">
        <v>34</v>
      </c>
      <c r="B256" s="3537" t="s">
        <v>4491</v>
      </c>
      <c r="C256" s="3537">
        <v>89.81</v>
      </c>
      <c r="D256" s="3659"/>
      <c r="E256" s="3533" t="s">
        <v>4492</v>
      </c>
      <c r="F256" s="3535">
        <v>89.82</v>
      </c>
      <c r="G256" s="3536" t="s">
        <v>3431</v>
      </c>
      <c r="H256" s="3652"/>
      <c r="I256" s="3642"/>
      <c r="J256" s="3641"/>
      <c r="K256" s="3642"/>
      <c r="L256" s="3641"/>
      <c r="M256" s="3641"/>
      <c r="N256" s="3642"/>
      <c r="O256" s="3641"/>
    </row>
    <row r="257" spans="1:15">
      <c r="A257" s="3532">
        <v>35</v>
      </c>
      <c r="B257" s="3537" t="s">
        <v>4493</v>
      </c>
      <c r="C257" s="3537">
        <v>89.81</v>
      </c>
      <c r="D257" s="3659"/>
      <c r="E257" s="3533" t="s">
        <v>4494</v>
      </c>
      <c r="F257" s="3535">
        <v>89.82</v>
      </c>
      <c r="G257" s="3536" t="s">
        <v>3431</v>
      </c>
      <c r="H257" s="3652"/>
      <c r="I257" s="3642"/>
      <c r="J257" s="3641"/>
      <c r="K257" s="3642"/>
      <c r="L257" s="3641"/>
      <c r="M257" s="3641"/>
      <c r="N257" s="3642"/>
      <c r="O257" s="3641"/>
    </row>
    <row r="258" spans="1:15">
      <c r="A258" s="3532">
        <v>36</v>
      </c>
      <c r="B258" s="3537" t="s">
        <v>4495</v>
      </c>
      <c r="C258" s="3537">
        <v>89.81</v>
      </c>
      <c r="D258" s="3659"/>
      <c r="E258" s="3533" t="s">
        <v>4496</v>
      </c>
      <c r="F258" s="3535">
        <v>89.82</v>
      </c>
      <c r="G258" s="3536" t="s">
        <v>3431</v>
      </c>
      <c r="H258" s="3652"/>
      <c r="I258" s="3642"/>
      <c r="J258" s="3641"/>
      <c r="K258" s="3642"/>
      <c r="L258" s="3641"/>
      <c r="M258" s="3641"/>
      <c r="N258" s="3642"/>
      <c r="O258" s="3641"/>
    </row>
    <row r="259" spans="1:15">
      <c r="A259" s="3532">
        <v>37</v>
      </c>
      <c r="B259" s="3537" t="s">
        <v>4497</v>
      </c>
      <c r="C259" s="3537">
        <v>89.81</v>
      </c>
      <c r="D259" s="3659"/>
      <c r="E259" s="3533" t="s">
        <v>4498</v>
      </c>
      <c r="F259" s="3535">
        <v>89.82</v>
      </c>
      <c r="G259" s="3536" t="s">
        <v>3431</v>
      </c>
      <c r="H259" s="3652"/>
      <c r="I259" s="3642"/>
      <c r="J259" s="3641"/>
      <c r="K259" s="3642"/>
      <c r="L259" s="3641"/>
      <c r="M259" s="3641"/>
      <c r="N259" s="3642"/>
      <c r="O259" s="3641"/>
    </row>
    <row r="260" spans="1:15">
      <c r="A260" s="3532">
        <v>38</v>
      </c>
      <c r="B260" s="3537" t="s">
        <v>4499</v>
      </c>
      <c r="C260" s="3537">
        <v>89.81</v>
      </c>
      <c r="D260" s="3659"/>
      <c r="E260" s="3533" t="s">
        <v>4500</v>
      </c>
      <c r="F260" s="3535">
        <v>89.82</v>
      </c>
      <c r="G260" s="3536" t="s">
        <v>3431</v>
      </c>
      <c r="H260" s="3652"/>
      <c r="I260" s="3642"/>
      <c r="J260" s="3641"/>
      <c r="K260" s="3642"/>
      <c r="L260" s="3641"/>
      <c r="M260" s="3641"/>
      <c r="N260" s="3642"/>
      <c r="O260" s="3641"/>
    </row>
    <row r="261" spans="1:15">
      <c r="A261" s="3532">
        <v>39</v>
      </c>
      <c r="B261" s="3537" t="s">
        <v>4501</v>
      </c>
      <c r="C261" s="3537">
        <v>89.81</v>
      </c>
      <c r="D261" s="3659"/>
      <c r="E261" s="3533" t="s">
        <v>4502</v>
      </c>
      <c r="F261" s="3535">
        <v>89.82</v>
      </c>
      <c r="G261" s="3536" t="s">
        <v>3431</v>
      </c>
      <c r="H261" s="3652"/>
      <c r="I261" s="3642"/>
      <c r="J261" s="3641"/>
      <c r="K261" s="3642"/>
      <c r="L261" s="3641"/>
      <c r="M261" s="3641"/>
      <c r="N261" s="3642"/>
      <c r="O261" s="3641"/>
    </row>
    <row r="262" spans="1:15">
      <c r="A262" s="3532">
        <v>40</v>
      </c>
      <c r="B262" s="3537" t="s">
        <v>4503</v>
      </c>
      <c r="C262" s="3537">
        <v>89.81</v>
      </c>
      <c r="D262" s="3659"/>
      <c r="E262" s="3533" t="s">
        <v>4504</v>
      </c>
      <c r="F262" s="3535">
        <v>89.82</v>
      </c>
      <c r="G262" s="3536" t="s">
        <v>3431</v>
      </c>
      <c r="H262" s="3652"/>
      <c r="I262" s="3642"/>
      <c r="J262" s="3641"/>
      <c r="K262" s="3642"/>
      <c r="L262" s="3641"/>
      <c r="M262" s="3641"/>
      <c r="N262" s="3642"/>
      <c r="O262" s="3641"/>
    </row>
    <row r="263" spans="1:15">
      <c r="A263" s="3532">
        <v>41</v>
      </c>
      <c r="B263" s="3537" t="s">
        <v>4505</v>
      </c>
      <c r="C263" s="3537">
        <v>89.81</v>
      </c>
      <c r="D263" s="3659"/>
      <c r="E263" s="3533" t="s">
        <v>4506</v>
      </c>
      <c r="F263" s="3535">
        <v>89.82</v>
      </c>
      <c r="G263" s="3536" t="s">
        <v>3431</v>
      </c>
      <c r="H263" s="3652"/>
      <c r="I263" s="3642"/>
      <c r="J263" s="3641"/>
      <c r="K263" s="3642"/>
      <c r="L263" s="3641"/>
      <c r="M263" s="3641"/>
      <c r="N263" s="3642"/>
      <c r="O263" s="3641"/>
    </row>
    <row r="264" spans="1:15">
      <c r="A264" s="3532">
        <v>42</v>
      </c>
      <c r="B264" s="3537" t="s">
        <v>4507</v>
      </c>
      <c r="C264" s="3537">
        <v>89.81</v>
      </c>
      <c r="D264" s="3659"/>
      <c r="E264" s="3533" t="s">
        <v>4508</v>
      </c>
      <c r="F264" s="3535">
        <v>89.82</v>
      </c>
      <c r="G264" s="3536" t="s">
        <v>3431</v>
      </c>
      <c r="H264" s="3652"/>
      <c r="I264" s="3642"/>
      <c r="J264" s="3641"/>
      <c r="K264" s="3642"/>
      <c r="L264" s="3641"/>
      <c r="M264" s="3641"/>
      <c r="N264" s="3642"/>
      <c r="O264" s="3641"/>
    </row>
    <row r="265" spans="1:15">
      <c r="A265" s="3532">
        <v>43</v>
      </c>
      <c r="B265" s="3537" t="s">
        <v>4509</v>
      </c>
      <c r="C265" s="3537">
        <v>89.81</v>
      </c>
      <c r="D265" s="3659"/>
      <c r="E265" s="3533" t="s">
        <v>4510</v>
      </c>
      <c r="F265" s="3535">
        <v>89.82</v>
      </c>
      <c r="G265" s="3536" t="s">
        <v>3431</v>
      </c>
      <c r="H265" s="3652"/>
      <c r="I265" s="3642"/>
      <c r="J265" s="3641"/>
      <c r="K265" s="3642"/>
      <c r="L265" s="3641"/>
      <c r="M265" s="3641"/>
      <c r="N265" s="3642"/>
      <c r="O265" s="3641"/>
    </row>
    <row r="266" spans="1:15">
      <c r="A266" s="3532">
        <v>44</v>
      </c>
      <c r="B266" s="3537" t="s">
        <v>4511</v>
      </c>
      <c r="C266" s="3537">
        <v>89.81</v>
      </c>
      <c r="D266" s="3659"/>
      <c r="E266" s="3533" t="s">
        <v>4512</v>
      </c>
      <c r="F266" s="3535">
        <v>89.82</v>
      </c>
      <c r="G266" s="3536" t="s">
        <v>3431</v>
      </c>
      <c r="H266" s="3652"/>
      <c r="I266" s="3642"/>
      <c r="J266" s="3641"/>
      <c r="K266" s="3642"/>
      <c r="L266" s="3641"/>
      <c r="M266" s="3641"/>
      <c r="N266" s="3642"/>
      <c r="O266" s="3641"/>
    </row>
    <row r="267" spans="1:15">
      <c r="A267" s="3532">
        <v>45</v>
      </c>
      <c r="B267" s="3537" t="s">
        <v>4513</v>
      </c>
      <c r="C267" s="3537">
        <v>73.400000000000006</v>
      </c>
      <c r="D267" s="3659"/>
      <c r="E267" s="3533" t="s">
        <v>4514</v>
      </c>
      <c r="F267" s="3535">
        <v>73.41</v>
      </c>
      <c r="G267" s="3536" t="s">
        <v>3431</v>
      </c>
      <c r="H267" s="3652"/>
      <c r="I267" s="3642"/>
      <c r="J267" s="3641"/>
      <c r="K267" s="3642"/>
      <c r="L267" s="3641"/>
      <c r="M267" s="3641"/>
      <c r="N267" s="3642"/>
      <c r="O267" s="3641"/>
    </row>
    <row r="268" spans="1:15">
      <c r="A268" s="3532">
        <v>46</v>
      </c>
      <c r="B268" s="3537" t="s">
        <v>4515</v>
      </c>
      <c r="C268" s="3537">
        <v>89.81</v>
      </c>
      <c r="D268" s="3659"/>
      <c r="E268" s="3533" t="s">
        <v>4516</v>
      </c>
      <c r="F268" s="3535">
        <v>89.82</v>
      </c>
      <c r="G268" s="3536" t="s">
        <v>3431</v>
      </c>
      <c r="H268" s="3652"/>
      <c r="I268" s="3642"/>
      <c r="J268" s="3641"/>
      <c r="K268" s="3642"/>
      <c r="L268" s="3641"/>
      <c r="M268" s="3641"/>
      <c r="N268" s="3642"/>
      <c r="O268" s="3641"/>
    </row>
    <row r="269" spans="1:15">
      <c r="A269" s="3532">
        <v>47</v>
      </c>
      <c r="B269" s="3537" t="s">
        <v>4517</v>
      </c>
      <c r="C269" s="3537">
        <v>89.81</v>
      </c>
      <c r="D269" s="3659"/>
      <c r="E269" s="3533" t="s">
        <v>4518</v>
      </c>
      <c r="F269" s="3535">
        <v>89.82</v>
      </c>
      <c r="G269" s="3536" t="s">
        <v>3431</v>
      </c>
      <c r="H269" s="3652"/>
      <c r="I269" s="3642"/>
      <c r="J269" s="3641"/>
      <c r="K269" s="3642"/>
      <c r="L269" s="3641"/>
      <c r="M269" s="3641"/>
      <c r="N269" s="3642"/>
      <c r="O269" s="3641"/>
    </row>
    <row r="270" spans="1:15">
      <c r="A270" s="3532">
        <v>48</v>
      </c>
      <c r="B270" s="3537" t="s">
        <v>4519</v>
      </c>
      <c r="C270" s="3537">
        <v>89.81</v>
      </c>
      <c r="D270" s="3659"/>
      <c r="E270" s="3533" t="s">
        <v>4520</v>
      </c>
      <c r="F270" s="3535">
        <v>89.82</v>
      </c>
      <c r="G270" s="3536" t="s">
        <v>3431</v>
      </c>
      <c r="H270" s="3652"/>
      <c r="I270" s="3642"/>
      <c r="J270" s="3641"/>
      <c r="K270" s="3642"/>
      <c r="L270" s="3641"/>
      <c r="M270" s="3641"/>
      <c r="N270" s="3642"/>
      <c r="O270" s="3641"/>
    </row>
    <row r="271" spans="1:15">
      <c r="A271" s="3532">
        <v>49</v>
      </c>
      <c r="B271" s="3537" t="s">
        <v>4521</v>
      </c>
      <c r="C271" s="3537">
        <v>89.81</v>
      </c>
      <c r="D271" s="3659"/>
      <c r="E271" s="3533" t="s">
        <v>4522</v>
      </c>
      <c r="F271" s="3535">
        <v>89.82</v>
      </c>
      <c r="G271" s="3536" t="s">
        <v>3431</v>
      </c>
      <c r="H271" s="3652"/>
      <c r="I271" s="3642"/>
      <c r="J271" s="3641"/>
      <c r="K271" s="3642"/>
      <c r="L271" s="3641"/>
      <c r="M271" s="3641"/>
      <c r="N271" s="3642"/>
      <c r="O271" s="3641"/>
    </row>
    <row r="272" spans="1:15">
      <c r="A272" s="3532">
        <v>50</v>
      </c>
      <c r="B272" s="3537" t="s">
        <v>4523</v>
      </c>
      <c r="C272" s="3537">
        <v>89.81</v>
      </c>
      <c r="D272" s="3659"/>
      <c r="E272" s="3533" t="s">
        <v>4524</v>
      </c>
      <c r="F272" s="3535">
        <v>89.82</v>
      </c>
      <c r="G272" s="3536" t="s">
        <v>3431</v>
      </c>
      <c r="H272" s="3652"/>
      <c r="I272" s="3642"/>
      <c r="J272" s="3641"/>
      <c r="K272" s="3642"/>
      <c r="L272" s="3641"/>
      <c r="M272" s="3641"/>
      <c r="N272" s="3642"/>
      <c r="O272" s="3641"/>
    </row>
    <row r="273" spans="1:15">
      <c r="A273" s="3532">
        <v>51</v>
      </c>
      <c r="B273" s="3537" t="s">
        <v>4525</v>
      </c>
      <c r="C273" s="3537">
        <v>89.81</v>
      </c>
      <c r="D273" s="3659"/>
      <c r="E273" s="3533" t="s">
        <v>4526</v>
      </c>
      <c r="F273" s="3535">
        <v>89.82</v>
      </c>
      <c r="G273" s="3536" t="s">
        <v>3431</v>
      </c>
      <c r="H273" s="3652"/>
      <c r="I273" s="3642"/>
      <c r="J273" s="3641"/>
      <c r="K273" s="3642"/>
      <c r="L273" s="3641"/>
      <c r="M273" s="3641"/>
      <c r="N273" s="3642"/>
      <c r="O273" s="3641"/>
    </row>
    <row r="274" spans="1:15">
      <c r="A274" s="3532">
        <v>52</v>
      </c>
      <c r="B274" s="3537" t="s">
        <v>4527</v>
      </c>
      <c r="C274" s="3537">
        <v>89.81</v>
      </c>
      <c r="D274" s="3659"/>
      <c r="E274" s="3533" t="s">
        <v>4528</v>
      </c>
      <c r="F274" s="3535">
        <v>89.82</v>
      </c>
      <c r="G274" s="3536" t="s">
        <v>3431</v>
      </c>
      <c r="H274" s="3652"/>
      <c r="I274" s="3642"/>
      <c r="J274" s="3641"/>
      <c r="K274" s="3642"/>
      <c r="L274" s="3641"/>
      <c r="M274" s="3641"/>
      <c r="N274" s="3642"/>
      <c r="O274" s="3641"/>
    </row>
    <row r="275" spans="1:15">
      <c r="A275" s="3532">
        <v>53</v>
      </c>
      <c r="B275" s="3537" t="s">
        <v>4529</v>
      </c>
      <c r="C275" s="3537">
        <v>89.81</v>
      </c>
      <c r="D275" s="3659"/>
      <c r="E275" s="3533" t="s">
        <v>4530</v>
      </c>
      <c r="F275" s="3535">
        <v>89.82</v>
      </c>
      <c r="G275" s="3536" t="s">
        <v>3431</v>
      </c>
      <c r="H275" s="3652"/>
      <c r="I275" s="3642"/>
      <c r="J275" s="3641"/>
      <c r="K275" s="3642"/>
      <c r="L275" s="3641"/>
      <c r="M275" s="3641"/>
      <c r="N275" s="3642"/>
      <c r="O275" s="3641"/>
    </row>
    <row r="276" spans="1:15">
      <c r="A276" s="3532">
        <v>54</v>
      </c>
      <c r="B276" s="3537" t="s">
        <v>4531</v>
      </c>
      <c r="C276" s="3537">
        <v>89.81</v>
      </c>
      <c r="D276" s="3659"/>
      <c r="E276" s="3533" t="s">
        <v>4532</v>
      </c>
      <c r="F276" s="3535">
        <v>89.82</v>
      </c>
      <c r="G276" s="3536" t="s">
        <v>3431</v>
      </c>
      <c r="H276" s="3652"/>
      <c r="I276" s="3642"/>
      <c r="J276" s="3641"/>
      <c r="K276" s="3642"/>
      <c r="L276" s="3641"/>
      <c r="M276" s="3641"/>
      <c r="N276" s="3642"/>
      <c r="O276" s="3641"/>
    </row>
    <row r="277" spans="1:15">
      <c r="A277" s="3532">
        <v>55</v>
      </c>
      <c r="B277" s="3537" t="s">
        <v>4533</v>
      </c>
      <c r="C277" s="3537">
        <v>89.81</v>
      </c>
      <c r="D277" s="3659"/>
      <c r="E277" s="3533" t="s">
        <v>4534</v>
      </c>
      <c r="F277" s="3535">
        <v>89.82</v>
      </c>
      <c r="G277" s="3536" t="s">
        <v>3431</v>
      </c>
      <c r="H277" s="3652"/>
      <c r="I277" s="3642"/>
      <c r="J277" s="3641"/>
      <c r="K277" s="3642"/>
      <c r="L277" s="3641"/>
      <c r="M277" s="3641"/>
      <c r="N277" s="3642"/>
      <c r="O277" s="3641"/>
    </row>
    <row r="278" spans="1:15">
      <c r="A278" s="3532">
        <v>56</v>
      </c>
      <c r="B278" s="3537" t="s">
        <v>4535</v>
      </c>
      <c r="C278" s="3537">
        <v>89.81</v>
      </c>
      <c r="D278" s="3659"/>
      <c r="E278" s="3533" t="s">
        <v>4536</v>
      </c>
      <c r="F278" s="3535">
        <v>89.82</v>
      </c>
      <c r="G278" s="3536" t="s">
        <v>3431</v>
      </c>
      <c r="H278" s="3652"/>
      <c r="I278" s="3642"/>
      <c r="J278" s="3641"/>
      <c r="K278" s="3642"/>
      <c r="L278" s="3641"/>
      <c r="M278" s="3641"/>
      <c r="N278" s="3642"/>
      <c r="O278" s="3641"/>
    </row>
    <row r="279" spans="1:15">
      <c r="A279" s="3532">
        <v>57</v>
      </c>
      <c r="B279" s="3537" t="s">
        <v>4537</v>
      </c>
      <c r="C279" s="3537">
        <v>89.81</v>
      </c>
      <c r="D279" s="3659"/>
      <c r="E279" s="3533" t="s">
        <v>4538</v>
      </c>
      <c r="F279" s="3535">
        <v>89.82</v>
      </c>
      <c r="G279" s="3536" t="s">
        <v>3431</v>
      </c>
      <c r="H279" s="3652"/>
      <c r="I279" s="3642"/>
      <c r="J279" s="3641"/>
      <c r="K279" s="3642"/>
      <c r="L279" s="3641"/>
      <c r="M279" s="3641"/>
      <c r="N279" s="3642"/>
      <c r="O279" s="3641"/>
    </row>
    <row r="280" spans="1:15">
      <c r="A280" s="3532">
        <v>58</v>
      </c>
      <c r="B280" s="3537" t="s">
        <v>4539</v>
      </c>
      <c r="C280" s="3537">
        <v>89.81</v>
      </c>
      <c r="D280" s="3659"/>
      <c r="E280" s="3533" t="s">
        <v>4540</v>
      </c>
      <c r="F280" s="3535">
        <v>89.82</v>
      </c>
      <c r="G280" s="3536" t="s">
        <v>3431</v>
      </c>
      <c r="H280" s="3652"/>
      <c r="I280" s="3642"/>
      <c r="J280" s="3641"/>
      <c r="K280" s="3642"/>
      <c r="L280" s="3641"/>
      <c r="M280" s="3641"/>
      <c r="N280" s="3642"/>
      <c r="O280" s="3641"/>
    </row>
    <row r="281" spans="1:15">
      <c r="A281" s="3532">
        <v>59</v>
      </c>
      <c r="B281" s="3537" t="s">
        <v>4541</v>
      </c>
      <c r="C281" s="3537">
        <v>89.81</v>
      </c>
      <c r="D281" s="3659"/>
      <c r="E281" s="3533" t="s">
        <v>4542</v>
      </c>
      <c r="F281" s="3535">
        <v>89.82</v>
      </c>
      <c r="G281" s="3536" t="s">
        <v>3431</v>
      </c>
      <c r="H281" s="3652"/>
      <c r="I281" s="3642"/>
      <c r="J281" s="3641"/>
      <c r="K281" s="3642"/>
      <c r="L281" s="3641"/>
      <c r="M281" s="3641"/>
      <c r="N281" s="3642"/>
      <c r="O281" s="3641"/>
    </row>
    <row r="282" spans="1:15">
      <c r="A282" s="3532">
        <v>60</v>
      </c>
      <c r="B282" s="3537" t="s">
        <v>4543</v>
      </c>
      <c r="C282" s="3537">
        <v>89.81</v>
      </c>
      <c r="D282" s="3659"/>
      <c r="E282" s="3533" t="s">
        <v>4544</v>
      </c>
      <c r="F282" s="3535">
        <v>89.82</v>
      </c>
      <c r="G282" s="3536" t="s">
        <v>3431</v>
      </c>
      <c r="H282" s="3652"/>
      <c r="I282" s="3642"/>
      <c r="J282" s="3641"/>
      <c r="K282" s="3642"/>
      <c r="L282" s="3641"/>
      <c r="M282" s="3641"/>
      <c r="N282" s="3642"/>
      <c r="O282" s="3641"/>
    </row>
    <row r="283" spans="1:15">
      <c r="A283" s="3532">
        <v>61</v>
      </c>
      <c r="B283" s="3537" t="s">
        <v>4545</v>
      </c>
      <c r="C283" s="3537">
        <v>89.81</v>
      </c>
      <c r="D283" s="3659"/>
      <c r="E283" s="3533" t="s">
        <v>4546</v>
      </c>
      <c r="F283" s="3535">
        <v>89.82</v>
      </c>
      <c r="G283" s="3536" t="s">
        <v>3431</v>
      </c>
      <c r="H283" s="3652"/>
      <c r="I283" s="3642"/>
      <c r="J283" s="3641"/>
      <c r="K283" s="3642"/>
      <c r="L283" s="3641"/>
      <c r="M283" s="3641"/>
      <c r="N283" s="3642"/>
      <c r="O283" s="3641"/>
    </row>
    <row r="284" spans="1:15">
      <c r="A284" s="3532">
        <v>62</v>
      </c>
      <c r="B284" s="3537" t="s">
        <v>4547</v>
      </c>
      <c r="C284" s="3537">
        <v>89.81</v>
      </c>
      <c r="D284" s="3659"/>
      <c r="E284" s="3533" t="s">
        <v>4548</v>
      </c>
      <c r="F284" s="3535">
        <v>89.82</v>
      </c>
      <c r="G284" s="3536" t="s">
        <v>3431</v>
      </c>
      <c r="H284" s="3652"/>
      <c r="I284" s="3642"/>
      <c r="J284" s="3641"/>
      <c r="K284" s="3642"/>
      <c r="L284" s="3641"/>
      <c r="M284" s="3641"/>
      <c r="N284" s="3642"/>
      <c r="O284" s="3641"/>
    </row>
    <row r="285" spans="1:15">
      <c r="A285" s="3532">
        <v>63</v>
      </c>
      <c r="B285" s="3537" t="s">
        <v>4549</v>
      </c>
      <c r="C285" s="3537">
        <v>89.81</v>
      </c>
      <c r="D285" s="3659"/>
      <c r="E285" s="3533" t="s">
        <v>4550</v>
      </c>
      <c r="F285" s="3535">
        <v>89.82</v>
      </c>
      <c r="G285" s="3536" t="s">
        <v>3431</v>
      </c>
      <c r="H285" s="3652"/>
      <c r="I285" s="3642"/>
      <c r="J285" s="3641"/>
      <c r="K285" s="3642"/>
      <c r="L285" s="3641"/>
      <c r="M285" s="3641"/>
      <c r="N285" s="3642"/>
      <c r="O285" s="3641"/>
    </row>
    <row r="286" spans="1:15">
      <c r="A286" s="3532">
        <v>64</v>
      </c>
      <c r="B286" s="3537" t="s">
        <v>4551</v>
      </c>
      <c r="C286" s="3537">
        <v>89.81</v>
      </c>
      <c r="D286" s="3659"/>
      <c r="E286" s="3533" t="s">
        <v>4552</v>
      </c>
      <c r="F286" s="3535">
        <v>89.82</v>
      </c>
      <c r="G286" s="3536" t="s">
        <v>3431</v>
      </c>
      <c r="H286" s="3652"/>
      <c r="I286" s="3642"/>
      <c r="J286" s="3641"/>
      <c r="K286" s="3642"/>
      <c r="L286" s="3641"/>
      <c r="M286" s="3641"/>
      <c r="N286" s="3642"/>
      <c r="O286" s="3641"/>
    </row>
    <row r="287" spans="1:15">
      <c r="A287" s="3532">
        <v>65</v>
      </c>
      <c r="B287" s="3537" t="s">
        <v>4553</v>
      </c>
      <c r="C287" s="3537">
        <v>89.81</v>
      </c>
      <c r="D287" s="3659"/>
      <c r="E287" s="3533" t="s">
        <v>4554</v>
      </c>
      <c r="F287" s="3535">
        <v>89.82</v>
      </c>
      <c r="G287" s="3536" t="s">
        <v>3431</v>
      </c>
      <c r="H287" s="3652"/>
      <c r="I287" s="3642"/>
      <c r="J287" s="3641"/>
      <c r="K287" s="3642"/>
      <c r="L287" s="3641"/>
      <c r="M287" s="3641"/>
      <c r="N287" s="3642"/>
      <c r="O287" s="3641"/>
    </row>
    <row r="288" spans="1:15">
      <c r="A288" s="3532">
        <v>66</v>
      </c>
      <c r="B288" s="3537" t="s">
        <v>4555</v>
      </c>
      <c r="C288" s="3537">
        <v>89.81</v>
      </c>
      <c r="D288" s="3659"/>
      <c r="E288" s="3533" t="s">
        <v>4556</v>
      </c>
      <c r="F288" s="3535">
        <v>89.82</v>
      </c>
      <c r="G288" s="3536" t="s">
        <v>3431</v>
      </c>
      <c r="H288" s="3652"/>
      <c r="I288" s="3642"/>
      <c r="J288" s="3641"/>
      <c r="K288" s="3642"/>
      <c r="L288" s="3641"/>
      <c r="M288" s="3641"/>
      <c r="N288" s="3642"/>
      <c r="O288" s="3641"/>
    </row>
    <row r="289" spans="1:15">
      <c r="A289" s="3532">
        <v>67</v>
      </c>
      <c r="B289" s="3537" t="s">
        <v>4557</v>
      </c>
      <c r="C289" s="3537">
        <v>73.400000000000006</v>
      </c>
      <c r="D289" s="3659"/>
      <c r="E289" s="3533" t="s">
        <v>4558</v>
      </c>
      <c r="F289" s="3535">
        <v>73.41</v>
      </c>
      <c r="G289" s="3536" t="s">
        <v>3431</v>
      </c>
      <c r="H289" s="3652"/>
      <c r="I289" s="3642"/>
      <c r="J289" s="3641"/>
      <c r="K289" s="3642"/>
      <c r="L289" s="3641"/>
      <c r="M289" s="3641"/>
      <c r="N289" s="3642"/>
      <c r="O289" s="3641"/>
    </row>
    <row r="290" spans="1:15">
      <c r="A290" s="3532">
        <v>68</v>
      </c>
      <c r="B290" s="3537" t="s">
        <v>4559</v>
      </c>
      <c r="C290" s="3537">
        <v>174.29</v>
      </c>
      <c r="D290" s="3659"/>
      <c r="E290" s="3533" t="s">
        <v>4560</v>
      </c>
      <c r="F290" s="3535">
        <v>174.31</v>
      </c>
      <c r="G290" s="3536" t="s">
        <v>3431</v>
      </c>
      <c r="H290" s="3652"/>
      <c r="I290" s="3642"/>
      <c r="J290" s="3641"/>
      <c r="K290" s="3642"/>
      <c r="L290" s="3641"/>
      <c r="M290" s="3641"/>
      <c r="N290" s="3642"/>
      <c r="O290" s="3641"/>
    </row>
    <row r="291" spans="1:15">
      <c r="A291" s="3532">
        <v>69</v>
      </c>
      <c r="B291" s="3537" t="s">
        <v>4561</v>
      </c>
      <c r="C291" s="3537">
        <v>89.81</v>
      </c>
      <c r="D291" s="3659"/>
      <c r="E291" s="3533" t="s">
        <v>4562</v>
      </c>
      <c r="F291" s="3535">
        <v>89.82</v>
      </c>
      <c r="G291" s="3536" t="s">
        <v>3431</v>
      </c>
      <c r="H291" s="3652"/>
      <c r="I291" s="3642"/>
      <c r="J291" s="3641"/>
      <c r="K291" s="3642"/>
      <c r="L291" s="3641"/>
      <c r="M291" s="3641"/>
      <c r="N291" s="3642"/>
      <c r="O291" s="3641"/>
    </row>
    <row r="292" spans="1:15">
      <c r="A292" s="3532">
        <v>70</v>
      </c>
      <c r="B292" s="3537" t="s">
        <v>4563</v>
      </c>
      <c r="C292" s="3537">
        <v>89.81</v>
      </c>
      <c r="D292" s="3659"/>
      <c r="E292" s="3533" t="s">
        <v>4564</v>
      </c>
      <c r="F292" s="3535">
        <v>89.82</v>
      </c>
      <c r="G292" s="3536" t="s">
        <v>3431</v>
      </c>
      <c r="H292" s="3652"/>
      <c r="I292" s="3642"/>
      <c r="J292" s="3641"/>
      <c r="K292" s="3642"/>
      <c r="L292" s="3641"/>
      <c r="M292" s="3641"/>
      <c r="N292" s="3642"/>
      <c r="O292" s="3641"/>
    </row>
    <row r="293" spans="1:15">
      <c r="A293" s="3532">
        <v>71</v>
      </c>
      <c r="B293" s="3537" t="s">
        <v>4565</v>
      </c>
      <c r="C293" s="3537">
        <v>87.14</v>
      </c>
      <c r="D293" s="3659"/>
      <c r="E293" s="3533" t="s">
        <v>4566</v>
      </c>
      <c r="F293" s="3535">
        <v>87.15</v>
      </c>
      <c r="G293" s="3536" t="s">
        <v>3431</v>
      </c>
      <c r="H293" s="3652"/>
      <c r="I293" s="3642"/>
      <c r="J293" s="3641"/>
      <c r="K293" s="3642"/>
      <c r="L293" s="3641"/>
      <c r="M293" s="3641"/>
      <c r="N293" s="3642"/>
      <c r="O293" s="3641"/>
    </row>
    <row r="294" spans="1:15">
      <c r="A294" s="3532">
        <v>72</v>
      </c>
      <c r="B294" s="3537" t="s">
        <v>4567</v>
      </c>
      <c r="C294" s="3537">
        <v>89.81</v>
      </c>
      <c r="D294" s="3659"/>
      <c r="E294" s="3533" t="s">
        <v>4568</v>
      </c>
      <c r="F294" s="3535">
        <v>89.82</v>
      </c>
      <c r="G294" s="3536" t="s">
        <v>3431</v>
      </c>
      <c r="H294" s="3652"/>
      <c r="I294" s="3642"/>
      <c r="J294" s="3641"/>
      <c r="K294" s="3642"/>
      <c r="L294" s="3641"/>
      <c r="M294" s="3641"/>
      <c r="N294" s="3642"/>
      <c r="O294" s="3641"/>
    </row>
    <row r="295" spans="1:15">
      <c r="A295" s="3532">
        <v>73</v>
      </c>
      <c r="B295" s="3537" t="s">
        <v>4569</v>
      </c>
      <c r="C295" s="3537">
        <v>87.14</v>
      </c>
      <c r="D295" s="3659"/>
      <c r="E295" s="3533" t="s">
        <v>4570</v>
      </c>
      <c r="F295" s="3535">
        <v>87.15</v>
      </c>
      <c r="G295" s="3536" t="s">
        <v>3431</v>
      </c>
      <c r="H295" s="3652"/>
      <c r="I295" s="3642"/>
      <c r="J295" s="3641"/>
      <c r="K295" s="3642"/>
      <c r="L295" s="3641"/>
      <c r="M295" s="3641"/>
      <c r="N295" s="3642"/>
      <c r="O295" s="3641"/>
    </row>
    <row r="296" spans="1:15">
      <c r="A296" s="3532">
        <v>74</v>
      </c>
      <c r="B296" s="3537" t="s">
        <v>4571</v>
      </c>
      <c r="C296" s="3537">
        <v>89.81</v>
      </c>
      <c r="D296" s="3659"/>
      <c r="E296" s="3533" t="s">
        <v>4572</v>
      </c>
      <c r="F296" s="3535">
        <v>89.82</v>
      </c>
      <c r="G296" s="3536" t="s">
        <v>3431</v>
      </c>
      <c r="H296" s="3652"/>
      <c r="I296" s="3642"/>
      <c r="J296" s="3641"/>
      <c r="K296" s="3642"/>
      <c r="L296" s="3641"/>
      <c r="M296" s="3641"/>
      <c r="N296" s="3642"/>
      <c r="O296" s="3641"/>
    </row>
    <row r="297" spans="1:15">
      <c r="A297" s="3532">
        <v>75</v>
      </c>
      <c r="B297" s="3537" t="s">
        <v>4573</v>
      </c>
      <c r="C297" s="3537">
        <v>87.14</v>
      </c>
      <c r="D297" s="3659"/>
      <c r="E297" s="3533" t="s">
        <v>4574</v>
      </c>
      <c r="F297" s="3535">
        <v>87.15</v>
      </c>
      <c r="G297" s="3536" t="s">
        <v>3431</v>
      </c>
      <c r="H297" s="3652"/>
      <c r="I297" s="3642"/>
      <c r="J297" s="3641"/>
      <c r="K297" s="3642"/>
      <c r="L297" s="3641"/>
      <c r="M297" s="3641"/>
      <c r="N297" s="3642"/>
      <c r="O297" s="3641"/>
    </row>
    <row r="298" spans="1:15">
      <c r="A298" s="3532">
        <v>76</v>
      </c>
      <c r="B298" s="3537" t="s">
        <v>4575</v>
      </c>
      <c r="C298" s="3537">
        <v>89.81</v>
      </c>
      <c r="D298" s="3659"/>
      <c r="E298" s="3533" t="s">
        <v>4576</v>
      </c>
      <c r="F298" s="3535">
        <v>89.82</v>
      </c>
      <c r="G298" s="3536" t="s">
        <v>3431</v>
      </c>
      <c r="H298" s="3652" t="s">
        <v>3999</v>
      </c>
      <c r="I298" s="3642"/>
      <c r="J298" s="3641" t="s">
        <v>4000</v>
      </c>
      <c r="K298" s="3642" t="s">
        <v>4001</v>
      </c>
      <c r="L298" s="3641" t="s">
        <v>4002</v>
      </c>
      <c r="M298" s="3641" t="s">
        <v>4002</v>
      </c>
      <c r="N298" s="3642" t="s">
        <v>4003</v>
      </c>
      <c r="O298" s="3641"/>
    </row>
    <row r="299" spans="1:15">
      <c r="A299" s="3532">
        <v>77</v>
      </c>
      <c r="B299" s="3537" t="s">
        <v>4577</v>
      </c>
      <c r="C299" s="3537">
        <v>87.14</v>
      </c>
      <c r="D299" s="3659"/>
      <c r="E299" s="3533" t="s">
        <v>4578</v>
      </c>
      <c r="F299" s="3535">
        <v>87.15</v>
      </c>
      <c r="G299" s="3536" t="s">
        <v>3431</v>
      </c>
      <c r="H299" s="3652"/>
      <c r="I299" s="3642"/>
      <c r="J299" s="3641"/>
      <c r="K299" s="3642"/>
      <c r="L299" s="3641"/>
      <c r="M299" s="3641"/>
      <c r="N299" s="3642"/>
      <c r="O299" s="3641"/>
    </row>
    <row r="300" spans="1:15">
      <c r="A300" s="3532">
        <v>78</v>
      </c>
      <c r="B300" s="3537" t="s">
        <v>4579</v>
      </c>
      <c r="C300" s="3537">
        <v>89.81</v>
      </c>
      <c r="D300" s="3659"/>
      <c r="E300" s="3533" t="s">
        <v>4580</v>
      </c>
      <c r="F300" s="3535">
        <v>89.82</v>
      </c>
      <c r="G300" s="3536" t="s">
        <v>3431</v>
      </c>
      <c r="H300" s="3652"/>
      <c r="I300" s="3642"/>
      <c r="J300" s="3641"/>
      <c r="K300" s="3642"/>
      <c r="L300" s="3641"/>
      <c r="M300" s="3641"/>
      <c r="N300" s="3642"/>
      <c r="O300" s="3641"/>
    </row>
    <row r="301" spans="1:15">
      <c r="A301" s="3532">
        <v>79</v>
      </c>
      <c r="B301" s="3537" t="s">
        <v>4581</v>
      </c>
      <c r="C301" s="3537">
        <v>87.14</v>
      </c>
      <c r="D301" s="3659"/>
      <c r="E301" s="3533" t="s">
        <v>4582</v>
      </c>
      <c r="F301" s="3535">
        <v>87.15</v>
      </c>
      <c r="G301" s="3536" t="s">
        <v>3431</v>
      </c>
      <c r="H301" s="3652"/>
      <c r="I301" s="3642"/>
      <c r="J301" s="3641"/>
      <c r="K301" s="3642"/>
      <c r="L301" s="3641"/>
      <c r="M301" s="3641"/>
      <c r="N301" s="3642"/>
      <c r="O301" s="3641"/>
    </row>
    <row r="302" spans="1:15">
      <c r="A302" s="3532">
        <v>80</v>
      </c>
      <c r="B302" s="3537" t="s">
        <v>4583</v>
      </c>
      <c r="C302" s="3537">
        <v>89.81</v>
      </c>
      <c r="D302" s="3659"/>
      <c r="E302" s="3533" t="s">
        <v>4584</v>
      </c>
      <c r="F302" s="3535">
        <v>89.82</v>
      </c>
      <c r="G302" s="3536" t="s">
        <v>3431</v>
      </c>
      <c r="H302" s="3652"/>
      <c r="I302" s="3642"/>
      <c r="J302" s="3641"/>
      <c r="K302" s="3642"/>
      <c r="L302" s="3641"/>
      <c r="M302" s="3641"/>
      <c r="N302" s="3642"/>
      <c r="O302" s="3641"/>
    </row>
    <row r="303" spans="1:15">
      <c r="A303" s="3532">
        <v>81</v>
      </c>
      <c r="B303" s="3537" t="s">
        <v>4585</v>
      </c>
      <c r="C303" s="3537">
        <v>87.14</v>
      </c>
      <c r="D303" s="3659"/>
      <c r="E303" s="3533" t="s">
        <v>4586</v>
      </c>
      <c r="F303" s="3535">
        <v>87.15</v>
      </c>
      <c r="G303" s="3536" t="s">
        <v>3431</v>
      </c>
      <c r="H303" s="3652"/>
      <c r="I303" s="3642"/>
      <c r="J303" s="3641"/>
      <c r="K303" s="3642"/>
      <c r="L303" s="3641"/>
      <c r="M303" s="3641"/>
      <c r="N303" s="3642"/>
      <c r="O303" s="3641"/>
    </row>
    <row r="304" spans="1:15">
      <c r="A304" s="3532">
        <v>82</v>
      </c>
      <c r="B304" s="3537" t="s">
        <v>4587</v>
      </c>
      <c r="C304" s="3537">
        <v>89.81</v>
      </c>
      <c r="D304" s="3659"/>
      <c r="E304" s="3533" t="s">
        <v>4588</v>
      </c>
      <c r="F304" s="3535">
        <v>89.82</v>
      </c>
      <c r="G304" s="3536" t="s">
        <v>3431</v>
      </c>
      <c r="H304" s="3652"/>
      <c r="I304" s="3642"/>
      <c r="J304" s="3641"/>
      <c r="K304" s="3642"/>
      <c r="L304" s="3641"/>
      <c r="M304" s="3641"/>
      <c r="N304" s="3642"/>
      <c r="O304" s="3641"/>
    </row>
    <row r="305" spans="1:15">
      <c r="A305" s="3532">
        <v>83</v>
      </c>
      <c r="B305" s="3537" t="s">
        <v>4589</v>
      </c>
      <c r="C305" s="3537">
        <v>87.14</v>
      </c>
      <c r="D305" s="3659"/>
      <c r="E305" s="3533" t="s">
        <v>4590</v>
      </c>
      <c r="F305" s="3535">
        <v>87.15</v>
      </c>
      <c r="G305" s="3536" t="s">
        <v>3431</v>
      </c>
      <c r="H305" s="3652"/>
      <c r="I305" s="3642"/>
      <c r="J305" s="3641"/>
      <c r="K305" s="3642"/>
      <c r="L305" s="3641"/>
      <c r="M305" s="3641"/>
      <c r="N305" s="3642"/>
      <c r="O305" s="3641"/>
    </row>
    <row r="306" spans="1:15">
      <c r="A306" s="3532">
        <v>84</v>
      </c>
      <c r="B306" s="3537" t="s">
        <v>4591</v>
      </c>
      <c r="C306" s="3537">
        <v>89.81</v>
      </c>
      <c r="D306" s="3659"/>
      <c r="E306" s="3533" t="s">
        <v>4592</v>
      </c>
      <c r="F306" s="3535">
        <v>89.82</v>
      </c>
      <c r="G306" s="3536" t="s">
        <v>3431</v>
      </c>
      <c r="H306" s="3652"/>
      <c r="I306" s="3642"/>
      <c r="J306" s="3641"/>
      <c r="K306" s="3642"/>
      <c r="L306" s="3641"/>
      <c r="M306" s="3641"/>
      <c r="N306" s="3642"/>
      <c r="O306" s="3641"/>
    </row>
    <row r="307" spans="1:15">
      <c r="A307" s="3532">
        <v>85</v>
      </c>
      <c r="B307" s="3537" t="s">
        <v>4593</v>
      </c>
      <c r="C307" s="3537">
        <v>87.14</v>
      </c>
      <c r="D307" s="3659"/>
      <c r="E307" s="3533" t="s">
        <v>4594</v>
      </c>
      <c r="F307" s="3535">
        <v>87.15</v>
      </c>
      <c r="G307" s="3536" t="s">
        <v>3431</v>
      </c>
      <c r="H307" s="3652"/>
      <c r="I307" s="3642"/>
      <c r="J307" s="3641"/>
      <c r="K307" s="3642"/>
      <c r="L307" s="3641"/>
      <c r="M307" s="3641"/>
      <c r="N307" s="3642"/>
      <c r="O307" s="3641"/>
    </row>
    <row r="308" spans="1:15">
      <c r="A308" s="3532">
        <v>86</v>
      </c>
      <c r="B308" s="3537" t="s">
        <v>4595</v>
      </c>
      <c r="C308" s="3537">
        <v>89.81</v>
      </c>
      <c r="D308" s="3659"/>
      <c r="E308" s="3533" t="s">
        <v>4596</v>
      </c>
      <c r="F308" s="3535">
        <v>89.82</v>
      </c>
      <c r="G308" s="3536" t="s">
        <v>3431</v>
      </c>
      <c r="H308" s="3652"/>
      <c r="I308" s="3642"/>
      <c r="J308" s="3641"/>
      <c r="K308" s="3642"/>
      <c r="L308" s="3641"/>
      <c r="M308" s="3641"/>
      <c r="N308" s="3642"/>
      <c r="O308" s="3641"/>
    </row>
    <row r="309" spans="1:15">
      <c r="A309" s="3532">
        <v>87</v>
      </c>
      <c r="B309" s="3537" t="s">
        <v>4597</v>
      </c>
      <c r="C309" s="3537">
        <v>87.14</v>
      </c>
      <c r="D309" s="3659"/>
      <c r="E309" s="3533" t="s">
        <v>4598</v>
      </c>
      <c r="F309" s="3535">
        <v>87.15</v>
      </c>
      <c r="G309" s="3536" t="s">
        <v>3431</v>
      </c>
      <c r="H309" s="3652"/>
      <c r="I309" s="3642"/>
      <c r="J309" s="3641"/>
      <c r="K309" s="3642"/>
      <c r="L309" s="3641"/>
      <c r="M309" s="3641"/>
      <c r="N309" s="3642"/>
      <c r="O309" s="3641"/>
    </row>
    <row r="310" spans="1:15" s="3543" customFormat="1">
      <c r="A310" s="3538" t="s">
        <v>4006</v>
      </c>
      <c r="B310" s="3539"/>
      <c r="C310" s="3540">
        <f>SUBTOTAL(9,C223:C309)</f>
        <v>7778.9100000000135</v>
      </c>
      <c r="D310" s="3659"/>
      <c r="E310" s="3533" t="s">
        <v>4007</v>
      </c>
      <c r="F310" s="3541">
        <f>SUBTOTAL(9,F223:F309)</f>
        <v>7779.7899999999918</v>
      </c>
      <c r="G310" s="3542"/>
      <c r="H310" s="3652"/>
      <c r="I310" s="3642"/>
      <c r="J310" s="3641"/>
      <c r="K310" s="3642"/>
      <c r="L310" s="3641"/>
      <c r="M310" s="3641"/>
      <c r="N310" s="3642"/>
      <c r="O310" s="3641"/>
    </row>
    <row r="311" spans="1:15">
      <c r="A311" s="3532">
        <v>1</v>
      </c>
      <c r="B311" s="3537" t="s">
        <v>4599</v>
      </c>
      <c r="C311" s="3534">
        <v>76.78</v>
      </c>
      <c r="D311" s="3653" t="s">
        <v>3386</v>
      </c>
      <c r="E311" s="3533" t="s">
        <v>4600</v>
      </c>
      <c r="F311" s="3535">
        <v>76.819999999999993</v>
      </c>
      <c r="G311" s="3536" t="s">
        <v>3431</v>
      </c>
      <c r="H311" s="3652"/>
      <c r="I311" s="3642"/>
      <c r="J311" s="3641"/>
      <c r="K311" s="3642"/>
      <c r="L311" s="3641"/>
      <c r="M311" s="3641"/>
      <c r="N311" s="3642"/>
      <c r="O311" s="3641"/>
    </row>
    <row r="312" spans="1:15">
      <c r="A312" s="3532">
        <v>2</v>
      </c>
      <c r="B312" s="3537" t="s">
        <v>4601</v>
      </c>
      <c r="C312" s="3534">
        <v>76.78</v>
      </c>
      <c r="D312" s="3654"/>
      <c r="E312" s="3533" t="s">
        <v>4602</v>
      </c>
      <c r="F312" s="3535">
        <v>76.819999999999993</v>
      </c>
      <c r="G312" s="3536" t="s">
        <v>3431</v>
      </c>
      <c r="H312" s="3652"/>
      <c r="I312" s="3642"/>
      <c r="J312" s="3641"/>
      <c r="K312" s="3642"/>
      <c r="L312" s="3641"/>
      <c r="M312" s="3641"/>
      <c r="N312" s="3642"/>
      <c r="O312" s="3641"/>
    </row>
    <row r="313" spans="1:15">
      <c r="A313" s="3532">
        <v>3</v>
      </c>
      <c r="B313" s="3537" t="s">
        <v>4603</v>
      </c>
      <c r="C313" s="3534">
        <v>76.78</v>
      </c>
      <c r="D313" s="3654"/>
      <c r="E313" s="3533" t="s">
        <v>4604</v>
      </c>
      <c r="F313" s="3535">
        <v>76.819999999999993</v>
      </c>
      <c r="G313" s="3536" t="s">
        <v>3431</v>
      </c>
      <c r="H313" s="3652"/>
      <c r="I313" s="3642"/>
      <c r="J313" s="3641"/>
      <c r="K313" s="3642"/>
      <c r="L313" s="3641"/>
      <c r="M313" s="3641"/>
      <c r="N313" s="3642"/>
      <c r="O313" s="3641"/>
    </row>
    <row r="314" spans="1:15">
      <c r="A314" s="3532">
        <v>4</v>
      </c>
      <c r="B314" s="3537" t="s">
        <v>4605</v>
      </c>
      <c r="C314" s="3534">
        <v>77.33</v>
      </c>
      <c r="D314" s="3654"/>
      <c r="E314" s="3533" t="s">
        <v>4606</v>
      </c>
      <c r="F314" s="3535">
        <v>77.38</v>
      </c>
      <c r="G314" s="3536" t="s">
        <v>3431</v>
      </c>
      <c r="H314" s="3652"/>
      <c r="I314" s="3642"/>
      <c r="J314" s="3641"/>
      <c r="K314" s="3642"/>
      <c r="L314" s="3641"/>
      <c r="M314" s="3641"/>
      <c r="N314" s="3642"/>
      <c r="O314" s="3641"/>
    </row>
    <row r="315" spans="1:15" s="3543" customFormat="1">
      <c r="A315" s="3538" t="s">
        <v>4006</v>
      </c>
      <c r="B315" s="3539"/>
      <c r="C315" s="3540">
        <f>SUBTOTAL(9,C311:C314)</f>
        <v>307.67</v>
      </c>
      <c r="D315" s="3654"/>
      <c r="E315" s="3533" t="s">
        <v>4007</v>
      </c>
      <c r="F315" s="3541">
        <f>SUBTOTAL(9,F311:F314)</f>
        <v>307.83999999999997</v>
      </c>
      <c r="G315" s="3542"/>
      <c r="H315" s="3652"/>
      <c r="I315" s="3642"/>
      <c r="J315" s="3641"/>
      <c r="K315" s="3642"/>
      <c r="L315" s="3641"/>
      <c r="M315" s="3641"/>
      <c r="N315" s="3642"/>
      <c r="O315" s="3641"/>
    </row>
    <row r="316" spans="1:15">
      <c r="A316" s="3532">
        <v>1</v>
      </c>
      <c r="B316" s="3537" t="s">
        <v>4607</v>
      </c>
      <c r="C316" s="3534">
        <v>76.86</v>
      </c>
      <c r="D316" s="3653" t="s">
        <v>4608</v>
      </c>
      <c r="E316" s="3533" t="s">
        <v>4609</v>
      </c>
      <c r="F316" s="3535">
        <v>76.91</v>
      </c>
      <c r="G316" s="3536" t="s">
        <v>3431</v>
      </c>
      <c r="H316" s="3652"/>
      <c r="I316" s="3642"/>
      <c r="J316" s="3641"/>
      <c r="K316" s="3642"/>
      <c r="L316" s="3641"/>
      <c r="M316" s="3641"/>
      <c r="N316" s="3642"/>
      <c r="O316" s="3641"/>
    </row>
    <row r="317" spans="1:15">
      <c r="A317" s="3532">
        <v>2</v>
      </c>
      <c r="B317" s="3537" t="s">
        <v>4610</v>
      </c>
      <c r="C317" s="3534">
        <v>76.86</v>
      </c>
      <c r="D317" s="3654"/>
      <c r="E317" s="3533" t="s">
        <v>4611</v>
      </c>
      <c r="F317" s="3535">
        <v>76.91</v>
      </c>
      <c r="G317" s="3536" t="s">
        <v>3431</v>
      </c>
      <c r="H317" s="3652"/>
      <c r="I317" s="3642"/>
      <c r="J317" s="3641"/>
      <c r="K317" s="3642"/>
      <c r="L317" s="3641"/>
      <c r="M317" s="3641"/>
      <c r="N317" s="3642"/>
      <c r="O317" s="3641"/>
    </row>
    <row r="318" spans="1:15">
      <c r="A318" s="3532">
        <v>3</v>
      </c>
      <c r="B318" s="3537" t="s">
        <v>4612</v>
      </c>
      <c r="C318" s="3534">
        <v>76.86</v>
      </c>
      <c r="D318" s="3654"/>
      <c r="E318" s="3533" t="s">
        <v>4613</v>
      </c>
      <c r="F318" s="3535">
        <v>76.91</v>
      </c>
      <c r="G318" s="3536" t="s">
        <v>3431</v>
      </c>
      <c r="H318" s="3652"/>
      <c r="I318" s="3642"/>
      <c r="J318" s="3641"/>
      <c r="K318" s="3642"/>
      <c r="L318" s="3641"/>
      <c r="M318" s="3641"/>
      <c r="N318" s="3642"/>
      <c r="O318" s="3641"/>
    </row>
    <row r="319" spans="1:15" s="3543" customFormat="1">
      <c r="A319" s="3538" t="s">
        <v>4006</v>
      </c>
      <c r="B319" s="3539"/>
      <c r="C319" s="3540">
        <f>SUBTOTAL(9,C316:C318)</f>
        <v>230.57999999999998</v>
      </c>
      <c r="D319" s="3655"/>
      <c r="E319" s="3533" t="s">
        <v>4007</v>
      </c>
      <c r="F319" s="3541">
        <f>SUBTOTAL(9,F316:F318)</f>
        <v>230.73</v>
      </c>
      <c r="G319" s="3542"/>
      <c r="H319" s="3652"/>
      <c r="I319" s="3642"/>
      <c r="J319" s="3641"/>
      <c r="K319" s="3642"/>
      <c r="L319" s="3641"/>
      <c r="M319" s="3641"/>
      <c r="N319" s="3642"/>
      <c r="O319" s="3641"/>
    </row>
    <row r="320" spans="1:15" ht="15" customHeight="1">
      <c r="A320" s="3538" t="s">
        <v>4614</v>
      </c>
      <c r="B320" s="3549"/>
      <c r="C320" s="3550">
        <f>SUBTOTAL(9,C4:C318)</f>
        <v>26385.590000000084</v>
      </c>
      <c r="D320" s="3550"/>
      <c r="E320" s="3533" t="s">
        <v>4615</v>
      </c>
      <c r="F320" s="3550">
        <f>SUBTOTAL(9,F4:F318)</f>
        <v>26390.010000000006</v>
      </c>
      <c r="G320" s="3550"/>
      <c r="H320" s="3652"/>
      <c r="I320" s="3642"/>
      <c r="J320" s="3641"/>
      <c r="K320" s="3642"/>
      <c r="L320" s="3641"/>
      <c r="M320" s="3641"/>
      <c r="N320" s="3642"/>
      <c r="O320" s="3641"/>
    </row>
    <row r="321" spans="1:15">
      <c r="A321" s="3656" t="s">
        <v>4616</v>
      </c>
      <c r="B321" s="3657"/>
      <c r="C321" s="3551"/>
      <c r="D321" s="3551"/>
      <c r="E321" s="3551"/>
      <c r="F321" s="3551"/>
      <c r="G321" s="3551"/>
      <c r="H321" s="3652"/>
      <c r="I321" s="3642"/>
      <c r="J321" s="3641"/>
      <c r="K321" s="3642"/>
      <c r="L321" s="3641"/>
      <c r="M321" s="3641"/>
      <c r="N321" s="3642"/>
      <c r="O321" s="3641"/>
    </row>
    <row r="322" spans="1:15">
      <c r="A322" s="3532" t="s">
        <v>4617</v>
      </c>
      <c r="B322" s="3552" t="s">
        <v>4618</v>
      </c>
      <c r="C322" s="3553"/>
      <c r="D322" s="3553"/>
      <c r="E322" s="3553"/>
      <c r="F322" s="3553"/>
      <c r="G322" s="3553"/>
      <c r="H322" s="3652"/>
      <c r="I322" s="3642"/>
      <c r="J322" s="3641"/>
      <c r="K322" s="3642"/>
      <c r="L322" s="3641"/>
      <c r="M322" s="3641"/>
      <c r="N322" s="3642"/>
      <c r="O322" s="3641"/>
    </row>
    <row r="323" spans="1:15">
      <c r="A323" s="3532" t="s">
        <v>4617</v>
      </c>
      <c r="B323" s="3552" t="s">
        <v>4619</v>
      </c>
      <c r="C323" s="3532">
        <v>27.66</v>
      </c>
      <c r="D323" s="3649" t="s">
        <v>4620</v>
      </c>
      <c r="E323" s="3553" t="s">
        <v>4621</v>
      </c>
      <c r="F323" s="3532">
        <v>29.05</v>
      </c>
      <c r="G323" s="3553" t="s">
        <v>3431</v>
      </c>
      <c r="H323" s="3652"/>
      <c r="I323" s="3642"/>
      <c r="J323" s="3641"/>
      <c r="K323" s="3642"/>
      <c r="L323" s="3641"/>
      <c r="M323" s="3641"/>
      <c r="N323" s="3642"/>
      <c r="O323" s="3641"/>
    </row>
    <row r="324" spans="1:15">
      <c r="A324" s="3532" t="s">
        <v>4617</v>
      </c>
      <c r="B324" s="3552" t="s">
        <v>4622</v>
      </c>
      <c r="C324" s="3532">
        <v>27.66</v>
      </c>
      <c r="D324" s="3650"/>
      <c r="E324" s="3553" t="s">
        <v>4623</v>
      </c>
      <c r="F324" s="3532">
        <v>29.05</v>
      </c>
      <c r="G324" s="3553" t="s">
        <v>3431</v>
      </c>
      <c r="H324" s="3652"/>
      <c r="I324" s="3642"/>
      <c r="J324" s="3641"/>
      <c r="K324" s="3642"/>
      <c r="L324" s="3641"/>
      <c r="M324" s="3641"/>
      <c r="N324" s="3642"/>
      <c r="O324" s="3641"/>
    </row>
    <row r="325" spans="1:15">
      <c r="A325" s="3532" t="s">
        <v>4617</v>
      </c>
      <c r="B325" s="3552" t="s">
        <v>4624</v>
      </c>
      <c r="C325" s="3532">
        <v>27.66</v>
      </c>
      <c r="D325" s="3650"/>
      <c r="E325" s="3553" t="s">
        <v>4625</v>
      </c>
      <c r="F325" s="3532">
        <v>29.05</v>
      </c>
      <c r="G325" s="3553" t="s">
        <v>3431</v>
      </c>
      <c r="H325" s="3652"/>
      <c r="I325" s="3642"/>
      <c r="J325" s="3641"/>
      <c r="K325" s="3642"/>
      <c r="L325" s="3641"/>
      <c r="M325" s="3641"/>
      <c r="N325" s="3642"/>
      <c r="O325" s="3641"/>
    </row>
    <row r="326" spans="1:15">
      <c r="A326" s="3532" t="s">
        <v>4617</v>
      </c>
      <c r="B326" s="3552" t="s">
        <v>4626</v>
      </c>
      <c r="C326" s="3532">
        <v>27.66</v>
      </c>
      <c r="D326" s="3650"/>
      <c r="E326" s="3553" t="s">
        <v>4627</v>
      </c>
      <c r="F326" s="3532">
        <v>29.05</v>
      </c>
      <c r="G326" s="3553" t="s">
        <v>3431</v>
      </c>
      <c r="H326" s="3652"/>
      <c r="I326" s="3642"/>
      <c r="J326" s="3641"/>
      <c r="K326" s="3642"/>
      <c r="L326" s="3641"/>
      <c r="M326" s="3641"/>
      <c r="N326" s="3642"/>
      <c r="O326" s="3641"/>
    </row>
    <row r="327" spans="1:15">
      <c r="A327" s="3532" t="s">
        <v>4617</v>
      </c>
      <c r="B327" s="3552" t="s">
        <v>4628</v>
      </c>
      <c r="C327" s="3532">
        <v>27.66</v>
      </c>
      <c r="D327" s="3650"/>
      <c r="E327" s="3553" t="s">
        <v>4629</v>
      </c>
      <c r="F327" s="3532">
        <v>29.05</v>
      </c>
      <c r="G327" s="3553" t="s">
        <v>3431</v>
      </c>
      <c r="H327" s="3652"/>
      <c r="I327" s="3642"/>
      <c r="J327" s="3641"/>
      <c r="K327" s="3642"/>
      <c r="L327" s="3641"/>
      <c r="M327" s="3641"/>
      <c r="N327" s="3642"/>
      <c r="O327" s="3641"/>
    </row>
    <row r="328" spans="1:15">
      <c r="A328" s="3532" t="s">
        <v>4617</v>
      </c>
      <c r="B328" s="3552" t="s">
        <v>4630</v>
      </c>
      <c r="C328" s="3532">
        <v>27.66</v>
      </c>
      <c r="D328" s="3650"/>
      <c r="E328" s="3553" t="s">
        <v>4631</v>
      </c>
      <c r="F328" s="3532">
        <v>29.05</v>
      </c>
      <c r="G328" s="3553" t="s">
        <v>3431</v>
      </c>
      <c r="H328" s="3652"/>
      <c r="I328" s="3642"/>
      <c r="J328" s="3641"/>
      <c r="K328" s="3642"/>
      <c r="L328" s="3641"/>
      <c r="M328" s="3641"/>
      <c r="N328" s="3642"/>
      <c r="O328" s="3641"/>
    </row>
    <row r="329" spans="1:15">
      <c r="A329" s="3532" t="s">
        <v>4617</v>
      </c>
      <c r="B329" s="3552" t="s">
        <v>4632</v>
      </c>
      <c r="C329" s="3532">
        <v>27.66</v>
      </c>
      <c r="D329" s="3650"/>
      <c r="E329" s="3553" t="s">
        <v>4633</v>
      </c>
      <c r="F329" s="3532">
        <v>29.05</v>
      </c>
      <c r="G329" s="3553" t="s">
        <v>3431</v>
      </c>
      <c r="H329" s="3652"/>
      <c r="I329" s="3642"/>
      <c r="J329" s="3641"/>
      <c r="K329" s="3642"/>
      <c r="L329" s="3641"/>
      <c r="M329" s="3641"/>
      <c r="N329" s="3642"/>
      <c r="O329" s="3641"/>
    </row>
    <row r="330" spans="1:15">
      <c r="A330" s="3532" t="s">
        <v>4617</v>
      </c>
      <c r="B330" s="3552" t="s">
        <v>4634</v>
      </c>
      <c r="C330" s="3532">
        <v>27.66</v>
      </c>
      <c r="D330" s="3650"/>
      <c r="E330" s="3553" t="s">
        <v>4635</v>
      </c>
      <c r="F330" s="3532">
        <v>29.05</v>
      </c>
      <c r="G330" s="3553" t="s">
        <v>3431</v>
      </c>
      <c r="H330" s="3652"/>
      <c r="I330" s="3642"/>
      <c r="J330" s="3641"/>
      <c r="K330" s="3642"/>
      <c r="L330" s="3641"/>
      <c r="M330" s="3641"/>
      <c r="N330" s="3642"/>
      <c r="O330" s="3641"/>
    </row>
    <row r="331" spans="1:15">
      <c r="A331" s="3532" t="s">
        <v>4617</v>
      </c>
      <c r="B331" s="3552" t="s">
        <v>4636</v>
      </c>
      <c r="C331" s="3532">
        <v>27.66</v>
      </c>
      <c r="D331" s="3650"/>
      <c r="E331" s="3553" t="s">
        <v>4637</v>
      </c>
      <c r="F331" s="3532">
        <v>29.05</v>
      </c>
      <c r="G331" s="3553" t="s">
        <v>3431</v>
      </c>
      <c r="H331" s="3652"/>
      <c r="I331" s="3642"/>
      <c r="J331" s="3641"/>
      <c r="K331" s="3642"/>
      <c r="L331" s="3641"/>
      <c r="M331" s="3641"/>
      <c r="N331" s="3642"/>
      <c r="O331" s="3641"/>
    </row>
    <row r="332" spans="1:15">
      <c r="A332" s="3532" t="s">
        <v>4617</v>
      </c>
      <c r="B332" s="3552" t="s">
        <v>4638</v>
      </c>
      <c r="C332" s="3532">
        <v>27.66</v>
      </c>
      <c r="D332" s="3650"/>
      <c r="E332" s="3553" t="s">
        <v>4639</v>
      </c>
      <c r="F332" s="3532">
        <v>29.05</v>
      </c>
      <c r="G332" s="3553" t="s">
        <v>3431</v>
      </c>
      <c r="H332" s="3652"/>
      <c r="I332" s="3642"/>
      <c r="J332" s="3641"/>
      <c r="K332" s="3642"/>
      <c r="L332" s="3641"/>
      <c r="M332" s="3641"/>
      <c r="N332" s="3642"/>
      <c r="O332" s="3641"/>
    </row>
    <row r="333" spans="1:15">
      <c r="A333" s="3532" t="s">
        <v>4617</v>
      </c>
      <c r="B333" s="3552" t="s">
        <v>4640</v>
      </c>
      <c r="C333" s="3532">
        <v>27.66</v>
      </c>
      <c r="D333" s="3650"/>
      <c r="E333" s="3553" t="s">
        <v>4641</v>
      </c>
      <c r="F333" s="3532">
        <v>29.05</v>
      </c>
      <c r="G333" s="3553" t="s">
        <v>3431</v>
      </c>
      <c r="H333" s="3652"/>
      <c r="I333" s="3642"/>
      <c r="J333" s="3641"/>
      <c r="K333" s="3642"/>
      <c r="L333" s="3641"/>
      <c r="M333" s="3641"/>
      <c r="N333" s="3642"/>
      <c r="O333" s="3641"/>
    </row>
    <row r="334" spans="1:15">
      <c r="A334" s="3532" t="s">
        <v>4617</v>
      </c>
      <c r="B334" s="3552" t="s">
        <v>4642</v>
      </c>
      <c r="C334" s="3532">
        <v>27.66</v>
      </c>
      <c r="D334" s="3650"/>
      <c r="E334" s="3553" t="s">
        <v>4643</v>
      </c>
      <c r="F334" s="3532">
        <v>29.05</v>
      </c>
      <c r="G334" s="3553" t="s">
        <v>3431</v>
      </c>
      <c r="H334" s="3652"/>
      <c r="I334" s="3642"/>
      <c r="J334" s="3641"/>
      <c r="K334" s="3642"/>
      <c r="L334" s="3641"/>
      <c r="M334" s="3641"/>
      <c r="N334" s="3642"/>
      <c r="O334" s="3641"/>
    </row>
    <row r="335" spans="1:15">
      <c r="A335" s="3532" t="s">
        <v>4617</v>
      </c>
      <c r="B335" s="3552" t="s">
        <v>4644</v>
      </c>
      <c r="C335" s="3532">
        <v>27.66</v>
      </c>
      <c r="D335" s="3650"/>
      <c r="E335" s="3553" t="s">
        <v>4645</v>
      </c>
      <c r="F335" s="3532">
        <v>29.05</v>
      </c>
      <c r="G335" s="3553" t="s">
        <v>3431</v>
      </c>
      <c r="H335" s="3652"/>
      <c r="I335" s="3642"/>
      <c r="J335" s="3641"/>
      <c r="K335" s="3642"/>
      <c r="L335" s="3641"/>
      <c r="M335" s="3641"/>
      <c r="N335" s="3642"/>
      <c r="O335" s="3641"/>
    </row>
    <row r="336" spans="1:15">
      <c r="A336" s="3532" t="s">
        <v>4617</v>
      </c>
      <c r="B336" s="3552" t="s">
        <v>4646</v>
      </c>
      <c r="C336" s="3532">
        <v>27.66</v>
      </c>
      <c r="D336" s="3650"/>
      <c r="E336" s="3553" t="s">
        <v>4647</v>
      </c>
      <c r="F336" s="3532">
        <v>29.05</v>
      </c>
      <c r="G336" s="3553" t="s">
        <v>3431</v>
      </c>
      <c r="H336" s="3652"/>
      <c r="I336" s="3642"/>
      <c r="J336" s="3641"/>
      <c r="K336" s="3642"/>
      <c r="L336" s="3641"/>
      <c r="M336" s="3641"/>
      <c r="N336" s="3642"/>
      <c r="O336" s="3641"/>
    </row>
    <row r="337" spans="1:15">
      <c r="A337" s="3532" t="s">
        <v>4617</v>
      </c>
      <c r="B337" s="3552" t="s">
        <v>4648</v>
      </c>
      <c r="C337" s="3532">
        <v>27.66</v>
      </c>
      <c r="D337" s="3650"/>
      <c r="E337" s="3553" t="s">
        <v>4649</v>
      </c>
      <c r="F337" s="3532">
        <v>29.05</v>
      </c>
      <c r="G337" s="3553" t="s">
        <v>3431</v>
      </c>
      <c r="H337" s="3652"/>
      <c r="I337" s="3642"/>
      <c r="J337" s="3641"/>
      <c r="K337" s="3642"/>
      <c r="L337" s="3641"/>
      <c r="M337" s="3641"/>
      <c r="N337" s="3642"/>
      <c r="O337" s="3641"/>
    </row>
    <row r="338" spans="1:15">
      <c r="A338" s="3532" t="s">
        <v>4617</v>
      </c>
      <c r="B338" s="3552" t="s">
        <v>4650</v>
      </c>
      <c r="C338" s="3532">
        <v>27.66</v>
      </c>
      <c r="D338" s="3650"/>
      <c r="E338" s="3553" t="s">
        <v>4651</v>
      </c>
      <c r="F338" s="3532">
        <v>29.05</v>
      </c>
      <c r="G338" s="3553" t="s">
        <v>3431</v>
      </c>
      <c r="H338" s="3652"/>
      <c r="I338" s="3642"/>
      <c r="J338" s="3641"/>
      <c r="K338" s="3642"/>
      <c r="L338" s="3641"/>
      <c r="M338" s="3641"/>
      <c r="N338" s="3642"/>
      <c r="O338" s="3641"/>
    </row>
    <row r="339" spans="1:15">
      <c r="A339" s="3532" t="s">
        <v>4617</v>
      </c>
      <c r="B339" s="3552" t="s">
        <v>4652</v>
      </c>
      <c r="C339" s="3532">
        <v>27.66</v>
      </c>
      <c r="D339" s="3650"/>
      <c r="E339" s="3553" t="s">
        <v>4653</v>
      </c>
      <c r="F339" s="3532">
        <v>29.05</v>
      </c>
      <c r="G339" s="3553" t="s">
        <v>3431</v>
      </c>
      <c r="H339" s="3652"/>
      <c r="I339" s="3642"/>
      <c r="J339" s="3641"/>
      <c r="K339" s="3642"/>
      <c r="L339" s="3641"/>
      <c r="M339" s="3641"/>
      <c r="N339" s="3642"/>
      <c r="O339" s="3641"/>
    </row>
    <row r="340" spans="1:15">
      <c r="A340" s="3532" t="s">
        <v>4617</v>
      </c>
      <c r="B340" s="3552" t="s">
        <v>4654</v>
      </c>
      <c r="C340" s="3532">
        <v>27.66</v>
      </c>
      <c r="D340" s="3650"/>
      <c r="E340" s="3553" t="s">
        <v>4655</v>
      </c>
      <c r="F340" s="3532">
        <v>29.05</v>
      </c>
      <c r="G340" s="3553" t="s">
        <v>3431</v>
      </c>
      <c r="H340" s="3652"/>
      <c r="I340" s="3642"/>
      <c r="J340" s="3641"/>
      <c r="K340" s="3642"/>
      <c r="L340" s="3641"/>
      <c r="M340" s="3641"/>
      <c r="N340" s="3642"/>
      <c r="O340" s="3641"/>
    </row>
    <row r="341" spans="1:15">
      <c r="A341" s="3532" t="s">
        <v>4617</v>
      </c>
      <c r="B341" s="3552" t="s">
        <v>4656</v>
      </c>
      <c r="C341" s="3532">
        <v>27.66</v>
      </c>
      <c r="D341" s="3650"/>
      <c r="E341" s="3553" t="s">
        <v>4657</v>
      </c>
      <c r="F341" s="3532">
        <v>29.05</v>
      </c>
      <c r="G341" s="3553" t="s">
        <v>3431</v>
      </c>
      <c r="H341" s="3652"/>
      <c r="I341" s="3642"/>
      <c r="J341" s="3641"/>
      <c r="K341" s="3642"/>
      <c r="L341" s="3641"/>
      <c r="M341" s="3641"/>
      <c r="N341" s="3642"/>
      <c r="O341" s="3641"/>
    </row>
    <row r="342" spans="1:15">
      <c r="A342" s="3532" t="s">
        <v>4617</v>
      </c>
      <c r="B342" s="3552" t="s">
        <v>4658</v>
      </c>
      <c r="C342" s="3532">
        <v>27.66</v>
      </c>
      <c r="D342" s="3650"/>
      <c r="E342" s="3553" t="s">
        <v>4659</v>
      </c>
      <c r="F342" s="3532">
        <v>29.05</v>
      </c>
      <c r="G342" s="3553" t="s">
        <v>3431</v>
      </c>
      <c r="H342" s="3652"/>
      <c r="I342" s="3642"/>
      <c r="J342" s="3641"/>
      <c r="K342" s="3642"/>
      <c r="L342" s="3641"/>
      <c r="M342" s="3641"/>
      <c r="N342" s="3642"/>
      <c r="O342" s="3641"/>
    </row>
    <row r="343" spans="1:15">
      <c r="A343" s="3532" t="s">
        <v>4617</v>
      </c>
      <c r="B343" s="3552" t="s">
        <v>4660</v>
      </c>
      <c r="C343" s="3532">
        <v>27.66</v>
      </c>
      <c r="D343" s="3650"/>
      <c r="E343" s="3553" t="s">
        <v>4661</v>
      </c>
      <c r="F343" s="3532">
        <v>29.05</v>
      </c>
      <c r="G343" s="3553" t="s">
        <v>3431</v>
      </c>
      <c r="H343" s="3652"/>
      <c r="I343" s="3642"/>
      <c r="J343" s="3641"/>
      <c r="K343" s="3642"/>
      <c r="L343" s="3641"/>
      <c r="M343" s="3641"/>
      <c r="N343" s="3642"/>
      <c r="O343" s="3641"/>
    </row>
    <row r="344" spans="1:15">
      <c r="A344" s="3532" t="s">
        <v>4617</v>
      </c>
      <c r="B344" s="3552" t="s">
        <v>4662</v>
      </c>
      <c r="C344" s="3532">
        <v>27.66</v>
      </c>
      <c r="D344" s="3650"/>
      <c r="E344" s="3553" t="s">
        <v>4663</v>
      </c>
      <c r="F344" s="3532">
        <v>29.05</v>
      </c>
      <c r="G344" s="3553" t="s">
        <v>3431</v>
      </c>
      <c r="H344" s="3652"/>
      <c r="I344" s="3642"/>
      <c r="J344" s="3641"/>
      <c r="K344" s="3642"/>
      <c r="L344" s="3641"/>
      <c r="M344" s="3641"/>
      <c r="N344" s="3642"/>
      <c r="O344" s="3641"/>
    </row>
    <row r="345" spans="1:15">
      <c r="A345" s="3532" t="s">
        <v>4617</v>
      </c>
      <c r="B345" s="3552" t="s">
        <v>4664</v>
      </c>
      <c r="C345" s="3532">
        <v>27.66</v>
      </c>
      <c r="D345" s="3650"/>
      <c r="E345" s="3553" t="s">
        <v>4665</v>
      </c>
      <c r="F345" s="3532">
        <v>29.05</v>
      </c>
      <c r="G345" s="3553" t="s">
        <v>3431</v>
      </c>
      <c r="H345" s="3652"/>
      <c r="I345" s="3642"/>
      <c r="J345" s="3641"/>
      <c r="K345" s="3642"/>
      <c r="L345" s="3641"/>
      <c r="M345" s="3641"/>
      <c r="N345" s="3642"/>
      <c r="O345" s="3641"/>
    </row>
    <row r="346" spans="1:15">
      <c r="A346" s="3532" t="s">
        <v>4617</v>
      </c>
      <c r="B346" s="3552" t="s">
        <v>4666</v>
      </c>
      <c r="C346" s="3532">
        <v>27.66</v>
      </c>
      <c r="D346" s="3650"/>
      <c r="E346" s="3553" t="s">
        <v>4667</v>
      </c>
      <c r="F346" s="3532">
        <v>29.05</v>
      </c>
      <c r="G346" s="3553" t="s">
        <v>3431</v>
      </c>
      <c r="H346" s="3652"/>
      <c r="I346" s="3642"/>
      <c r="J346" s="3641"/>
      <c r="K346" s="3642"/>
      <c r="L346" s="3641"/>
      <c r="M346" s="3641"/>
      <c r="N346" s="3642"/>
      <c r="O346" s="3641"/>
    </row>
    <row r="347" spans="1:15">
      <c r="A347" s="3532" t="s">
        <v>4617</v>
      </c>
      <c r="B347" s="3552" t="s">
        <v>4668</v>
      </c>
      <c r="C347" s="3532">
        <v>27.66</v>
      </c>
      <c r="D347" s="3650"/>
      <c r="E347" s="3553" t="s">
        <v>4669</v>
      </c>
      <c r="F347" s="3532">
        <v>29.05</v>
      </c>
      <c r="G347" s="3553" t="s">
        <v>3431</v>
      </c>
      <c r="H347" s="3652"/>
      <c r="I347" s="3642"/>
      <c r="J347" s="3641"/>
      <c r="K347" s="3642"/>
      <c r="L347" s="3641"/>
      <c r="M347" s="3641"/>
      <c r="N347" s="3642"/>
      <c r="O347" s="3641"/>
    </row>
    <row r="348" spans="1:15">
      <c r="A348" s="3532" t="s">
        <v>4617</v>
      </c>
      <c r="B348" s="3552" t="s">
        <v>4670</v>
      </c>
      <c r="C348" s="3532">
        <v>27.66</v>
      </c>
      <c r="D348" s="3650"/>
      <c r="E348" s="3553" t="s">
        <v>4671</v>
      </c>
      <c r="F348" s="3532">
        <v>29.05</v>
      </c>
      <c r="G348" s="3553" t="s">
        <v>3431</v>
      </c>
      <c r="H348" s="3652"/>
      <c r="I348" s="3642"/>
      <c r="J348" s="3641"/>
      <c r="K348" s="3642"/>
      <c r="L348" s="3641"/>
      <c r="M348" s="3641"/>
      <c r="N348" s="3642"/>
      <c r="O348" s="3641"/>
    </row>
    <row r="349" spans="1:15">
      <c r="A349" s="3532" t="s">
        <v>4617</v>
      </c>
      <c r="B349" s="3552" t="s">
        <v>4672</v>
      </c>
      <c r="C349" s="3532">
        <v>27.66</v>
      </c>
      <c r="D349" s="3650"/>
      <c r="E349" s="3553" t="s">
        <v>4673</v>
      </c>
      <c r="F349" s="3532">
        <v>29.05</v>
      </c>
      <c r="G349" s="3553" t="s">
        <v>3431</v>
      </c>
      <c r="H349" s="3652"/>
      <c r="I349" s="3642"/>
      <c r="J349" s="3641"/>
      <c r="K349" s="3642"/>
      <c r="L349" s="3641"/>
      <c r="M349" s="3641"/>
      <c r="N349" s="3642"/>
      <c r="O349" s="3641"/>
    </row>
    <row r="350" spans="1:15">
      <c r="A350" s="3532" t="s">
        <v>4617</v>
      </c>
      <c r="B350" s="3552" t="s">
        <v>4674</v>
      </c>
      <c r="C350" s="3532">
        <v>27.66</v>
      </c>
      <c r="D350" s="3650"/>
      <c r="E350" s="3553" t="s">
        <v>4675</v>
      </c>
      <c r="F350" s="3532">
        <v>29.05</v>
      </c>
      <c r="G350" s="3553" t="s">
        <v>3431</v>
      </c>
      <c r="H350" s="3652"/>
      <c r="I350" s="3642"/>
      <c r="J350" s="3641"/>
      <c r="K350" s="3642"/>
      <c r="L350" s="3641"/>
      <c r="M350" s="3641"/>
      <c r="N350" s="3642"/>
      <c r="O350" s="3641"/>
    </row>
    <row r="351" spans="1:15">
      <c r="A351" s="3532" t="s">
        <v>4617</v>
      </c>
      <c r="B351" s="3552" t="s">
        <v>4676</v>
      </c>
      <c r="C351" s="3532">
        <v>27.66</v>
      </c>
      <c r="D351" s="3650"/>
      <c r="E351" s="3553" t="s">
        <v>4677</v>
      </c>
      <c r="F351" s="3532">
        <v>29.05</v>
      </c>
      <c r="G351" s="3553" t="s">
        <v>3431</v>
      </c>
      <c r="H351" s="3652"/>
      <c r="I351" s="3642"/>
      <c r="J351" s="3641"/>
      <c r="K351" s="3642"/>
      <c r="L351" s="3641"/>
      <c r="M351" s="3641"/>
      <c r="N351" s="3642"/>
      <c r="O351" s="3641"/>
    </row>
    <row r="352" spans="1:15">
      <c r="A352" s="3532" t="s">
        <v>4617</v>
      </c>
      <c r="B352" s="3552" t="s">
        <v>4678</v>
      </c>
      <c r="C352" s="3532">
        <v>27.66</v>
      </c>
      <c r="D352" s="3650"/>
      <c r="E352" s="3553" t="s">
        <v>4679</v>
      </c>
      <c r="F352" s="3532">
        <v>29.05</v>
      </c>
      <c r="G352" s="3553" t="s">
        <v>3431</v>
      </c>
      <c r="H352" s="3652"/>
      <c r="I352" s="3642"/>
      <c r="J352" s="3641"/>
      <c r="K352" s="3642"/>
      <c r="L352" s="3641"/>
      <c r="M352" s="3641"/>
      <c r="N352" s="3642"/>
      <c r="O352" s="3641"/>
    </row>
    <row r="353" spans="1:15">
      <c r="A353" s="3532" t="s">
        <v>4617</v>
      </c>
      <c r="B353" s="3552" t="s">
        <v>4680</v>
      </c>
      <c r="C353" s="3532">
        <v>27.66</v>
      </c>
      <c r="D353" s="3650"/>
      <c r="E353" s="3553" t="s">
        <v>4681</v>
      </c>
      <c r="F353" s="3532">
        <v>29.05</v>
      </c>
      <c r="G353" s="3553" t="s">
        <v>3431</v>
      </c>
      <c r="H353" s="3652"/>
      <c r="I353" s="3642"/>
      <c r="J353" s="3641"/>
      <c r="K353" s="3642"/>
      <c r="L353" s="3641"/>
      <c r="M353" s="3641"/>
      <c r="N353" s="3642"/>
      <c r="O353" s="3641"/>
    </row>
    <row r="354" spans="1:15">
      <c r="A354" s="3532" t="s">
        <v>4617</v>
      </c>
      <c r="B354" s="3552" t="s">
        <v>4682</v>
      </c>
      <c r="C354" s="3532">
        <v>27.66</v>
      </c>
      <c r="D354" s="3650"/>
      <c r="E354" s="3553" t="s">
        <v>4683</v>
      </c>
      <c r="F354" s="3532">
        <v>29.05</v>
      </c>
      <c r="G354" s="3553" t="s">
        <v>3431</v>
      </c>
      <c r="H354" s="3652"/>
      <c r="I354" s="3642"/>
      <c r="J354" s="3641"/>
      <c r="K354" s="3642"/>
      <c r="L354" s="3641"/>
      <c r="M354" s="3641"/>
      <c r="N354" s="3642"/>
      <c r="O354" s="3641"/>
    </row>
    <row r="355" spans="1:15">
      <c r="A355" s="3532" t="s">
        <v>4617</v>
      </c>
      <c r="B355" s="3552" t="s">
        <v>4684</v>
      </c>
      <c r="C355" s="3532">
        <v>27.66</v>
      </c>
      <c r="D355" s="3650"/>
      <c r="E355" s="3553" t="s">
        <v>4685</v>
      </c>
      <c r="F355" s="3532">
        <v>29.05</v>
      </c>
      <c r="G355" s="3553" t="s">
        <v>3431</v>
      </c>
      <c r="H355" s="3652"/>
      <c r="I355" s="3642"/>
      <c r="J355" s="3641"/>
      <c r="K355" s="3642"/>
      <c r="L355" s="3641"/>
      <c r="M355" s="3641"/>
      <c r="N355" s="3642"/>
      <c r="O355" s="3641"/>
    </row>
    <row r="356" spans="1:15">
      <c r="A356" s="3532" t="s">
        <v>4617</v>
      </c>
      <c r="B356" s="3552" t="s">
        <v>4686</v>
      </c>
      <c r="C356" s="3532">
        <v>26.62</v>
      </c>
      <c r="D356" s="3650"/>
      <c r="E356" s="3553" t="s">
        <v>4687</v>
      </c>
      <c r="F356" s="3532">
        <v>29.05</v>
      </c>
      <c r="G356" s="3553" t="s">
        <v>3431</v>
      </c>
      <c r="H356" s="3652"/>
      <c r="I356" s="3642"/>
      <c r="J356" s="3641"/>
      <c r="K356" s="3642"/>
      <c r="L356" s="3641"/>
      <c r="M356" s="3641"/>
      <c r="N356" s="3642"/>
      <c r="O356" s="3641"/>
    </row>
    <row r="357" spans="1:15">
      <c r="A357" s="3532" t="s">
        <v>4617</v>
      </c>
      <c r="B357" s="3552" t="s">
        <v>4688</v>
      </c>
      <c r="C357" s="3532">
        <v>26.62</v>
      </c>
      <c r="D357" s="3650"/>
      <c r="E357" s="3553" t="s">
        <v>4689</v>
      </c>
      <c r="F357" s="3532">
        <v>29.05</v>
      </c>
      <c r="G357" s="3553" t="s">
        <v>3431</v>
      </c>
      <c r="H357" s="3652"/>
      <c r="I357" s="3642"/>
      <c r="J357" s="3641"/>
      <c r="K357" s="3642"/>
      <c r="L357" s="3641"/>
      <c r="M357" s="3641"/>
      <c r="N357" s="3642"/>
      <c r="O357" s="3641"/>
    </row>
    <row r="358" spans="1:15">
      <c r="A358" s="3532" t="s">
        <v>4617</v>
      </c>
      <c r="B358" s="3552" t="s">
        <v>4690</v>
      </c>
      <c r="C358" s="3532">
        <v>26.62</v>
      </c>
      <c r="D358" s="3650"/>
      <c r="E358" s="3553" t="s">
        <v>4691</v>
      </c>
      <c r="F358" s="3532">
        <v>29.05</v>
      </c>
      <c r="G358" s="3553" t="s">
        <v>3431</v>
      </c>
      <c r="H358" s="3652"/>
      <c r="I358" s="3642"/>
      <c r="J358" s="3641"/>
      <c r="K358" s="3642"/>
      <c r="L358" s="3641"/>
      <c r="M358" s="3641"/>
      <c r="N358" s="3642"/>
      <c r="O358" s="3641"/>
    </row>
    <row r="359" spans="1:15">
      <c r="A359" s="3532" t="s">
        <v>4617</v>
      </c>
      <c r="B359" s="3552" t="s">
        <v>4692</v>
      </c>
      <c r="C359" s="3532">
        <v>26.62</v>
      </c>
      <c r="D359" s="3650"/>
      <c r="E359" s="3553" t="s">
        <v>4693</v>
      </c>
      <c r="F359" s="3532">
        <v>29.05</v>
      </c>
      <c r="G359" s="3553" t="s">
        <v>3431</v>
      </c>
      <c r="H359" s="3652"/>
      <c r="I359" s="3642"/>
      <c r="J359" s="3641"/>
      <c r="K359" s="3642"/>
      <c r="L359" s="3641"/>
      <c r="M359" s="3641"/>
      <c r="N359" s="3642"/>
      <c r="O359" s="3641"/>
    </row>
    <row r="360" spans="1:15">
      <c r="A360" s="3532" t="s">
        <v>4617</v>
      </c>
      <c r="B360" s="3552" t="s">
        <v>4694</v>
      </c>
      <c r="C360" s="3532">
        <v>26.62</v>
      </c>
      <c r="D360" s="3650"/>
      <c r="E360" s="3553" t="s">
        <v>4695</v>
      </c>
      <c r="F360" s="3532">
        <v>29.05</v>
      </c>
      <c r="G360" s="3553" t="s">
        <v>3431</v>
      </c>
      <c r="H360" s="3652"/>
      <c r="I360" s="3642"/>
      <c r="J360" s="3641"/>
      <c r="K360" s="3642"/>
      <c r="L360" s="3641"/>
      <c r="M360" s="3641"/>
      <c r="N360" s="3642"/>
      <c r="O360" s="3641"/>
    </row>
    <row r="361" spans="1:15">
      <c r="A361" s="3532" t="s">
        <v>4617</v>
      </c>
      <c r="B361" s="3552" t="s">
        <v>4696</v>
      </c>
      <c r="C361" s="3532">
        <v>26.62</v>
      </c>
      <c r="D361" s="3650"/>
      <c r="E361" s="3553" t="s">
        <v>4697</v>
      </c>
      <c r="F361" s="3532">
        <v>29.05</v>
      </c>
      <c r="G361" s="3553" t="s">
        <v>3431</v>
      </c>
      <c r="H361" s="3652"/>
      <c r="I361" s="3642"/>
      <c r="J361" s="3641"/>
      <c r="K361" s="3642"/>
      <c r="L361" s="3641"/>
      <c r="M361" s="3641"/>
      <c r="N361" s="3642"/>
      <c r="O361" s="3641"/>
    </row>
    <row r="362" spans="1:15">
      <c r="A362" s="3532" t="s">
        <v>4617</v>
      </c>
      <c r="B362" s="3552" t="s">
        <v>4698</v>
      </c>
      <c r="C362" s="3532">
        <v>26.62</v>
      </c>
      <c r="D362" s="3650"/>
      <c r="E362" s="3553" t="s">
        <v>4699</v>
      </c>
      <c r="F362" s="3532">
        <v>29.05</v>
      </c>
      <c r="G362" s="3553" t="s">
        <v>3431</v>
      </c>
      <c r="H362" s="3652"/>
      <c r="I362" s="3642"/>
      <c r="J362" s="3641"/>
      <c r="K362" s="3642"/>
      <c r="L362" s="3641"/>
      <c r="M362" s="3641"/>
      <c r="N362" s="3642"/>
      <c r="O362" s="3641"/>
    </row>
    <row r="363" spans="1:15">
      <c r="A363" s="3532" t="s">
        <v>4617</v>
      </c>
      <c r="B363" s="3552" t="s">
        <v>4700</v>
      </c>
      <c r="C363" s="3532">
        <v>26.62</v>
      </c>
      <c r="D363" s="3650"/>
      <c r="E363" s="3553" t="s">
        <v>4701</v>
      </c>
      <c r="F363" s="3532">
        <v>29.05</v>
      </c>
      <c r="G363" s="3553" t="s">
        <v>3431</v>
      </c>
      <c r="H363" s="3652"/>
      <c r="I363" s="3642"/>
      <c r="J363" s="3641"/>
      <c r="K363" s="3642"/>
      <c r="L363" s="3641"/>
      <c r="M363" s="3641"/>
      <c r="N363" s="3642"/>
      <c r="O363" s="3641"/>
    </row>
    <row r="364" spans="1:15">
      <c r="A364" s="3532" t="s">
        <v>4617</v>
      </c>
      <c r="B364" s="3552" t="s">
        <v>4702</v>
      </c>
      <c r="C364" s="3532">
        <v>26.62</v>
      </c>
      <c r="D364" s="3650"/>
      <c r="E364" s="3553" t="s">
        <v>4703</v>
      </c>
      <c r="F364" s="3532">
        <v>29.05</v>
      </c>
      <c r="G364" s="3553" t="s">
        <v>3431</v>
      </c>
      <c r="H364" s="3652"/>
      <c r="I364" s="3642"/>
      <c r="J364" s="3641"/>
      <c r="K364" s="3642"/>
      <c r="L364" s="3641"/>
      <c r="M364" s="3641"/>
      <c r="N364" s="3642"/>
      <c r="O364" s="3641"/>
    </row>
    <row r="365" spans="1:15">
      <c r="A365" s="3532" t="s">
        <v>4617</v>
      </c>
      <c r="B365" s="3552" t="s">
        <v>4704</v>
      </c>
      <c r="C365" s="3532">
        <v>26.62</v>
      </c>
      <c r="D365" s="3650"/>
      <c r="E365" s="3553" t="s">
        <v>4705</v>
      </c>
      <c r="F365" s="3532">
        <v>29.05</v>
      </c>
      <c r="G365" s="3553" t="s">
        <v>3431</v>
      </c>
      <c r="H365" s="3652"/>
      <c r="I365" s="3642"/>
      <c r="J365" s="3641"/>
      <c r="K365" s="3642"/>
      <c r="L365" s="3641"/>
      <c r="M365" s="3641"/>
      <c r="N365" s="3642"/>
      <c r="O365" s="3641"/>
    </row>
    <row r="366" spans="1:15">
      <c r="A366" s="3532" t="s">
        <v>4617</v>
      </c>
      <c r="B366" s="3552" t="s">
        <v>4706</v>
      </c>
      <c r="C366" s="3532">
        <v>26.62</v>
      </c>
      <c r="D366" s="3650"/>
      <c r="E366" s="3553" t="s">
        <v>4707</v>
      </c>
      <c r="F366" s="3532">
        <v>29.05</v>
      </c>
      <c r="G366" s="3553" t="s">
        <v>3431</v>
      </c>
      <c r="H366" s="3652"/>
      <c r="I366" s="3642"/>
      <c r="J366" s="3641"/>
      <c r="K366" s="3642"/>
      <c r="L366" s="3641"/>
      <c r="M366" s="3641"/>
      <c r="N366" s="3642"/>
      <c r="O366" s="3641"/>
    </row>
    <row r="367" spans="1:15">
      <c r="A367" s="3532" t="s">
        <v>4617</v>
      </c>
      <c r="B367" s="3552" t="s">
        <v>4708</v>
      </c>
      <c r="C367" s="3532">
        <v>26.62</v>
      </c>
      <c r="D367" s="3650"/>
      <c r="E367" s="3553" t="s">
        <v>4709</v>
      </c>
      <c r="F367" s="3532">
        <v>29.05</v>
      </c>
      <c r="G367" s="3553" t="s">
        <v>3431</v>
      </c>
      <c r="H367" s="3652"/>
      <c r="I367" s="3642"/>
      <c r="J367" s="3641"/>
      <c r="K367" s="3642"/>
      <c r="L367" s="3641"/>
      <c r="M367" s="3641"/>
      <c r="N367" s="3642"/>
      <c r="O367" s="3641"/>
    </row>
    <row r="368" spans="1:15">
      <c r="A368" s="3532" t="s">
        <v>4617</v>
      </c>
      <c r="B368" s="3552" t="s">
        <v>4710</v>
      </c>
      <c r="C368" s="3532">
        <v>26.62</v>
      </c>
      <c r="D368" s="3650"/>
      <c r="E368" s="3553" t="s">
        <v>4711</v>
      </c>
      <c r="F368" s="3532">
        <v>29.05</v>
      </c>
      <c r="G368" s="3553" t="s">
        <v>3431</v>
      </c>
      <c r="H368" s="3652"/>
      <c r="I368" s="3642"/>
      <c r="J368" s="3641"/>
      <c r="K368" s="3642"/>
      <c r="L368" s="3641"/>
      <c r="M368" s="3641"/>
      <c r="N368" s="3642"/>
      <c r="O368" s="3641"/>
    </row>
    <row r="369" spans="1:15">
      <c r="A369" s="3532" t="s">
        <v>4617</v>
      </c>
      <c r="B369" s="3552" t="s">
        <v>4712</v>
      </c>
      <c r="C369" s="3532">
        <v>26.62</v>
      </c>
      <c r="D369" s="3650"/>
      <c r="E369" s="3553" t="s">
        <v>4713</v>
      </c>
      <c r="F369" s="3532">
        <v>29.05</v>
      </c>
      <c r="G369" s="3553" t="s">
        <v>3431</v>
      </c>
      <c r="H369" s="3652"/>
      <c r="I369" s="3642"/>
      <c r="J369" s="3641"/>
      <c r="K369" s="3642"/>
      <c r="L369" s="3641"/>
      <c r="M369" s="3641"/>
      <c r="N369" s="3642"/>
      <c r="O369" s="3641"/>
    </row>
    <row r="370" spans="1:15">
      <c r="A370" s="3532" t="s">
        <v>4617</v>
      </c>
      <c r="B370" s="3552" t="s">
        <v>4714</v>
      </c>
      <c r="C370" s="3532">
        <v>26.62</v>
      </c>
      <c r="D370" s="3650"/>
      <c r="E370" s="3553" t="s">
        <v>4715</v>
      </c>
      <c r="F370" s="3532">
        <v>29.05</v>
      </c>
      <c r="G370" s="3553" t="s">
        <v>3431</v>
      </c>
      <c r="H370" s="3652"/>
      <c r="I370" s="3642"/>
      <c r="J370" s="3641"/>
      <c r="K370" s="3642"/>
      <c r="L370" s="3641"/>
      <c r="M370" s="3641"/>
      <c r="N370" s="3642"/>
      <c r="O370" s="3641"/>
    </row>
    <row r="371" spans="1:15">
      <c r="A371" s="3532" t="s">
        <v>4617</v>
      </c>
      <c r="B371" s="3552" t="s">
        <v>4716</v>
      </c>
      <c r="C371" s="3532">
        <v>26.62</v>
      </c>
      <c r="D371" s="3650"/>
      <c r="E371" s="3553" t="s">
        <v>4717</v>
      </c>
      <c r="F371" s="3532">
        <v>29.05</v>
      </c>
      <c r="G371" s="3553" t="s">
        <v>3431</v>
      </c>
      <c r="H371" s="3652"/>
      <c r="I371" s="3642"/>
      <c r="J371" s="3641"/>
      <c r="K371" s="3642"/>
      <c r="L371" s="3641"/>
      <c r="M371" s="3641"/>
      <c r="N371" s="3642"/>
      <c r="O371" s="3641"/>
    </row>
    <row r="372" spans="1:15">
      <c r="A372" s="3532" t="s">
        <v>4617</v>
      </c>
      <c r="B372" s="3552" t="s">
        <v>4718</v>
      </c>
      <c r="C372" s="3532">
        <v>26.62</v>
      </c>
      <c r="D372" s="3650"/>
      <c r="E372" s="3553" t="s">
        <v>4719</v>
      </c>
      <c r="F372" s="3532">
        <v>29.05</v>
      </c>
      <c r="G372" s="3553" t="s">
        <v>3431</v>
      </c>
      <c r="H372" s="3652"/>
      <c r="I372" s="3642"/>
      <c r="J372" s="3641"/>
      <c r="K372" s="3642"/>
      <c r="L372" s="3641"/>
      <c r="M372" s="3641"/>
      <c r="N372" s="3642"/>
      <c r="O372" s="3641"/>
    </row>
    <row r="373" spans="1:15">
      <c r="A373" s="3532" t="s">
        <v>4617</v>
      </c>
      <c r="B373" s="3552" t="s">
        <v>4720</v>
      </c>
      <c r="C373" s="3532">
        <v>26.62</v>
      </c>
      <c r="D373" s="3650"/>
      <c r="E373" s="3553" t="s">
        <v>4721</v>
      </c>
      <c r="F373" s="3532">
        <v>29.05</v>
      </c>
      <c r="G373" s="3553" t="s">
        <v>3431</v>
      </c>
      <c r="H373" s="3652"/>
      <c r="I373" s="3642"/>
      <c r="J373" s="3641"/>
      <c r="K373" s="3642"/>
      <c r="L373" s="3641"/>
      <c r="M373" s="3641"/>
      <c r="N373" s="3642"/>
      <c r="O373" s="3641"/>
    </row>
    <row r="374" spans="1:15">
      <c r="A374" s="3532" t="s">
        <v>4617</v>
      </c>
      <c r="B374" s="3552" t="s">
        <v>4722</v>
      </c>
      <c r="C374" s="3532">
        <v>26.62</v>
      </c>
      <c r="D374" s="3650"/>
      <c r="E374" s="3553" t="s">
        <v>4723</v>
      </c>
      <c r="F374" s="3532">
        <v>29.05</v>
      </c>
      <c r="G374" s="3553" t="s">
        <v>3431</v>
      </c>
      <c r="H374" s="3652"/>
      <c r="I374" s="3642"/>
      <c r="J374" s="3641"/>
      <c r="K374" s="3642"/>
      <c r="L374" s="3641"/>
      <c r="M374" s="3641"/>
      <c r="N374" s="3642"/>
      <c r="O374" s="3641"/>
    </row>
    <row r="375" spans="1:15">
      <c r="A375" s="3532" t="s">
        <v>4617</v>
      </c>
      <c r="B375" s="3552" t="s">
        <v>4724</v>
      </c>
      <c r="C375" s="3532">
        <v>26.62</v>
      </c>
      <c r="D375" s="3651"/>
      <c r="E375" s="3553" t="s">
        <v>4725</v>
      </c>
      <c r="F375" s="3532">
        <v>29.05</v>
      </c>
      <c r="G375" s="3553" t="s">
        <v>3431</v>
      </c>
      <c r="H375" s="3652"/>
      <c r="I375" s="3642"/>
      <c r="J375" s="3641"/>
      <c r="K375" s="3642"/>
      <c r="L375" s="3641"/>
      <c r="M375" s="3641"/>
      <c r="N375" s="3642"/>
      <c r="O375" s="3641"/>
    </row>
    <row r="376" spans="1:15">
      <c r="A376" s="3532" t="s">
        <v>4617</v>
      </c>
      <c r="B376" s="3552" t="s">
        <v>4726</v>
      </c>
      <c r="C376" s="3532">
        <v>26.62</v>
      </c>
      <c r="D376" s="3649" t="s">
        <v>4620</v>
      </c>
      <c r="E376" s="3553" t="s">
        <v>4727</v>
      </c>
      <c r="F376" s="3532">
        <v>29.05</v>
      </c>
      <c r="G376" s="3553" t="s">
        <v>3431</v>
      </c>
      <c r="H376" s="3652"/>
      <c r="I376" s="3642"/>
      <c r="J376" s="3641"/>
      <c r="K376" s="3642"/>
      <c r="L376" s="3641"/>
      <c r="M376" s="3641"/>
      <c r="N376" s="3642"/>
      <c r="O376" s="3641"/>
    </row>
    <row r="377" spans="1:15">
      <c r="A377" s="3532" t="s">
        <v>4617</v>
      </c>
      <c r="B377" s="3552" t="s">
        <v>4728</v>
      </c>
      <c r="C377" s="3532">
        <v>26.62</v>
      </c>
      <c r="D377" s="3650"/>
      <c r="E377" s="3553" t="s">
        <v>4729</v>
      </c>
      <c r="F377" s="3532">
        <v>29.05</v>
      </c>
      <c r="G377" s="3553" t="s">
        <v>3431</v>
      </c>
      <c r="H377" s="3652"/>
      <c r="I377" s="3642"/>
      <c r="J377" s="3641"/>
      <c r="K377" s="3642"/>
      <c r="L377" s="3641"/>
      <c r="M377" s="3641"/>
      <c r="N377" s="3642"/>
      <c r="O377" s="3641"/>
    </row>
    <row r="378" spans="1:15">
      <c r="A378" s="3532" t="s">
        <v>4617</v>
      </c>
      <c r="B378" s="3552" t="s">
        <v>4730</v>
      </c>
      <c r="C378" s="3532">
        <v>26.62</v>
      </c>
      <c r="D378" s="3650"/>
      <c r="E378" s="3553" t="s">
        <v>4731</v>
      </c>
      <c r="F378" s="3532">
        <v>29.05</v>
      </c>
      <c r="G378" s="3553" t="s">
        <v>3431</v>
      </c>
      <c r="H378" s="3652"/>
      <c r="I378" s="3642"/>
      <c r="J378" s="3641"/>
      <c r="K378" s="3642"/>
      <c r="L378" s="3641"/>
      <c r="M378" s="3641"/>
      <c r="N378" s="3642"/>
      <c r="O378" s="3641"/>
    </row>
    <row r="379" spans="1:15">
      <c r="A379" s="3532" t="s">
        <v>4617</v>
      </c>
      <c r="B379" s="3552" t="s">
        <v>4732</v>
      </c>
      <c r="C379" s="3532">
        <v>26.62</v>
      </c>
      <c r="D379" s="3650"/>
      <c r="E379" s="3553" t="s">
        <v>4733</v>
      </c>
      <c r="F379" s="3532">
        <v>29.05</v>
      </c>
      <c r="G379" s="3553" t="s">
        <v>3431</v>
      </c>
      <c r="H379" s="3652"/>
      <c r="I379" s="3642"/>
      <c r="J379" s="3641"/>
      <c r="K379" s="3642"/>
      <c r="L379" s="3641"/>
      <c r="M379" s="3641"/>
      <c r="N379" s="3642"/>
      <c r="O379" s="3641"/>
    </row>
    <row r="380" spans="1:15">
      <c r="A380" s="3532" t="s">
        <v>4617</v>
      </c>
      <c r="B380" s="3552" t="s">
        <v>4734</v>
      </c>
      <c r="C380" s="3532">
        <v>26.62</v>
      </c>
      <c r="D380" s="3650"/>
      <c r="E380" s="3553" t="s">
        <v>4735</v>
      </c>
      <c r="F380" s="3532">
        <v>29.05</v>
      </c>
      <c r="G380" s="3553" t="s">
        <v>3431</v>
      </c>
      <c r="H380" s="3652"/>
      <c r="I380" s="3642"/>
      <c r="J380" s="3641"/>
      <c r="K380" s="3642"/>
      <c r="L380" s="3641"/>
      <c r="M380" s="3641"/>
      <c r="N380" s="3642"/>
      <c r="O380" s="3641"/>
    </row>
    <row r="381" spans="1:15">
      <c r="A381" s="3532" t="s">
        <v>4617</v>
      </c>
      <c r="B381" s="3552" t="s">
        <v>4736</v>
      </c>
      <c r="C381" s="3532">
        <v>26.62</v>
      </c>
      <c r="D381" s="3650"/>
      <c r="E381" s="3553" t="s">
        <v>4737</v>
      </c>
      <c r="F381" s="3532">
        <v>29.05</v>
      </c>
      <c r="G381" s="3553" t="s">
        <v>3431</v>
      </c>
      <c r="H381" s="3652"/>
      <c r="I381" s="3642"/>
      <c r="J381" s="3641"/>
      <c r="K381" s="3642"/>
      <c r="L381" s="3641"/>
      <c r="M381" s="3641"/>
      <c r="N381" s="3642"/>
      <c r="O381" s="3641"/>
    </row>
    <row r="382" spans="1:15">
      <c r="A382" s="3532" t="s">
        <v>4617</v>
      </c>
      <c r="B382" s="3552" t="s">
        <v>4738</v>
      </c>
      <c r="C382" s="3532">
        <v>26.62</v>
      </c>
      <c r="D382" s="3650"/>
      <c r="E382" s="3553" t="s">
        <v>4739</v>
      </c>
      <c r="F382" s="3532">
        <v>29.05</v>
      </c>
      <c r="G382" s="3553" t="s">
        <v>3431</v>
      </c>
      <c r="H382" s="3652"/>
      <c r="I382" s="3642"/>
      <c r="J382" s="3641"/>
      <c r="K382" s="3642"/>
      <c r="L382" s="3641"/>
      <c r="M382" s="3641"/>
      <c r="N382" s="3642"/>
      <c r="O382" s="3641"/>
    </row>
    <row r="383" spans="1:15">
      <c r="A383" s="3532" t="s">
        <v>4617</v>
      </c>
      <c r="B383" s="3552" t="s">
        <v>4740</v>
      </c>
      <c r="C383" s="3532">
        <v>26.62</v>
      </c>
      <c r="D383" s="3650"/>
      <c r="E383" s="3553" t="s">
        <v>4741</v>
      </c>
      <c r="F383" s="3532">
        <v>29.05</v>
      </c>
      <c r="G383" s="3553" t="s">
        <v>3431</v>
      </c>
      <c r="H383" s="3652"/>
      <c r="I383" s="3642"/>
      <c r="J383" s="3641"/>
      <c r="K383" s="3642"/>
      <c r="L383" s="3641"/>
      <c r="M383" s="3641"/>
      <c r="N383" s="3642"/>
      <c r="O383" s="3641"/>
    </row>
    <row r="384" spans="1:15">
      <c r="A384" s="3532" t="s">
        <v>4617</v>
      </c>
      <c r="B384" s="3552" t="s">
        <v>4742</v>
      </c>
      <c r="C384" s="3532">
        <v>26.62</v>
      </c>
      <c r="D384" s="3650"/>
      <c r="E384" s="3553" t="s">
        <v>4743</v>
      </c>
      <c r="F384" s="3532">
        <v>29.05</v>
      </c>
      <c r="G384" s="3553" t="s">
        <v>3431</v>
      </c>
      <c r="H384" s="3652"/>
      <c r="I384" s="3642"/>
      <c r="J384" s="3641"/>
      <c r="K384" s="3642"/>
      <c r="L384" s="3641"/>
      <c r="M384" s="3641"/>
      <c r="N384" s="3642"/>
      <c r="O384" s="3641"/>
    </row>
    <row r="385" spans="1:15">
      <c r="A385" s="3532" t="s">
        <v>4617</v>
      </c>
      <c r="B385" s="3552" t="s">
        <v>4744</v>
      </c>
      <c r="C385" s="3532">
        <v>26.62</v>
      </c>
      <c r="D385" s="3650"/>
      <c r="E385" s="3553" t="s">
        <v>4745</v>
      </c>
      <c r="F385" s="3532">
        <v>29.05</v>
      </c>
      <c r="G385" s="3553" t="s">
        <v>3431</v>
      </c>
      <c r="H385" s="3652"/>
      <c r="I385" s="3642"/>
      <c r="J385" s="3641"/>
      <c r="K385" s="3642"/>
      <c r="L385" s="3641"/>
      <c r="M385" s="3641"/>
      <c r="N385" s="3642"/>
      <c r="O385" s="3641"/>
    </row>
    <row r="386" spans="1:15">
      <c r="A386" s="3532" t="s">
        <v>4617</v>
      </c>
      <c r="B386" s="3552" t="s">
        <v>4746</v>
      </c>
      <c r="C386" s="3532">
        <v>26.62</v>
      </c>
      <c r="D386" s="3650"/>
      <c r="E386" s="3553" t="s">
        <v>4747</v>
      </c>
      <c r="F386" s="3532">
        <v>29.05</v>
      </c>
      <c r="G386" s="3553" t="s">
        <v>3431</v>
      </c>
      <c r="H386" s="3652"/>
      <c r="I386" s="3642"/>
      <c r="J386" s="3641"/>
      <c r="K386" s="3642"/>
      <c r="L386" s="3641"/>
      <c r="M386" s="3641"/>
      <c r="N386" s="3642"/>
      <c r="O386" s="3641"/>
    </row>
    <row r="387" spans="1:15">
      <c r="A387" s="3532" t="s">
        <v>4617</v>
      </c>
      <c r="B387" s="3552" t="s">
        <v>4748</v>
      </c>
      <c r="C387" s="3532">
        <v>26.62</v>
      </c>
      <c r="D387" s="3650"/>
      <c r="E387" s="3553" t="s">
        <v>4749</v>
      </c>
      <c r="F387" s="3532">
        <v>29.05</v>
      </c>
      <c r="G387" s="3553" t="s">
        <v>3431</v>
      </c>
      <c r="H387" s="3652"/>
      <c r="I387" s="3642"/>
      <c r="J387" s="3641"/>
      <c r="K387" s="3642"/>
      <c r="L387" s="3641"/>
      <c r="M387" s="3641"/>
      <c r="N387" s="3642"/>
      <c r="O387" s="3641"/>
    </row>
    <row r="388" spans="1:15">
      <c r="A388" s="3532" t="s">
        <v>4617</v>
      </c>
      <c r="B388" s="3552" t="s">
        <v>4750</v>
      </c>
      <c r="C388" s="3532">
        <v>26.62</v>
      </c>
      <c r="D388" s="3650"/>
      <c r="E388" s="3553" t="s">
        <v>4751</v>
      </c>
      <c r="F388" s="3532">
        <v>29.05</v>
      </c>
      <c r="G388" s="3553" t="s">
        <v>3431</v>
      </c>
      <c r="H388" s="3652"/>
      <c r="I388" s="3642"/>
      <c r="J388" s="3641"/>
      <c r="K388" s="3642"/>
      <c r="L388" s="3641"/>
      <c r="M388" s="3641"/>
      <c r="N388" s="3642"/>
      <c r="O388" s="3641"/>
    </row>
    <row r="389" spans="1:15">
      <c r="A389" s="3532" t="s">
        <v>4617</v>
      </c>
      <c r="B389" s="3552" t="s">
        <v>4752</v>
      </c>
      <c r="C389" s="3532">
        <v>26.62</v>
      </c>
      <c r="D389" s="3650"/>
      <c r="E389" s="3553" t="s">
        <v>4753</v>
      </c>
      <c r="F389" s="3532">
        <v>29.05</v>
      </c>
      <c r="G389" s="3553" t="s">
        <v>3431</v>
      </c>
      <c r="H389" s="3652"/>
      <c r="I389" s="3642"/>
      <c r="J389" s="3641"/>
      <c r="K389" s="3642"/>
      <c r="L389" s="3641"/>
      <c r="M389" s="3641"/>
      <c r="N389" s="3642"/>
      <c r="O389" s="3641"/>
    </row>
    <row r="390" spans="1:15">
      <c r="A390" s="3532" t="s">
        <v>4617</v>
      </c>
      <c r="B390" s="3552" t="s">
        <v>4754</v>
      </c>
      <c r="C390" s="3532">
        <v>26.62</v>
      </c>
      <c r="D390" s="3650"/>
      <c r="E390" s="3553" t="s">
        <v>4755</v>
      </c>
      <c r="F390" s="3532">
        <v>29.05</v>
      </c>
      <c r="G390" s="3553" t="s">
        <v>3431</v>
      </c>
      <c r="H390" s="3652"/>
      <c r="I390" s="3642"/>
      <c r="J390" s="3641"/>
      <c r="K390" s="3642"/>
      <c r="L390" s="3641"/>
      <c r="M390" s="3641"/>
      <c r="N390" s="3642"/>
      <c r="O390" s="3641"/>
    </row>
    <row r="391" spans="1:15">
      <c r="A391" s="3532" t="s">
        <v>4617</v>
      </c>
      <c r="B391" s="3552" t="s">
        <v>4756</v>
      </c>
      <c r="C391" s="3532">
        <v>26.62</v>
      </c>
      <c r="D391" s="3650"/>
      <c r="E391" s="3553" t="s">
        <v>4757</v>
      </c>
      <c r="F391" s="3532">
        <v>29.05</v>
      </c>
      <c r="G391" s="3553" t="s">
        <v>3431</v>
      </c>
      <c r="H391" s="3652"/>
      <c r="I391" s="3642"/>
      <c r="J391" s="3641"/>
      <c r="K391" s="3642"/>
      <c r="L391" s="3641"/>
      <c r="M391" s="3641"/>
      <c r="N391" s="3642"/>
      <c r="O391" s="3641"/>
    </row>
    <row r="392" spans="1:15">
      <c r="A392" s="3532" t="s">
        <v>4617</v>
      </c>
      <c r="B392" s="3552" t="s">
        <v>4758</v>
      </c>
      <c r="C392" s="3532">
        <v>26.62</v>
      </c>
      <c r="D392" s="3650"/>
      <c r="E392" s="3553" t="s">
        <v>4759</v>
      </c>
      <c r="F392" s="3532">
        <v>29.05</v>
      </c>
      <c r="G392" s="3553" t="s">
        <v>3431</v>
      </c>
      <c r="H392" s="3652"/>
      <c r="I392" s="3642"/>
      <c r="J392" s="3641"/>
      <c r="K392" s="3642"/>
      <c r="L392" s="3641"/>
      <c r="M392" s="3641"/>
      <c r="N392" s="3642"/>
      <c r="O392" s="3641"/>
    </row>
    <row r="393" spans="1:15">
      <c r="A393" s="3532" t="s">
        <v>4617</v>
      </c>
      <c r="B393" s="3552" t="s">
        <v>4760</v>
      </c>
      <c r="C393" s="3532">
        <v>26.62</v>
      </c>
      <c r="D393" s="3650"/>
      <c r="E393" s="3553" t="s">
        <v>4761</v>
      </c>
      <c r="F393" s="3532">
        <v>29.05</v>
      </c>
      <c r="G393" s="3553" t="s">
        <v>3431</v>
      </c>
      <c r="H393" s="3652"/>
      <c r="I393" s="3642"/>
      <c r="J393" s="3641"/>
      <c r="K393" s="3642"/>
      <c r="L393" s="3641"/>
      <c r="M393" s="3641"/>
      <c r="N393" s="3642"/>
      <c r="O393" s="3641"/>
    </row>
    <row r="394" spans="1:15">
      <c r="A394" s="3532" t="s">
        <v>4617</v>
      </c>
      <c r="B394" s="3552" t="s">
        <v>4762</v>
      </c>
      <c r="C394" s="3532">
        <v>26.62</v>
      </c>
      <c r="D394" s="3650"/>
      <c r="E394" s="3553" t="s">
        <v>4763</v>
      </c>
      <c r="F394" s="3532">
        <v>29.05</v>
      </c>
      <c r="G394" s="3553" t="s">
        <v>3431</v>
      </c>
      <c r="H394" s="3652"/>
      <c r="I394" s="3642"/>
      <c r="J394" s="3641"/>
      <c r="K394" s="3642"/>
      <c r="L394" s="3641"/>
      <c r="M394" s="3641"/>
      <c r="N394" s="3642"/>
      <c r="O394" s="3641"/>
    </row>
    <row r="395" spans="1:15">
      <c r="A395" s="3532" t="s">
        <v>4617</v>
      </c>
      <c r="B395" s="3552" t="s">
        <v>4764</v>
      </c>
      <c r="C395" s="3532">
        <v>26.62</v>
      </c>
      <c r="D395" s="3650"/>
      <c r="E395" s="3553" t="s">
        <v>4765</v>
      </c>
      <c r="F395" s="3532">
        <v>29.05</v>
      </c>
      <c r="G395" s="3553" t="s">
        <v>3431</v>
      </c>
      <c r="H395" s="3652"/>
      <c r="I395" s="3642"/>
      <c r="J395" s="3641"/>
      <c r="K395" s="3642"/>
      <c r="L395" s="3641"/>
      <c r="M395" s="3641"/>
      <c r="N395" s="3642"/>
      <c r="O395" s="3641"/>
    </row>
    <row r="396" spans="1:15">
      <c r="A396" s="3532" t="s">
        <v>4617</v>
      </c>
      <c r="B396" s="3552" t="s">
        <v>4766</v>
      </c>
      <c r="C396" s="3532">
        <v>26.62</v>
      </c>
      <c r="D396" s="3650"/>
      <c r="E396" s="3553" t="s">
        <v>4767</v>
      </c>
      <c r="F396" s="3532">
        <v>29.05</v>
      </c>
      <c r="G396" s="3553" t="s">
        <v>3431</v>
      </c>
      <c r="H396" s="3652"/>
      <c r="I396" s="3642"/>
      <c r="J396" s="3641"/>
      <c r="K396" s="3642"/>
      <c r="L396" s="3641"/>
      <c r="M396" s="3641"/>
      <c r="N396" s="3642"/>
      <c r="O396" s="3641"/>
    </row>
    <row r="397" spans="1:15">
      <c r="A397" s="3532" t="s">
        <v>4617</v>
      </c>
      <c r="B397" s="3552" t="s">
        <v>4768</v>
      </c>
      <c r="C397" s="3532">
        <v>26.62</v>
      </c>
      <c r="D397" s="3650"/>
      <c r="E397" s="3553" t="s">
        <v>4769</v>
      </c>
      <c r="F397" s="3532">
        <v>29.05</v>
      </c>
      <c r="G397" s="3553" t="s">
        <v>3431</v>
      </c>
      <c r="H397" s="3652"/>
      <c r="I397" s="3642"/>
      <c r="J397" s="3641"/>
      <c r="K397" s="3642"/>
      <c r="L397" s="3641"/>
      <c r="M397" s="3641"/>
      <c r="N397" s="3642"/>
      <c r="O397" s="3641"/>
    </row>
    <row r="398" spans="1:15">
      <c r="A398" s="3532" t="s">
        <v>4617</v>
      </c>
      <c r="B398" s="3552" t="s">
        <v>4770</v>
      </c>
      <c r="C398" s="3532">
        <v>26.62</v>
      </c>
      <c r="D398" s="3650"/>
      <c r="E398" s="3553" t="s">
        <v>4771</v>
      </c>
      <c r="F398" s="3532">
        <v>29.05</v>
      </c>
      <c r="G398" s="3553" t="s">
        <v>3431</v>
      </c>
      <c r="H398" s="3652"/>
      <c r="I398" s="3642"/>
      <c r="J398" s="3641"/>
      <c r="K398" s="3642"/>
      <c r="L398" s="3641"/>
      <c r="M398" s="3641"/>
      <c r="N398" s="3642"/>
      <c r="O398" s="3641"/>
    </row>
    <row r="399" spans="1:15">
      <c r="A399" s="3532" t="s">
        <v>4617</v>
      </c>
      <c r="B399" s="3552" t="s">
        <v>4772</v>
      </c>
      <c r="C399" s="3532">
        <v>26.62</v>
      </c>
      <c r="D399" s="3650"/>
      <c r="E399" s="3553" t="s">
        <v>4773</v>
      </c>
      <c r="F399" s="3532">
        <v>29.05</v>
      </c>
      <c r="G399" s="3553" t="s">
        <v>3431</v>
      </c>
      <c r="H399" s="3652" t="s">
        <v>3999</v>
      </c>
      <c r="I399" s="3642"/>
      <c r="J399" s="3641" t="s">
        <v>4000</v>
      </c>
      <c r="K399" s="3642" t="s">
        <v>4001</v>
      </c>
      <c r="L399" s="3641" t="s">
        <v>4002</v>
      </c>
      <c r="M399" s="3641" t="s">
        <v>4002</v>
      </c>
      <c r="N399" s="3642" t="s">
        <v>4003</v>
      </c>
      <c r="O399" s="3641"/>
    </row>
    <row r="400" spans="1:15">
      <c r="A400" s="3532" t="s">
        <v>4617</v>
      </c>
      <c r="B400" s="3552" t="s">
        <v>4774</v>
      </c>
      <c r="C400" s="3532">
        <v>26.62</v>
      </c>
      <c r="D400" s="3650"/>
      <c r="E400" s="3553" t="s">
        <v>4775</v>
      </c>
      <c r="F400" s="3532">
        <v>29.05</v>
      </c>
      <c r="G400" s="3553" t="s">
        <v>3431</v>
      </c>
      <c r="H400" s="3652"/>
      <c r="I400" s="3642"/>
      <c r="J400" s="3641"/>
      <c r="K400" s="3642"/>
      <c r="L400" s="3641"/>
      <c r="M400" s="3641"/>
      <c r="N400" s="3642"/>
      <c r="O400" s="3641"/>
    </row>
    <row r="401" spans="1:15">
      <c r="A401" s="3532" t="s">
        <v>4617</v>
      </c>
      <c r="B401" s="3552" t="s">
        <v>4776</v>
      </c>
      <c r="C401" s="3532">
        <v>26.62</v>
      </c>
      <c r="D401" s="3650"/>
      <c r="E401" s="3553" t="s">
        <v>4777</v>
      </c>
      <c r="F401" s="3532">
        <v>29.05</v>
      </c>
      <c r="G401" s="3553" t="s">
        <v>3431</v>
      </c>
      <c r="H401" s="3652"/>
      <c r="I401" s="3642"/>
      <c r="J401" s="3641"/>
      <c r="K401" s="3642"/>
      <c r="L401" s="3641"/>
      <c r="M401" s="3641"/>
      <c r="N401" s="3642"/>
      <c r="O401" s="3641"/>
    </row>
    <row r="402" spans="1:15">
      <c r="A402" s="3532" t="s">
        <v>4617</v>
      </c>
      <c r="B402" s="3552" t="s">
        <v>4778</v>
      </c>
      <c r="C402" s="3532">
        <v>26.62</v>
      </c>
      <c r="D402" s="3650"/>
      <c r="E402" s="3553" t="s">
        <v>4779</v>
      </c>
      <c r="F402" s="3532">
        <v>29.05</v>
      </c>
      <c r="G402" s="3553" t="s">
        <v>3431</v>
      </c>
      <c r="H402" s="3652"/>
      <c r="I402" s="3642"/>
      <c r="J402" s="3641"/>
      <c r="K402" s="3642"/>
      <c r="L402" s="3641"/>
      <c r="M402" s="3641"/>
      <c r="N402" s="3642"/>
      <c r="O402" s="3641"/>
    </row>
    <row r="403" spans="1:15">
      <c r="A403" s="3532" t="s">
        <v>4617</v>
      </c>
      <c r="B403" s="3552" t="s">
        <v>4780</v>
      </c>
      <c r="C403" s="3532">
        <v>26.62</v>
      </c>
      <c r="D403" s="3650"/>
      <c r="E403" s="3553" t="s">
        <v>4781</v>
      </c>
      <c r="F403" s="3532">
        <v>29.05</v>
      </c>
      <c r="G403" s="3553" t="s">
        <v>3431</v>
      </c>
      <c r="H403" s="3652"/>
      <c r="I403" s="3642"/>
      <c r="J403" s="3641"/>
      <c r="K403" s="3642"/>
      <c r="L403" s="3641"/>
      <c r="M403" s="3641"/>
      <c r="N403" s="3642"/>
      <c r="O403" s="3641"/>
    </row>
    <row r="404" spans="1:15">
      <c r="A404" s="3532" t="s">
        <v>4617</v>
      </c>
      <c r="B404" s="3552" t="s">
        <v>4782</v>
      </c>
      <c r="C404" s="3532">
        <v>26.62</v>
      </c>
      <c r="D404" s="3650"/>
      <c r="E404" s="3553" t="s">
        <v>4783</v>
      </c>
      <c r="F404" s="3532">
        <v>29.05</v>
      </c>
      <c r="G404" s="3553" t="s">
        <v>3431</v>
      </c>
      <c r="H404" s="3652"/>
      <c r="I404" s="3642"/>
      <c r="J404" s="3641"/>
      <c r="K404" s="3642"/>
      <c r="L404" s="3641"/>
      <c r="M404" s="3641"/>
      <c r="N404" s="3642"/>
      <c r="O404" s="3641"/>
    </row>
    <row r="405" spans="1:15">
      <c r="A405" s="3532" t="s">
        <v>4617</v>
      </c>
      <c r="B405" s="3552" t="s">
        <v>4784</v>
      </c>
      <c r="C405" s="3532">
        <v>26.62</v>
      </c>
      <c r="D405" s="3650"/>
      <c r="E405" s="3553" t="s">
        <v>4785</v>
      </c>
      <c r="F405" s="3532">
        <v>29.05</v>
      </c>
      <c r="G405" s="3553" t="s">
        <v>3431</v>
      </c>
      <c r="H405" s="3652"/>
      <c r="I405" s="3642"/>
      <c r="J405" s="3641"/>
      <c r="K405" s="3642"/>
      <c r="L405" s="3641"/>
      <c r="M405" s="3641"/>
      <c r="N405" s="3642"/>
      <c r="O405" s="3641"/>
    </row>
    <row r="406" spans="1:15">
      <c r="A406" s="3532" t="s">
        <v>4617</v>
      </c>
      <c r="B406" s="3552" t="s">
        <v>4786</v>
      </c>
      <c r="C406" s="3532">
        <v>26.62</v>
      </c>
      <c r="D406" s="3650"/>
      <c r="E406" s="3553" t="s">
        <v>4787</v>
      </c>
      <c r="F406" s="3532">
        <v>29.05</v>
      </c>
      <c r="G406" s="3553" t="s">
        <v>3431</v>
      </c>
      <c r="H406" s="3652"/>
      <c r="I406" s="3642"/>
      <c r="J406" s="3641"/>
      <c r="K406" s="3642"/>
      <c r="L406" s="3641"/>
      <c r="M406" s="3641"/>
      <c r="N406" s="3642"/>
      <c r="O406" s="3641"/>
    </row>
    <row r="407" spans="1:15">
      <c r="A407" s="3532" t="s">
        <v>4617</v>
      </c>
      <c r="B407" s="3552" t="s">
        <v>4788</v>
      </c>
      <c r="C407" s="3532">
        <v>26.62</v>
      </c>
      <c r="D407" s="3650"/>
      <c r="E407" s="3553" t="s">
        <v>4789</v>
      </c>
      <c r="F407" s="3532">
        <v>29.05</v>
      </c>
      <c r="G407" s="3553" t="s">
        <v>3431</v>
      </c>
      <c r="H407" s="3652"/>
      <c r="I407" s="3642"/>
      <c r="J407" s="3641"/>
      <c r="K407" s="3642"/>
      <c r="L407" s="3641"/>
      <c r="M407" s="3641"/>
      <c r="N407" s="3642"/>
      <c r="O407" s="3641"/>
    </row>
    <row r="408" spans="1:15">
      <c r="A408" s="3532" t="s">
        <v>4617</v>
      </c>
      <c r="B408" s="3552" t="s">
        <v>4790</v>
      </c>
      <c r="C408" s="3532">
        <v>26.62</v>
      </c>
      <c r="D408" s="3650"/>
      <c r="E408" s="3553" t="s">
        <v>4791</v>
      </c>
      <c r="F408" s="3532">
        <v>29.05</v>
      </c>
      <c r="G408" s="3553" t="s">
        <v>3431</v>
      </c>
      <c r="H408" s="3652"/>
      <c r="I408" s="3642"/>
      <c r="J408" s="3641"/>
      <c r="K408" s="3642"/>
      <c r="L408" s="3641"/>
      <c r="M408" s="3641"/>
      <c r="N408" s="3642"/>
      <c r="O408" s="3641"/>
    </row>
    <row r="409" spans="1:15">
      <c r="A409" s="3532" t="s">
        <v>4617</v>
      </c>
      <c r="B409" s="3552" t="s">
        <v>4792</v>
      </c>
      <c r="C409" s="3532">
        <v>26.62</v>
      </c>
      <c r="D409" s="3650"/>
      <c r="E409" s="3553" t="s">
        <v>4793</v>
      </c>
      <c r="F409" s="3532">
        <v>29.05</v>
      </c>
      <c r="G409" s="3553" t="s">
        <v>3431</v>
      </c>
      <c r="H409" s="3652"/>
      <c r="I409" s="3642"/>
      <c r="J409" s="3641"/>
      <c r="K409" s="3642"/>
      <c r="L409" s="3641"/>
      <c r="M409" s="3641"/>
      <c r="N409" s="3642"/>
      <c r="O409" s="3641"/>
    </row>
    <row r="410" spans="1:15">
      <c r="A410" s="3532" t="s">
        <v>4617</v>
      </c>
      <c r="B410" s="3552" t="s">
        <v>4794</v>
      </c>
      <c r="C410" s="3532">
        <v>26.62</v>
      </c>
      <c r="D410" s="3650"/>
      <c r="E410" s="3553" t="s">
        <v>4795</v>
      </c>
      <c r="F410" s="3532">
        <v>29.05</v>
      </c>
      <c r="G410" s="3553" t="s">
        <v>3431</v>
      </c>
      <c r="H410" s="3652"/>
      <c r="I410" s="3642"/>
      <c r="J410" s="3641"/>
      <c r="K410" s="3642"/>
      <c r="L410" s="3641"/>
      <c r="M410" s="3641"/>
      <c r="N410" s="3642"/>
      <c r="O410" s="3641"/>
    </row>
    <row r="411" spans="1:15">
      <c r="A411" s="3532" t="s">
        <v>4617</v>
      </c>
      <c r="B411" s="3552" t="s">
        <v>4796</v>
      </c>
      <c r="C411" s="3532">
        <v>26.62</v>
      </c>
      <c r="D411" s="3650"/>
      <c r="E411" s="3553" t="s">
        <v>4797</v>
      </c>
      <c r="F411" s="3532">
        <v>29.05</v>
      </c>
      <c r="G411" s="3553" t="s">
        <v>3431</v>
      </c>
      <c r="H411" s="3652"/>
      <c r="I411" s="3642"/>
      <c r="J411" s="3641"/>
      <c r="K411" s="3642"/>
      <c r="L411" s="3641"/>
      <c r="M411" s="3641"/>
      <c r="N411" s="3642"/>
      <c r="O411" s="3641"/>
    </row>
    <row r="412" spans="1:15">
      <c r="A412" s="3532" t="s">
        <v>4617</v>
      </c>
      <c r="B412" s="3552" t="s">
        <v>4798</v>
      </c>
      <c r="C412" s="3532">
        <v>26.62</v>
      </c>
      <c r="D412" s="3650"/>
      <c r="E412" s="3553" t="s">
        <v>4799</v>
      </c>
      <c r="F412" s="3532">
        <v>29.05</v>
      </c>
      <c r="G412" s="3553" t="s">
        <v>3431</v>
      </c>
      <c r="H412" s="3652"/>
      <c r="I412" s="3642"/>
      <c r="J412" s="3641"/>
      <c r="K412" s="3642"/>
      <c r="L412" s="3641"/>
      <c r="M412" s="3641"/>
      <c r="N412" s="3642"/>
      <c r="O412" s="3641"/>
    </row>
    <row r="413" spans="1:15">
      <c r="A413" s="3532" t="s">
        <v>4617</v>
      </c>
      <c r="B413" s="3552" t="s">
        <v>4800</v>
      </c>
      <c r="C413" s="3532">
        <v>26.62</v>
      </c>
      <c r="D413" s="3650"/>
      <c r="E413" s="3553" t="s">
        <v>4801</v>
      </c>
      <c r="F413" s="3532">
        <v>29.05</v>
      </c>
      <c r="G413" s="3553" t="s">
        <v>3431</v>
      </c>
      <c r="H413" s="3652"/>
      <c r="I413" s="3642"/>
      <c r="J413" s="3641"/>
      <c r="K413" s="3642"/>
      <c r="L413" s="3641"/>
      <c r="M413" s="3641"/>
      <c r="N413" s="3642"/>
      <c r="O413" s="3641"/>
    </row>
    <row r="414" spans="1:15">
      <c r="A414" s="3532" t="s">
        <v>4617</v>
      </c>
      <c r="B414" s="3552" t="s">
        <v>4802</v>
      </c>
      <c r="C414" s="3532">
        <v>26.62</v>
      </c>
      <c r="D414" s="3650"/>
      <c r="E414" s="3553" t="s">
        <v>4803</v>
      </c>
      <c r="F414" s="3532">
        <v>29.05</v>
      </c>
      <c r="G414" s="3553" t="s">
        <v>3431</v>
      </c>
      <c r="H414" s="3652"/>
      <c r="I414" s="3642"/>
      <c r="J414" s="3641"/>
      <c r="K414" s="3642"/>
      <c r="L414" s="3641"/>
      <c r="M414" s="3641"/>
      <c r="N414" s="3642"/>
      <c r="O414" s="3641"/>
    </row>
    <row r="415" spans="1:15">
      <c r="A415" s="3532" t="s">
        <v>4617</v>
      </c>
      <c r="B415" s="3552" t="s">
        <v>4804</v>
      </c>
      <c r="C415" s="3532">
        <v>26.62</v>
      </c>
      <c r="D415" s="3650"/>
      <c r="E415" s="3553" t="s">
        <v>4805</v>
      </c>
      <c r="F415" s="3532">
        <v>29.05</v>
      </c>
      <c r="G415" s="3553" t="s">
        <v>3431</v>
      </c>
      <c r="H415" s="3652"/>
      <c r="I415" s="3642"/>
      <c r="J415" s="3641"/>
      <c r="K415" s="3642"/>
      <c r="L415" s="3641"/>
      <c r="M415" s="3641"/>
      <c r="N415" s="3642"/>
      <c r="O415" s="3641"/>
    </row>
    <row r="416" spans="1:15">
      <c r="A416" s="3532" t="s">
        <v>4617</v>
      </c>
      <c r="B416" s="3552" t="s">
        <v>4806</v>
      </c>
      <c r="C416" s="3532">
        <v>42.64</v>
      </c>
      <c r="D416" s="3650"/>
      <c r="E416" s="3553" t="s">
        <v>4807</v>
      </c>
      <c r="F416" s="3532">
        <v>44.78</v>
      </c>
      <c r="G416" s="3553" t="s">
        <v>3431</v>
      </c>
      <c r="H416" s="3652"/>
      <c r="I416" s="3642"/>
      <c r="J416" s="3641"/>
      <c r="K416" s="3642"/>
      <c r="L416" s="3641"/>
      <c r="M416" s="3641"/>
      <c r="N416" s="3642"/>
      <c r="O416" s="3641"/>
    </row>
    <row r="417" spans="1:15">
      <c r="A417" s="3532" t="s">
        <v>4617</v>
      </c>
      <c r="B417" s="3552" t="s">
        <v>4808</v>
      </c>
      <c r="C417" s="3532">
        <v>27.66</v>
      </c>
      <c r="D417" s="3650"/>
      <c r="E417" s="3553" t="s">
        <v>4809</v>
      </c>
      <c r="F417" s="3532">
        <v>29.05</v>
      </c>
      <c r="G417" s="3553" t="s">
        <v>3431</v>
      </c>
      <c r="H417" s="3652"/>
      <c r="I417" s="3642"/>
      <c r="J417" s="3641"/>
      <c r="K417" s="3642"/>
      <c r="L417" s="3641"/>
      <c r="M417" s="3641"/>
      <c r="N417" s="3642"/>
      <c r="O417" s="3641"/>
    </row>
    <row r="418" spans="1:15">
      <c r="A418" s="3532" t="s">
        <v>4617</v>
      </c>
      <c r="B418" s="3552" t="s">
        <v>4810</v>
      </c>
      <c r="C418" s="3532">
        <v>27.66</v>
      </c>
      <c r="D418" s="3650"/>
      <c r="E418" s="3553" t="s">
        <v>4811</v>
      </c>
      <c r="F418" s="3532">
        <v>29.05</v>
      </c>
      <c r="G418" s="3553" t="s">
        <v>3431</v>
      </c>
      <c r="H418" s="3652"/>
      <c r="I418" s="3642"/>
      <c r="J418" s="3641"/>
      <c r="K418" s="3642"/>
      <c r="L418" s="3641"/>
      <c r="M418" s="3641"/>
      <c r="N418" s="3642"/>
      <c r="O418" s="3641"/>
    </row>
    <row r="419" spans="1:15">
      <c r="A419" s="3532" t="s">
        <v>4617</v>
      </c>
      <c r="B419" s="3552" t="s">
        <v>4812</v>
      </c>
      <c r="C419" s="3532">
        <v>27.66</v>
      </c>
      <c r="D419" s="3650"/>
      <c r="E419" s="3553" t="s">
        <v>4813</v>
      </c>
      <c r="F419" s="3532">
        <v>29.05</v>
      </c>
      <c r="G419" s="3553" t="s">
        <v>3431</v>
      </c>
      <c r="H419" s="3652"/>
      <c r="I419" s="3642"/>
      <c r="J419" s="3641"/>
      <c r="K419" s="3642"/>
      <c r="L419" s="3641"/>
      <c r="M419" s="3641"/>
      <c r="N419" s="3642"/>
      <c r="O419" s="3641"/>
    </row>
    <row r="420" spans="1:15">
      <c r="A420" s="3532" t="s">
        <v>4617</v>
      </c>
      <c r="B420" s="3552" t="s">
        <v>4814</v>
      </c>
      <c r="C420" s="3532">
        <v>27.66</v>
      </c>
      <c r="D420" s="3650"/>
      <c r="E420" s="3553" t="s">
        <v>4815</v>
      </c>
      <c r="F420" s="3532">
        <v>29.05</v>
      </c>
      <c r="G420" s="3553" t="s">
        <v>3431</v>
      </c>
      <c r="H420" s="3652"/>
      <c r="I420" s="3642"/>
      <c r="J420" s="3641"/>
      <c r="K420" s="3642"/>
      <c r="L420" s="3641"/>
      <c r="M420" s="3641"/>
      <c r="N420" s="3642"/>
      <c r="O420" s="3641"/>
    </row>
    <row r="421" spans="1:15">
      <c r="A421" s="3532" t="s">
        <v>4617</v>
      </c>
      <c r="B421" s="3552" t="s">
        <v>4816</v>
      </c>
      <c r="C421" s="3532">
        <v>20.57</v>
      </c>
      <c r="D421" s="3650"/>
      <c r="E421" s="3553" t="s">
        <v>4817</v>
      </c>
      <c r="F421" s="3532">
        <v>21.6</v>
      </c>
      <c r="G421" s="3553" t="s">
        <v>3431</v>
      </c>
      <c r="H421" s="3652"/>
      <c r="I421" s="3642"/>
      <c r="J421" s="3641"/>
      <c r="K421" s="3642"/>
      <c r="L421" s="3641"/>
      <c r="M421" s="3641"/>
      <c r="N421" s="3642"/>
      <c r="O421" s="3641"/>
    </row>
    <row r="422" spans="1:15">
      <c r="A422" s="3532" t="s">
        <v>4617</v>
      </c>
      <c r="B422" s="3532">
        <v>100</v>
      </c>
      <c r="C422" s="3532">
        <v>20.57</v>
      </c>
      <c r="D422" s="3650"/>
      <c r="E422" s="3553" t="s">
        <v>4818</v>
      </c>
      <c r="F422" s="3532">
        <v>21.6</v>
      </c>
      <c r="G422" s="3553" t="s">
        <v>3431</v>
      </c>
      <c r="H422" s="3652"/>
      <c r="I422" s="3642"/>
      <c r="J422" s="3641"/>
      <c r="K422" s="3642"/>
      <c r="L422" s="3641"/>
      <c r="M422" s="3641"/>
      <c r="N422" s="3642"/>
      <c r="O422" s="3641"/>
    </row>
    <row r="423" spans="1:15">
      <c r="A423" s="3532" t="s">
        <v>4617</v>
      </c>
      <c r="B423" s="3532">
        <v>101</v>
      </c>
      <c r="C423" s="3532">
        <v>20.57</v>
      </c>
      <c r="D423" s="3650"/>
      <c r="E423" s="3553" t="s">
        <v>4819</v>
      </c>
      <c r="F423" s="3532">
        <v>21.6</v>
      </c>
      <c r="G423" s="3553" t="s">
        <v>3431</v>
      </c>
      <c r="H423" s="3652"/>
      <c r="I423" s="3642"/>
      <c r="J423" s="3641"/>
      <c r="K423" s="3642"/>
      <c r="L423" s="3641"/>
      <c r="M423" s="3641"/>
      <c r="N423" s="3642"/>
      <c r="O423" s="3641"/>
    </row>
    <row r="424" spans="1:15">
      <c r="A424" s="3532" t="s">
        <v>4617</v>
      </c>
      <c r="B424" s="3532">
        <v>102</v>
      </c>
      <c r="C424" s="3532">
        <v>27.66</v>
      </c>
      <c r="D424" s="3650"/>
      <c r="E424" s="3553" t="s">
        <v>4820</v>
      </c>
      <c r="F424" s="3532">
        <v>29.05</v>
      </c>
      <c r="G424" s="3553" t="s">
        <v>3431</v>
      </c>
      <c r="H424" s="3652"/>
      <c r="I424" s="3642"/>
      <c r="J424" s="3641"/>
      <c r="K424" s="3642"/>
      <c r="L424" s="3641"/>
      <c r="M424" s="3641"/>
      <c r="N424" s="3642"/>
      <c r="O424" s="3641"/>
    </row>
    <row r="425" spans="1:15">
      <c r="A425" s="3532" t="s">
        <v>4617</v>
      </c>
      <c r="B425" s="3532">
        <v>103</v>
      </c>
      <c r="C425" s="3532">
        <v>27.66</v>
      </c>
      <c r="D425" s="3650"/>
      <c r="E425" s="3553" t="s">
        <v>4821</v>
      </c>
      <c r="F425" s="3532">
        <v>29.05</v>
      </c>
      <c r="G425" s="3553" t="s">
        <v>3431</v>
      </c>
      <c r="H425" s="3652"/>
      <c r="I425" s="3642"/>
      <c r="J425" s="3641"/>
      <c r="K425" s="3642"/>
      <c r="L425" s="3641"/>
      <c r="M425" s="3641"/>
      <c r="N425" s="3642"/>
      <c r="O425" s="3641"/>
    </row>
    <row r="426" spans="1:15">
      <c r="A426" s="3532" t="s">
        <v>4617</v>
      </c>
      <c r="B426" s="3532">
        <v>104</v>
      </c>
      <c r="C426" s="3532">
        <v>27.66</v>
      </c>
      <c r="D426" s="3650"/>
      <c r="E426" s="3553" t="s">
        <v>4822</v>
      </c>
      <c r="F426" s="3532">
        <v>29.05</v>
      </c>
      <c r="G426" s="3553" t="s">
        <v>3431</v>
      </c>
      <c r="H426" s="3652"/>
      <c r="I426" s="3642"/>
      <c r="J426" s="3641"/>
      <c r="K426" s="3642"/>
      <c r="L426" s="3641"/>
      <c r="M426" s="3641"/>
      <c r="N426" s="3642"/>
      <c r="O426" s="3641"/>
    </row>
    <row r="427" spans="1:15">
      <c r="A427" s="3532" t="s">
        <v>4617</v>
      </c>
      <c r="B427" s="3532">
        <v>105</v>
      </c>
      <c r="C427" s="3532">
        <v>27.66</v>
      </c>
      <c r="D427" s="3650"/>
      <c r="E427" s="3553" t="s">
        <v>4823</v>
      </c>
      <c r="F427" s="3532">
        <v>29.05</v>
      </c>
      <c r="G427" s="3553" t="s">
        <v>3431</v>
      </c>
      <c r="H427" s="3652"/>
      <c r="I427" s="3642"/>
      <c r="J427" s="3641"/>
      <c r="K427" s="3642"/>
      <c r="L427" s="3641"/>
      <c r="M427" s="3641"/>
      <c r="N427" s="3642"/>
      <c r="O427" s="3641"/>
    </row>
    <row r="428" spans="1:15">
      <c r="A428" s="3532" t="s">
        <v>4617</v>
      </c>
      <c r="B428" s="3532">
        <v>106</v>
      </c>
      <c r="C428" s="3532">
        <v>27.66</v>
      </c>
      <c r="D428" s="3650"/>
      <c r="E428" s="3553" t="s">
        <v>4824</v>
      </c>
      <c r="F428" s="3532">
        <v>29.05</v>
      </c>
      <c r="G428" s="3553" t="s">
        <v>3431</v>
      </c>
      <c r="H428" s="3652"/>
      <c r="I428" s="3642"/>
      <c r="J428" s="3641"/>
      <c r="K428" s="3642"/>
      <c r="L428" s="3641"/>
      <c r="M428" s="3641"/>
      <c r="N428" s="3642"/>
      <c r="O428" s="3641"/>
    </row>
    <row r="429" spans="1:15">
      <c r="A429" s="3532" t="s">
        <v>4617</v>
      </c>
      <c r="B429" s="3532">
        <v>107</v>
      </c>
      <c r="C429" s="3532">
        <v>27.66</v>
      </c>
      <c r="D429" s="3650"/>
      <c r="E429" s="3553" t="s">
        <v>4825</v>
      </c>
      <c r="F429" s="3532">
        <v>29.05</v>
      </c>
      <c r="G429" s="3553" t="s">
        <v>3431</v>
      </c>
      <c r="H429" s="3652"/>
      <c r="I429" s="3642"/>
      <c r="J429" s="3641"/>
      <c r="K429" s="3642"/>
      <c r="L429" s="3641"/>
      <c r="M429" s="3641"/>
      <c r="N429" s="3642"/>
      <c r="O429" s="3641"/>
    </row>
    <row r="430" spans="1:15">
      <c r="A430" s="3532" t="s">
        <v>4617</v>
      </c>
      <c r="B430" s="3532">
        <v>108</v>
      </c>
      <c r="C430" s="3532">
        <v>27.66</v>
      </c>
      <c r="D430" s="3650"/>
      <c r="E430" s="3553" t="s">
        <v>4826</v>
      </c>
      <c r="F430" s="3532">
        <v>29.05</v>
      </c>
      <c r="G430" s="3553" t="s">
        <v>3431</v>
      </c>
      <c r="H430" s="3652"/>
      <c r="I430" s="3642"/>
      <c r="J430" s="3641"/>
      <c r="K430" s="3642"/>
      <c r="L430" s="3641"/>
      <c r="M430" s="3641"/>
      <c r="N430" s="3642"/>
      <c r="O430" s="3641"/>
    </row>
    <row r="431" spans="1:15">
      <c r="A431" s="3532" t="s">
        <v>4617</v>
      </c>
      <c r="B431" s="3532">
        <v>109</v>
      </c>
      <c r="C431" s="3532">
        <v>27.66</v>
      </c>
      <c r="D431" s="3650"/>
      <c r="E431" s="3553" t="s">
        <v>4827</v>
      </c>
      <c r="F431" s="3532">
        <v>29.05</v>
      </c>
      <c r="G431" s="3553" t="s">
        <v>3431</v>
      </c>
      <c r="H431" s="3652"/>
      <c r="I431" s="3642"/>
      <c r="J431" s="3641"/>
      <c r="K431" s="3642"/>
      <c r="L431" s="3641"/>
      <c r="M431" s="3641"/>
      <c r="N431" s="3642"/>
      <c r="O431" s="3641"/>
    </row>
    <row r="432" spans="1:15">
      <c r="A432" s="3532" t="s">
        <v>4617</v>
      </c>
      <c r="B432" s="3532">
        <v>110</v>
      </c>
      <c r="C432" s="3532">
        <v>27.66</v>
      </c>
      <c r="D432" s="3650"/>
      <c r="E432" s="3553" t="s">
        <v>4828</v>
      </c>
      <c r="F432" s="3532">
        <v>29.05</v>
      </c>
      <c r="G432" s="3553" t="s">
        <v>3431</v>
      </c>
      <c r="H432" s="3652"/>
      <c r="I432" s="3642"/>
      <c r="J432" s="3641"/>
      <c r="K432" s="3642"/>
      <c r="L432" s="3641"/>
      <c r="M432" s="3641"/>
      <c r="N432" s="3642"/>
      <c r="O432" s="3641"/>
    </row>
    <row r="433" spans="1:15">
      <c r="A433" s="3532" t="s">
        <v>4617</v>
      </c>
      <c r="B433" s="3532">
        <v>111</v>
      </c>
      <c r="C433" s="3532">
        <v>27.66</v>
      </c>
      <c r="D433" s="3650"/>
      <c r="E433" s="3553" t="s">
        <v>4829</v>
      </c>
      <c r="F433" s="3532">
        <v>29.05</v>
      </c>
      <c r="G433" s="3553" t="s">
        <v>3431</v>
      </c>
      <c r="H433" s="3652"/>
      <c r="I433" s="3642"/>
      <c r="J433" s="3641"/>
      <c r="K433" s="3642"/>
      <c r="L433" s="3641"/>
      <c r="M433" s="3641"/>
      <c r="N433" s="3642"/>
      <c r="O433" s="3641"/>
    </row>
    <row r="434" spans="1:15">
      <c r="A434" s="3532" t="s">
        <v>4617</v>
      </c>
      <c r="B434" s="3532">
        <v>112</v>
      </c>
      <c r="C434" s="3532">
        <v>27.66</v>
      </c>
      <c r="D434" s="3650"/>
      <c r="E434" s="3553" t="s">
        <v>4830</v>
      </c>
      <c r="F434" s="3532">
        <v>29.05</v>
      </c>
      <c r="G434" s="3553" t="s">
        <v>3431</v>
      </c>
      <c r="H434" s="3652"/>
      <c r="I434" s="3642"/>
      <c r="J434" s="3641"/>
      <c r="K434" s="3642"/>
      <c r="L434" s="3641"/>
      <c r="M434" s="3641"/>
      <c r="N434" s="3642"/>
      <c r="O434" s="3641"/>
    </row>
    <row r="435" spans="1:15">
      <c r="A435" s="3532" t="s">
        <v>4617</v>
      </c>
      <c r="B435" s="3532">
        <v>113</v>
      </c>
      <c r="C435" s="3532">
        <v>27.66</v>
      </c>
      <c r="D435" s="3650"/>
      <c r="E435" s="3553" t="s">
        <v>4831</v>
      </c>
      <c r="F435" s="3532">
        <v>29.05</v>
      </c>
      <c r="G435" s="3553" t="s">
        <v>3431</v>
      </c>
      <c r="H435" s="3652"/>
      <c r="I435" s="3642"/>
      <c r="J435" s="3641"/>
      <c r="K435" s="3642"/>
      <c r="L435" s="3641"/>
      <c r="M435" s="3641"/>
      <c r="N435" s="3642"/>
      <c r="O435" s="3641"/>
    </row>
    <row r="436" spans="1:15">
      <c r="A436" s="3532" t="s">
        <v>4617</v>
      </c>
      <c r="B436" s="3532">
        <v>114</v>
      </c>
      <c r="C436" s="3532">
        <v>27.66</v>
      </c>
      <c r="D436" s="3650"/>
      <c r="E436" s="3553" t="s">
        <v>4832</v>
      </c>
      <c r="F436" s="3532">
        <v>29.05</v>
      </c>
      <c r="G436" s="3553" t="s">
        <v>3431</v>
      </c>
      <c r="H436" s="3652"/>
      <c r="I436" s="3642"/>
      <c r="J436" s="3641"/>
      <c r="K436" s="3642"/>
      <c r="L436" s="3641"/>
      <c r="M436" s="3641"/>
      <c r="N436" s="3642"/>
      <c r="O436" s="3641"/>
    </row>
    <row r="437" spans="1:15">
      <c r="A437" s="3532" t="s">
        <v>4617</v>
      </c>
      <c r="B437" s="3532">
        <v>115</v>
      </c>
      <c r="C437" s="3532">
        <v>27.66</v>
      </c>
      <c r="D437" s="3650"/>
      <c r="E437" s="3553" t="s">
        <v>4833</v>
      </c>
      <c r="F437" s="3532">
        <v>29.05</v>
      </c>
      <c r="G437" s="3553" t="s">
        <v>3431</v>
      </c>
      <c r="H437" s="3652"/>
      <c r="I437" s="3642"/>
      <c r="J437" s="3641"/>
      <c r="K437" s="3642"/>
      <c r="L437" s="3641"/>
      <c r="M437" s="3641"/>
      <c r="N437" s="3642"/>
      <c r="O437" s="3641"/>
    </row>
    <row r="438" spans="1:15">
      <c r="A438" s="3532" t="s">
        <v>4617</v>
      </c>
      <c r="B438" s="3532">
        <v>116</v>
      </c>
      <c r="C438" s="3532">
        <v>27.66</v>
      </c>
      <c r="D438" s="3650"/>
      <c r="E438" s="3553" t="s">
        <v>4834</v>
      </c>
      <c r="F438" s="3532">
        <v>29.05</v>
      </c>
      <c r="G438" s="3553" t="s">
        <v>3431</v>
      </c>
      <c r="H438" s="3652"/>
      <c r="I438" s="3642"/>
      <c r="J438" s="3641"/>
      <c r="K438" s="3642"/>
      <c r="L438" s="3641"/>
      <c r="M438" s="3641"/>
      <c r="N438" s="3642"/>
      <c r="O438" s="3641"/>
    </row>
    <row r="439" spans="1:15">
      <c r="A439" s="3532" t="s">
        <v>4617</v>
      </c>
      <c r="B439" s="3532">
        <v>117</v>
      </c>
      <c r="C439" s="3532">
        <v>27.66</v>
      </c>
      <c r="D439" s="3650"/>
      <c r="E439" s="3553" t="s">
        <v>4835</v>
      </c>
      <c r="F439" s="3532">
        <v>29.05</v>
      </c>
      <c r="G439" s="3553" t="s">
        <v>3431</v>
      </c>
      <c r="H439" s="3652"/>
      <c r="I439" s="3642"/>
      <c r="J439" s="3641"/>
      <c r="K439" s="3642"/>
      <c r="L439" s="3641"/>
      <c r="M439" s="3641"/>
      <c r="N439" s="3642"/>
      <c r="O439" s="3641"/>
    </row>
    <row r="440" spans="1:15">
      <c r="A440" s="3532" t="s">
        <v>4617</v>
      </c>
      <c r="B440" s="3532">
        <v>118</v>
      </c>
      <c r="C440" s="3532">
        <v>27.66</v>
      </c>
      <c r="D440" s="3650"/>
      <c r="E440" s="3553" t="s">
        <v>4836</v>
      </c>
      <c r="F440" s="3532">
        <v>29.05</v>
      </c>
      <c r="G440" s="3553" t="s">
        <v>3431</v>
      </c>
      <c r="H440" s="3652"/>
      <c r="I440" s="3642"/>
      <c r="J440" s="3641"/>
      <c r="K440" s="3642"/>
      <c r="L440" s="3641"/>
      <c r="M440" s="3641"/>
      <c r="N440" s="3642"/>
      <c r="O440" s="3641"/>
    </row>
    <row r="441" spans="1:15">
      <c r="A441" s="3532" t="s">
        <v>4617</v>
      </c>
      <c r="B441" s="3532">
        <v>119</v>
      </c>
      <c r="C441" s="3532">
        <v>27.66</v>
      </c>
      <c r="D441" s="3650"/>
      <c r="E441" s="3553" t="s">
        <v>4837</v>
      </c>
      <c r="F441" s="3532">
        <v>50.65</v>
      </c>
      <c r="G441" s="3553" t="s">
        <v>3431</v>
      </c>
      <c r="H441" s="3652"/>
      <c r="I441" s="3642"/>
      <c r="J441" s="3641"/>
      <c r="K441" s="3642"/>
      <c r="L441" s="3641"/>
      <c r="M441" s="3641"/>
      <c r="N441" s="3642"/>
      <c r="O441" s="3641"/>
    </row>
    <row r="442" spans="1:15">
      <c r="A442" s="3532" t="s">
        <v>4617</v>
      </c>
      <c r="B442" s="3532">
        <v>120</v>
      </c>
      <c r="C442" s="3532">
        <v>27.66</v>
      </c>
      <c r="D442" s="3650"/>
      <c r="E442" s="3553" t="s">
        <v>4838</v>
      </c>
      <c r="F442" s="3532">
        <v>50.65</v>
      </c>
      <c r="G442" s="3553" t="s">
        <v>3431</v>
      </c>
      <c r="H442" s="3652"/>
      <c r="I442" s="3642"/>
      <c r="J442" s="3641"/>
      <c r="K442" s="3642"/>
      <c r="L442" s="3641"/>
      <c r="M442" s="3641"/>
      <c r="N442" s="3642"/>
      <c r="O442" s="3641"/>
    </row>
    <row r="443" spans="1:15">
      <c r="A443" s="3532" t="s">
        <v>4617</v>
      </c>
      <c r="B443" s="3532">
        <v>121</v>
      </c>
      <c r="C443" s="3532">
        <v>27.66</v>
      </c>
      <c r="D443" s="3651"/>
      <c r="E443" s="3553" t="s">
        <v>4839</v>
      </c>
      <c r="F443" s="3532">
        <v>29.05</v>
      </c>
      <c r="G443" s="3553" t="s">
        <v>3431</v>
      </c>
      <c r="H443" s="3652"/>
      <c r="I443" s="3642"/>
      <c r="J443" s="3641"/>
      <c r="K443" s="3642"/>
      <c r="L443" s="3641"/>
      <c r="M443" s="3641"/>
      <c r="N443" s="3642"/>
      <c r="O443" s="3641"/>
    </row>
    <row r="444" spans="1:15">
      <c r="A444" s="3532" t="s">
        <v>4617</v>
      </c>
      <c r="B444" s="3532">
        <v>122</v>
      </c>
      <c r="C444" s="3532">
        <v>27.66</v>
      </c>
      <c r="D444" s="3649" t="s">
        <v>4620</v>
      </c>
      <c r="E444" s="3553" t="s">
        <v>4840</v>
      </c>
      <c r="F444" s="3532">
        <v>29.05</v>
      </c>
      <c r="G444" s="3553" t="s">
        <v>3431</v>
      </c>
      <c r="H444" s="3652"/>
      <c r="I444" s="3642"/>
      <c r="J444" s="3641"/>
      <c r="K444" s="3642"/>
      <c r="L444" s="3641"/>
      <c r="M444" s="3641"/>
      <c r="N444" s="3642"/>
      <c r="O444" s="3641"/>
    </row>
    <row r="445" spans="1:15">
      <c r="A445" s="3532" t="s">
        <v>4617</v>
      </c>
      <c r="B445" s="3532">
        <v>123</v>
      </c>
      <c r="C445" s="3532">
        <v>27.66</v>
      </c>
      <c r="D445" s="3650"/>
      <c r="E445" s="3553" t="s">
        <v>4841</v>
      </c>
      <c r="F445" s="3532">
        <v>29.05</v>
      </c>
      <c r="G445" s="3553" t="s">
        <v>3431</v>
      </c>
      <c r="H445" s="3652"/>
      <c r="I445" s="3642"/>
      <c r="J445" s="3641"/>
      <c r="K445" s="3642"/>
      <c r="L445" s="3641"/>
      <c r="M445" s="3641"/>
      <c r="N445" s="3642"/>
      <c r="O445" s="3641"/>
    </row>
    <row r="446" spans="1:15">
      <c r="A446" s="3532" t="s">
        <v>4617</v>
      </c>
      <c r="B446" s="3532">
        <v>124</v>
      </c>
      <c r="C446" s="3532">
        <v>27.66</v>
      </c>
      <c r="D446" s="3650"/>
      <c r="E446" s="3553" t="s">
        <v>4842</v>
      </c>
      <c r="F446" s="3532">
        <v>29.05</v>
      </c>
      <c r="G446" s="3553" t="s">
        <v>3431</v>
      </c>
      <c r="H446" s="3652"/>
      <c r="I446" s="3642"/>
      <c r="J446" s="3641"/>
      <c r="K446" s="3642"/>
      <c r="L446" s="3641"/>
      <c r="M446" s="3641"/>
      <c r="N446" s="3642"/>
      <c r="O446" s="3641"/>
    </row>
    <row r="447" spans="1:15">
      <c r="A447" s="3532" t="s">
        <v>4617</v>
      </c>
      <c r="B447" s="3532">
        <v>125</v>
      </c>
      <c r="C447" s="3532">
        <v>27.66</v>
      </c>
      <c r="D447" s="3650"/>
      <c r="E447" s="3553" t="s">
        <v>4843</v>
      </c>
      <c r="F447" s="3532">
        <v>29.05</v>
      </c>
      <c r="G447" s="3553" t="s">
        <v>3431</v>
      </c>
      <c r="H447" s="3652"/>
      <c r="I447" s="3642"/>
      <c r="J447" s="3641"/>
      <c r="K447" s="3642"/>
      <c r="L447" s="3641"/>
      <c r="M447" s="3641"/>
      <c r="N447" s="3642"/>
      <c r="O447" s="3641"/>
    </row>
    <row r="448" spans="1:15">
      <c r="A448" s="3532" t="s">
        <v>4617</v>
      </c>
      <c r="B448" s="3532">
        <v>126</v>
      </c>
      <c r="C448" s="3532">
        <v>27.66</v>
      </c>
      <c r="D448" s="3650"/>
      <c r="E448" s="3553" t="s">
        <v>4844</v>
      </c>
      <c r="F448" s="3532">
        <v>29.05</v>
      </c>
      <c r="G448" s="3553" t="s">
        <v>3431</v>
      </c>
      <c r="H448" s="3652"/>
      <c r="I448" s="3642"/>
      <c r="J448" s="3641"/>
      <c r="K448" s="3642"/>
      <c r="L448" s="3641"/>
      <c r="M448" s="3641"/>
      <c r="N448" s="3642"/>
      <c r="O448" s="3641"/>
    </row>
    <row r="449" spans="1:15">
      <c r="A449" s="3532" t="s">
        <v>4617</v>
      </c>
      <c r="B449" s="3532">
        <v>127</v>
      </c>
      <c r="C449" s="3532">
        <v>42.64</v>
      </c>
      <c r="D449" s="3650"/>
      <c r="E449" s="3553" t="s">
        <v>4845</v>
      </c>
      <c r="F449" s="3532">
        <v>44.78</v>
      </c>
      <c r="G449" s="3553" t="s">
        <v>3431</v>
      </c>
      <c r="H449" s="3652"/>
      <c r="I449" s="3642"/>
      <c r="J449" s="3641"/>
      <c r="K449" s="3642"/>
      <c r="L449" s="3641"/>
      <c r="M449" s="3641"/>
      <c r="N449" s="3642"/>
      <c r="O449" s="3641"/>
    </row>
    <row r="450" spans="1:15">
      <c r="A450" s="3532" t="s">
        <v>4617</v>
      </c>
      <c r="B450" s="3532">
        <v>128</v>
      </c>
      <c r="C450" s="3532">
        <v>27.66</v>
      </c>
      <c r="D450" s="3650"/>
      <c r="E450" s="3553" t="s">
        <v>4846</v>
      </c>
      <c r="F450" s="3532">
        <v>29.05</v>
      </c>
      <c r="G450" s="3553" t="s">
        <v>3431</v>
      </c>
      <c r="H450" s="3652"/>
      <c r="I450" s="3642"/>
      <c r="J450" s="3641"/>
      <c r="K450" s="3642"/>
      <c r="L450" s="3641"/>
      <c r="M450" s="3641"/>
      <c r="N450" s="3642"/>
      <c r="O450" s="3641"/>
    </row>
    <row r="451" spans="1:15">
      <c r="A451" s="3532" t="s">
        <v>4617</v>
      </c>
      <c r="B451" s="3532">
        <v>129</v>
      </c>
      <c r="C451" s="3532">
        <v>42.64</v>
      </c>
      <c r="D451" s="3650"/>
      <c r="E451" s="3553" t="s">
        <v>4847</v>
      </c>
      <c r="F451" s="3532">
        <v>29.05</v>
      </c>
      <c r="G451" s="3553" t="s">
        <v>3431</v>
      </c>
      <c r="H451" s="3652"/>
      <c r="I451" s="3642"/>
      <c r="J451" s="3641"/>
      <c r="K451" s="3642"/>
      <c r="L451" s="3641"/>
      <c r="M451" s="3641"/>
      <c r="N451" s="3642"/>
      <c r="O451" s="3641"/>
    </row>
    <row r="452" spans="1:15">
      <c r="A452" s="3532" t="s">
        <v>4617</v>
      </c>
      <c r="B452" s="3532">
        <v>130</v>
      </c>
      <c r="C452" s="3532">
        <v>27.66</v>
      </c>
      <c r="D452" s="3650"/>
      <c r="E452" s="3553" t="s">
        <v>4848</v>
      </c>
      <c r="F452" s="3532">
        <v>44.78</v>
      </c>
      <c r="G452" s="3553" t="s">
        <v>3431</v>
      </c>
      <c r="H452" s="3652"/>
      <c r="I452" s="3642"/>
      <c r="J452" s="3641"/>
      <c r="K452" s="3642"/>
      <c r="L452" s="3641"/>
      <c r="M452" s="3641"/>
      <c r="N452" s="3642"/>
      <c r="O452" s="3641"/>
    </row>
    <row r="453" spans="1:15">
      <c r="A453" s="3532" t="s">
        <v>4617</v>
      </c>
      <c r="B453" s="3532">
        <v>131</v>
      </c>
      <c r="C453" s="3532">
        <v>27.66</v>
      </c>
      <c r="D453" s="3650"/>
      <c r="E453" s="3553" t="s">
        <v>4849</v>
      </c>
      <c r="F453" s="3532">
        <v>29.05</v>
      </c>
      <c r="G453" s="3553" t="s">
        <v>3431</v>
      </c>
      <c r="H453" s="3652"/>
      <c r="I453" s="3642"/>
      <c r="J453" s="3641"/>
      <c r="K453" s="3642"/>
      <c r="L453" s="3641"/>
      <c r="M453" s="3641"/>
      <c r="N453" s="3642"/>
      <c r="O453" s="3641"/>
    </row>
    <row r="454" spans="1:15">
      <c r="A454" s="3532" t="s">
        <v>4617</v>
      </c>
      <c r="B454" s="3532">
        <v>132</v>
      </c>
      <c r="C454" s="3532">
        <v>27.66</v>
      </c>
      <c r="D454" s="3650"/>
      <c r="E454" s="3553" t="s">
        <v>4850</v>
      </c>
      <c r="F454" s="3532">
        <v>29.05</v>
      </c>
      <c r="G454" s="3553" t="s">
        <v>3431</v>
      </c>
      <c r="H454" s="3652"/>
      <c r="I454" s="3642"/>
      <c r="J454" s="3641"/>
      <c r="K454" s="3642"/>
      <c r="L454" s="3641"/>
      <c r="M454" s="3641"/>
      <c r="N454" s="3642"/>
      <c r="O454" s="3641"/>
    </row>
    <row r="455" spans="1:15">
      <c r="A455" s="3532" t="s">
        <v>4617</v>
      </c>
      <c r="B455" s="3532">
        <v>133</v>
      </c>
      <c r="C455" s="3532">
        <v>27.66</v>
      </c>
      <c r="D455" s="3650"/>
      <c r="E455" s="3553" t="s">
        <v>4851</v>
      </c>
      <c r="F455" s="3532">
        <v>29.05</v>
      </c>
      <c r="G455" s="3553" t="s">
        <v>3431</v>
      </c>
      <c r="H455" s="3652"/>
      <c r="I455" s="3642"/>
      <c r="J455" s="3641"/>
      <c r="K455" s="3642"/>
      <c r="L455" s="3641"/>
      <c r="M455" s="3641"/>
      <c r="N455" s="3642"/>
      <c r="O455" s="3641"/>
    </row>
    <row r="456" spans="1:15">
      <c r="A456" s="3532" t="s">
        <v>4617</v>
      </c>
      <c r="B456" s="3532">
        <v>134</v>
      </c>
      <c r="C456" s="3532">
        <v>27.66</v>
      </c>
      <c r="D456" s="3650"/>
      <c r="E456" s="3553" t="s">
        <v>4852</v>
      </c>
      <c r="F456" s="3532">
        <v>29.05</v>
      </c>
      <c r="G456" s="3553" t="s">
        <v>3431</v>
      </c>
      <c r="H456" s="3652"/>
      <c r="I456" s="3642"/>
      <c r="J456" s="3641"/>
      <c r="K456" s="3642"/>
      <c r="L456" s="3641"/>
      <c r="M456" s="3641"/>
      <c r="N456" s="3642"/>
      <c r="O456" s="3641"/>
    </row>
    <row r="457" spans="1:15">
      <c r="A457" s="3532" t="s">
        <v>4617</v>
      </c>
      <c r="B457" s="3532">
        <v>135</v>
      </c>
      <c r="C457" s="3532">
        <v>27.66</v>
      </c>
      <c r="D457" s="3650"/>
      <c r="E457" s="3553" t="s">
        <v>4853</v>
      </c>
      <c r="F457" s="3532">
        <v>29.05</v>
      </c>
      <c r="G457" s="3553" t="s">
        <v>3431</v>
      </c>
      <c r="H457" s="3652"/>
      <c r="I457" s="3642"/>
      <c r="J457" s="3641"/>
      <c r="K457" s="3642"/>
      <c r="L457" s="3641"/>
      <c r="M457" s="3641"/>
      <c r="N457" s="3642"/>
      <c r="O457" s="3641"/>
    </row>
    <row r="458" spans="1:15">
      <c r="A458" s="3532" t="s">
        <v>4617</v>
      </c>
      <c r="B458" s="3532">
        <v>136</v>
      </c>
      <c r="C458" s="3532">
        <v>27.66</v>
      </c>
      <c r="D458" s="3650"/>
      <c r="E458" s="3553" t="s">
        <v>4854</v>
      </c>
      <c r="F458" s="3532">
        <v>29.05</v>
      </c>
      <c r="G458" s="3553" t="s">
        <v>3431</v>
      </c>
      <c r="H458" s="3652"/>
      <c r="I458" s="3642"/>
      <c r="J458" s="3641"/>
      <c r="K458" s="3642"/>
      <c r="L458" s="3641"/>
      <c r="M458" s="3641"/>
      <c r="N458" s="3642"/>
      <c r="O458" s="3641"/>
    </row>
    <row r="459" spans="1:15">
      <c r="A459" s="3532" t="s">
        <v>4617</v>
      </c>
      <c r="B459" s="3532">
        <v>137</v>
      </c>
      <c r="C459" s="3532">
        <v>27.66</v>
      </c>
      <c r="D459" s="3650"/>
      <c r="E459" s="3553" t="s">
        <v>4855</v>
      </c>
      <c r="F459" s="3532">
        <v>29.05</v>
      </c>
      <c r="G459" s="3553" t="s">
        <v>3431</v>
      </c>
      <c r="H459" s="3652"/>
      <c r="I459" s="3642"/>
      <c r="J459" s="3641"/>
      <c r="K459" s="3642"/>
      <c r="L459" s="3641"/>
      <c r="M459" s="3641"/>
      <c r="N459" s="3642"/>
      <c r="O459" s="3641"/>
    </row>
    <row r="460" spans="1:15">
      <c r="A460" s="3532" t="s">
        <v>4617</v>
      </c>
      <c r="B460" s="3532">
        <v>138</v>
      </c>
      <c r="C460" s="3532">
        <v>27.66</v>
      </c>
      <c r="D460" s="3650"/>
      <c r="E460" s="3553" t="s">
        <v>4856</v>
      </c>
      <c r="F460" s="3532">
        <v>29.05</v>
      </c>
      <c r="G460" s="3553" t="s">
        <v>3431</v>
      </c>
      <c r="H460" s="3652"/>
      <c r="I460" s="3642"/>
      <c r="J460" s="3641"/>
      <c r="K460" s="3642"/>
      <c r="L460" s="3641"/>
      <c r="M460" s="3641"/>
      <c r="N460" s="3642"/>
      <c r="O460" s="3641"/>
    </row>
    <row r="461" spans="1:15">
      <c r="A461" s="3532" t="s">
        <v>4617</v>
      </c>
      <c r="B461" s="3532">
        <v>139</v>
      </c>
      <c r="C461" s="3532">
        <v>27.66</v>
      </c>
      <c r="D461" s="3650"/>
      <c r="E461" s="3553" t="s">
        <v>4857</v>
      </c>
      <c r="F461" s="3532">
        <v>29.05</v>
      </c>
      <c r="G461" s="3553" t="s">
        <v>3431</v>
      </c>
      <c r="H461" s="3652"/>
      <c r="I461" s="3642"/>
      <c r="J461" s="3641"/>
      <c r="K461" s="3642"/>
      <c r="L461" s="3641"/>
      <c r="M461" s="3641"/>
      <c r="N461" s="3642"/>
      <c r="O461" s="3641"/>
    </row>
    <row r="462" spans="1:15">
      <c r="A462" s="3532" t="s">
        <v>4617</v>
      </c>
      <c r="B462" s="3532">
        <v>140</v>
      </c>
      <c r="C462" s="3532">
        <v>27.66</v>
      </c>
      <c r="D462" s="3650"/>
      <c r="E462" s="3553" t="s">
        <v>4858</v>
      </c>
      <c r="F462" s="3532">
        <v>29.05</v>
      </c>
      <c r="G462" s="3553" t="s">
        <v>3431</v>
      </c>
      <c r="H462" s="3652"/>
      <c r="I462" s="3642"/>
      <c r="J462" s="3641"/>
      <c r="K462" s="3642"/>
      <c r="L462" s="3641"/>
      <c r="M462" s="3641"/>
      <c r="N462" s="3642"/>
      <c r="O462" s="3641"/>
    </row>
    <row r="463" spans="1:15">
      <c r="A463" s="3532" t="s">
        <v>4617</v>
      </c>
      <c r="B463" s="3532">
        <v>141</v>
      </c>
      <c r="C463" s="3532">
        <v>27.66</v>
      </c>
      <c r="D463" s="3650"/>
      <c r="E463" s="3553" t="s">
        <v>4859</v>
      </c>
      <c r="F463" s="3532">
        <v>29.05</v>
      </c>
      <c r="G463" s="3553" t="s">
        <v>3431</v>
      </c>
      <c r="H463" s="3652"/>
      <c r="I463" s="3642"/>
      <c r="J463" s="3641"/>
      <c r="K463" s="3642"/>
      <c r="L463" s="3641"/>
      <c r="M463" s="3641"/>
      <c r="N463" s="3642"/>
      <c r="O463" s="3641"/>
    </row>
    <row r="464" spans="1:15">
      <c r="A464" s="3532" t="s">
        <v>4617</v>
      </c>
      <c r="B464" s="3532">
        <v>142</v>
      </c>
      <c r="C464" s="3532">
        <v>27.66</v>
      </c>
      <c r="D464" s="3650"/>
      <c r="E464" s="3553" t="s">
        <v>4860</v>
      </c>
      <c r="F464" s="3532">
        <v>29.05</v>
      </c>
      <c r="G464" s="3553" t="s">
        <v>3431</v>
      </c>
      <c r="H464" s="3652"/>
      <c r="I464" s="3642"/>
      <c r="J464" s="3641"/>
      <c r="K464" s="3642"/>
      <c r="L464" s="3641"/>
      <c r="M464" s="3641"/>
      <c r="N464" s="3642"/>
      <c r="O464" s="3641"/>
    </row>
    <row r="465" spans="1:15">
      <c r="A465" s="3532" t="s">
        <v>4617</v>
      </c>
      <c r="B465" s="3532">
        <v>143</v>
      </c>
      <c r="C465" s="3532">
        <v>27.66</v>
      </c>
      <c r="D465" s="3650"/>
      <c r="E465" s="3553" t="s">
        <v>4861</v>
      </c>
      <c r="F465" s="3532">
        <v>29.05</v>
      </c>
      <c r="G465" s="3553" t="s">
        <v>3431</v>
      </c>
      <c r="H465" s="3652"/>
      <c r="I465" s="3642"/>
      <c r="J465" s="3641"/>
      <c r="K465" s="3642"/>
      <c r="L465" s="3641"/>
      <c r="M465" s="3641"/>
      <c r="N465" s="3642"/>
      <c r="O465" s="3641"/>
    </row>
    <row r="466" spans="1:15">
      <c r="A466" s="3532" t="s">
        <v>4617</v>
      </c>
      <c r="B466" s="3532">
        <v>144</v>
      </c>
      <c r="C466" s="3532">
        <v>27.66</v>
      </c>
      <c r="D466" s="3650"/>
      <c r="E466" s="3553" t="s">
        <v>4862</v>
      </c>
      <c r="F466" s="3532">
        <v>29.05</v>
      </c>
      <c r="G466" s="3553" t="s">
        <v>3431</v>
      </c>
      <c r="H466" s="3652"/>
      <c r="I466" s="3642"/>
      <c r="J466" s="3641"/>
      <c r="K466" s="3642"/>
      <c r="L466" s="3641"/>
      <c r="M466" s="3641"/>
      <c r="N466" s="3642"/>
      <c r="O466" s="3641"/>
    </row>
    <row r="467" spans="1:15">
      <c r="A467" s="3532" t="s">
        <v>4617</v>
      </c>
      <c r="B467" s="3532">
        <v>145</v>
      </c>
      <c r="C467" s="3532">
        <v>27.66</v>
      </c>
      <c r="D467" s="3650"/>
      <c r="E467" s="3553" t="s">
        <v>4863</v>
      </c>
      <c r="F467" s="3532">
        <v>29.05</v>
      </c>
      <c r="G467" s="3553" t="s">
        <v>3431</v>
      </c>
      <c r="H467" s="3652"/>
      <c r="I467" s="3642"/>
      <c r="J467" s="3641"/>
      <c r="K467" s="3642"/>
      <c r="L467" s="3641"/>
      <c r="M467" s="3641"/>
      <c r="N467" s="3642"/>
      <c r="O467" s="3641"/>
    </row>
    <row r="468" spans="1:15">
      <c r="A468" s="3532" t="s">
        <v>4617</v>
      </c>
      <c r="B468" s="3532">
        <v>146</v>
      </c>
      <c r="C468" s="3532">
        <v>27.66</v>
      </c>
      <c r="D468" s="3650"/>
      <c r="E468" s="3553" t="s">
        <v>4864</v>
      </c>
      <c r="F468" s="3532">
        <v>29.05</v>
      </c>
      <c r="G468" s="3553" t="s">
        <v>3431</v>
      </c>
      <c r="H468" s="3652"/>
      <c r="I468" s="3642"/>
      <c r="J468" s="3641"/>
      <c r="K468" s="3642"/>
      <c r="L468" s="3641"/>
      <c r="M468" s="3641"/>
      <c r="N468" s="3642"/>
      <c r="O468" s="3641"/>
    </row>
    <row r="469" spans="1:15">
      <c r="A469" s="3532" t="s">
        <v>4617</v>
      </c>
      <c r="B469" s="3532">
        <v>147</v>
      </c>
      <c r="C469" s="3532">
        <v>27.66</v>
      </c>
      <c r="D469" s="3650"/>
      <c r="E469" s="3553" t="s">
        <v>4865</v>
      </c>
      <c r="F469" s="3532">
        <v>29.05</v>
      </c>
      <c r="G469" s="3553" t="s">
        <v>3431</v>
      </c>
      <c r="H469" s="3652"/>
      <c r="I469" s="3642"/>
      <c r="J469" s="3641"/>
      <c r="K469" s="3642"/>
      <c r="L469" s="3641"/>
      <c r="M469" s="3641"/>
      <c r="N469" s="3642"/>
      <c r="O469" s="3641"/>
    </row>
    <row r="470" spans="1:15">
      <c r="A470" s="3532" t="s">
        <v>4617</v>
      </c>
      <c r="B470" s="3532">
        <v>148</v>
      </c>
      <c r="C470" s="3532">
        <v>20.57</v>
      </c>
      <c r="D470" s="3650"/>
      <c r="E470" s="3553" t="s">
        <v>4866</v>
      </c>
      <c r="F470" s="3532">
        <v>21.6</v>
      </c>
      <c r="G470" s="3553" t="s">
        <v>3431</v>
      </c>
      <c r="H470" s="3652"/>
      <c r="I470" s="3642"/>
      <c r="J470" s="3641"/>
      <c r="K470" s="3642"/>
      <c r="L470" s="3641"/>
      <c r="M470" s="3641"/>
      <c r="N470" s="3642"/>
      <c r="O470" s="3641"/>
    </row>
    <row r="471" spans="1:15">
      <c r="A471" s="3532" t="s">
        <v>4617</v>
      </c>
      <c r="B471" s="3532">
        <v>149</v>
      </c>
      <c r="C471" s="3532">
        <v>27.66</v>
      </c>
      <c r="D471" s="3650"/>
      <c r="E471" s="3553" t="s">
        <v>4867</v>
      </c>
      <c r="F471" s="3532">
        <v>29.05</v>
      </c>
      <c r="G471" s="3553" t="s">
        <v>3431</v>
      </c>
      <c r="H471" s="3652"/>
      <c r="I471" s="3642"/>
      <c r="J471" s="3641"/>
      <c r="K471" s="3642"/>
      <c r="L471" s="3641"/>
      <c r="M471" s="3641"/>
      <c r="N471" s="3642"/>
      <c r="O471" s="3641"/>
    </row>
    <row r="472" spans="1:15">
      <c r="A472" s="3532" t="s">
        <v>4617</v>
      </c>
      <c r="B472" s="3532">
        <v>202</v>
      </c>
      <c r="C472" s="3532">
        <v>27.66</v>
      </c>
      <c r="D472" s="3650"/>
      <c r="E472" s="3553" t="s">
        <v>4868</v>
      </c>
      <c r="F472" s="3532">
        <v>29.05</v>
      </c>
      <c r="G472" s="3553" t="s">
        <v>3431</v>
      </c>
      <c r="H472" s="3652"/>
      <c r="I472" s="3642"/>
      <c r="J472" s="3641"/>
      <c r="K472" s="3642"/>
      <c r="L472" s="3641"/>
      <c r="M472" s="3641"/>
      <c r="N472" s="3642"/>
      <c r="O472" s="3641"/>
    </row>
    <row r="473" spans="1:15">
      <c r="A473" s="3532" t="s">
        <v>4617</v>
      </c>
      <c r="B473" s="3532">
        <v>203</v>
      </c>
      <c r="C473" s="3532">
        <v>27.66</v>
      </c>
      <c r="D473" s="3650"/>
      <c r="E473" s="3553" t="s">
        <v>4869</v>
      </c>
      <c r="F473" s="3532">
        <v>29.05</v>
      </c>
      <c r="G473" s="3553" t="s">
        <v>3431</v>
      </c>
      <c r="H473" s="3652"/>
      <c r="I473" s="3642"/>
      <c r="J473" s="3641"/>
      <c r="K473" s="3642"/>
      <c r="L473" s="3641"/>
      <c r="M473" s="3641"/>
      <c r="N473" s="3642"/>
      <c r="O473" s="3641"/>
    </row>
    <row r="474" spans="1:15">
      <c r="A474" s="3532" t="s">
        <v>4617</v>
      </c>
      <c r="B474" s="3532">
        <v>204</v>
      </c>
      <c r="C474" s="3532">
        <v>42.64</v>
      </c>
      <c r="D474" s="3650"/>
      <c r="E474" s="3553" t="s">
        <v>4870</v>
      </c>
      <c r="F474" s="3532">
        <v>44.78</v>
      </c>
      <c r="G474" s="3553" t="s">
        <v>3431</v>
      </c>
      <c r="H474" s="3652"/>
      <c r="I474" s="3642"/>
      <c r="J474" s="3641"/>
      <c r="K474" s="3642"/>
      <c r="L474" s="3641"/>
      <c r="M474" s="3641"/>
      <c r="N474" s="3642"/>
      <c r="O474" s="3641"/>
    </row>
    <row r="475" spans="1:15">
      <c r="A475" s="3532" t="s">
        <v>4617</v>
      </c>
      <c r="B475" s="3532">
        <v>205</v>
      </c>
      <c r="C475" s="3532">
        <v>20.57</v>
      </c>
      <c r="D475" s="3650"/>
      <c r="E475" s="3553" t="s">
        <v>4871</v>
      </c>
      <c r="F475" s="3532">
        <v>21.6</v>
      </c>
      <c r="G475" s="3553" t="s">
        <v>3431</v>
      </c>
      <c r="H475" s="3652"/>
      <c r="I475" s="3642"/>
      <c r="J475" s="3641"/>
      <c r="K475" s="3642"/>
      <c r="L475" s="3641"/>
      <c r="M475" s="3641"/>
      <c r="N475" s="3642"/>
      <c r="O475" s="3641"/>
    </row>
    <row r="476" spans="1:15">
      <c r="A476" s="3532" t="s">
        <v>4617</v>
      </c>
      <c r="B476" s="3552" t="s">
        <v>4872</v>
      </c>
      <c r="C476" s="3532">
        <v>55.32</v>
      </c>
      <c r="D476" s="3650"/>
      <c r="E476" s="3553" t="s">
        <v>4873</v>
      </c>
      <c r="F476" s="3532">
        <v>50.65</v>
      </c>
      <c r="G476" s="3553" t="s">
        <v>3431</v>
      </c>
      <c r="H476" s="3652"/>
      <c r="I476" s="3642"/>
      <c r="J476" s="3641"/>
      <c r="K476" s="3642"/>
      <c r="L476" s="3641"/>
      <c r="M476" s="3641"/>
      <c r="N476" s="3642"/>
      <c r="O476" s="3641"/>
    </row>
    <row r="477" spans="1:15">
      <c r="A477" s="3532" t="s">
        <v>4617</v>
      </c>
      <c r="B477" s="3532">
        <v>208</v>
      </c>
      <c r="C477" s="3532">
        <v>57.41</v>
      </c>
      <c r="D477" s="3650"/>
      <c r="E477" s="3553" t="s">
        <v>4874</v>
      </c>
      <c r="F477" s="3532">
        <v>60.29</v>
      </c>
      <c r="G477" s="3553" t="s">
        <v>3431</v>
      </c>
      <c r="H477" s="3652"/>
      <c r="I477" s="3642"/>
      <c r="J477" s="3641"/>
      <c r="K477" s="3642"/>
      <c r="L477" s="3641"/>
      <c r="M477" s="3641"/>
      <c r="N477" s="3642"/>
      <c r="O477" s="3641"/>
    </row>
    <row r="478" spans="1:15">
      <c r="A478" s="3532" t="s">
        <v>4617</v>
      </c>
      <c r="B478" s="3532">
        <v>209</v>
      </c>
      <c r="C478" s="3532">
        <v>86.11</v>
      </c>
      <c r="D478" s="3650"/>
      <c r="E478" s="3553" t="s">
        <v>3946</v>
      </c>
      <c r="F478" s="3532">
        <v>90.43</v>
      </c>
      <c r="G478" s="3553" t="s">
        <v>3431</v>
      </c>
      <c r="H478" s="3652"/>
      <c r="I478" s="3642"/>
      <c r="J478" s="3641"/>
      <c r="K478" s="3642"/>
      <c r="L478" s="3641"/>
      <c r="M478" s="3641"/>
      <c r="N478" s="3642"/>
      <c r="O478" s="3641"/>
    </row>
    <row r="479" spans="1:15">
      <c r="A479" s="3532" t="s">
        <v>4617</v>
      </c>
      <c r="B479" s="3532">
        <v>210</v>
      </c>
      <c r="C479" s="3532">
        <v>86.11</v>
      </c>
      <c r="D479" s="3650"/>
      <c r="E479" s="3553" t="s">
        <v>3947</v>
      </c>
      <c r="F479" s="3532">
        <v>90.43</v>
      </c>
      <c r="G479" s="3553" t="s">
        <v>3431</v>
      </c>
      <c r="H479" s="3652"/>
      <c r="I479" s="3642"/>
      <c r="J479" s="3641"/>
      <c r="K479" s="3642"/>
      <c r="L479" s="3641"/>
      <c r="M479" s="3641"/>
      <c r="N479" s="3642"/>
      <c r="O479" s="3641"/>
    </row>
    <row r="480" spans="1:15">
      <c r="A480" s="3532" t="s">
        <v>4617</v>
      </c>
      <c r="B480" s="3532">
        <v>211</v>
      </c>
      <c r="C480" s="3532">
        <v>86.11</v>
      </c>
      <c r="D480" s="3650"/>
      <c r="E480" s="3553" t="s">
        <v>3948</v>
      </c>
      <c r="F480" s="3532">
        <v>90.43</v>
      </c>
      <c r="G480" s="3553" t="s">
        <v>3431</v>
      </c>
      <c r="H480" s="3652"/>
      <c r="I480" s="3642"/>
      <c r="J480" s="3641"/>
      <c r="K480" s="3642"/>
      <c r="L480" s="3641"/>
      <c r="M480" s="3641"/>
      <c r="N480" s="3642"/>
      <c r="O480" s="3641"/>
    </row>
    <row r="481" spans="1:15">
      <c r="A481" s="3532" t="s">
        <v>4617</v>
      </c>
      <c r="B481" s="3532">
        <v>212</v>
      </c>
      <c r="C481" s="3532">
        <v>86.11</v>
      </c>
      <c r="D481" s="3650"/>
      <c r="E481" s="3553" t="s">
        <v>3949</v>
      </c>
      <c r="F481" s="3532">
        <v>90.43</v>
      </c>
      <c r="G481" s="3553" t="s">
        <v>3431</v>
      </c>
      <c r="H481" s="3652"/>
      <c r="I481" s="3642"/>
      <c r="J481" s="3641"/>
      <c r="K481" s="3642"/>
      <c r="L481" s="3641"/>
      <c r="M481" s="3641"/>
      <c r="N481" s="3642"/>
      <c r="O481" s="3641"/>
    </row>
    <row r="482" spans="1:15">
      <c r="A482" s="3532" t="s">
        <v>4617</v>
      </c>
      <c r="B482" s="3532">
        <v>213</v>
      </c>
      <c r="C482" s="3532">
        <v>86.11</v>
      </c>
      <c r="D482" s="3650"/>
      <c r="E482" s="3553" t="s">
        <v>3950</v>
      </c>
      <c r="F482" s="3532">
        <v>90.43</v>
      </c>
      <c r="G482" s="3553" t="s">
        <v>3431</v>
      </c>
      <c r="H482" s="3652"/>
      <c r="I482" s="3642"/>
      <c r="J482" s="3641"/>
      <c r="K482" s="3642"/>
      <c r="L482" s="3641"/>
      <c r="M482" s="3641"/>
      <c r="N482" s="3642"/>
      <c r="O482" s="3641"/>
    </row>
    <row r="483" spans="1:15">
      <c r="A483" s="3532" t="s">
        <v>4617</v>
      </c>
      <c r="B483" s="3532">
        <v>214</v>
      </c>
      <c r="C483" s="3532">
        <v>113.95</v>
      </c>
      <c r="D483" s="3650"/>
      <c r="E483" s="3553" t="s">
        <v>3951</v>
      </c>
      <c r="F483" s="3532">
        <v>119.66</v>
      </c>
      <c r="G483" s="3553" t="s">
        <v>3431</v>
      </c>
      <c r="H483" s="3652"/>
      <c r="I483" s="3642"/>
      <c r="J483" s="3641"/>
      <c r="K483" s="3642"/>
      <c r="L483" s="3641"/>
      <c r="M483" s="3641"/>
      <c r="N483" s="3642"/>
      <c r="O483" s="3641"/>
    </row>
    <row r="484" spans="1:15">
      <c r="A484" s="3532" t="s">
        <v>4617</v>
      </c>
      <c r="B484" s="3532">
        <v>215</v>
      </c>
      <c r="C484" s="3532">
        <v>172.23</v>
      </c>
      <c r="D484" s="3650"/>
      <c r="E484" s="3553" t="s">
        <v>3952</v>
      </c>
      <c r="F484" s="3532">
        <v>180.86</v>
      </c>
      <c r="G484" s="3553" t="s">
        <v>3431</v>
      </c>
      <c r="H484" s="3652"/>
      <c r="I484" s="3642"/>
      <c r="J484" s="3641"/>
      <c r="K484" s="3642"/>
      <c r="L484" s="3641"/>
      <c r="M484" s="3641"/>
      <c r="N484" s="3642"/>
      <c r="O484" s="3641"/>
    </row>
    <row r="485" spans="1:15">
      <c r="A485" s="3532" t="s">
        <v>4617</v>
      </c>
      <c r="B485" s="3532">
        <v>216</v>
      </c>
      <c r="C485" s="3532">
        <v>172.23</v>
      </c>
      <c r="D485" s="3650"/>
      <c r="E485" s="3553" t="s">
        <v>3953</v>
      </c>
      <c r="F485" s="3532">
        <v>180.86</v>
      </c>
      <c r="G485" s="3553" t="s">
        <v>3431</v>
      </c>
      <c r="H485" s="3652"/>
      <c r="I485" s="3642"/>
      <c r="J485" s="3641"/>
      <c r="K485" s="3642"/>
      <c r="L485" s="3641"/>
      <c r="M485" s="3641"/>
      <c r="N485" s="3642"/>
      <c r="O485" s="3641"/>
    </row>
    <row r="486" spans="1:15">
      <c r="A486" s="3532" t="s">
        <v>4617</v>
      </c>
      <c r="B486" s="3532">
        <v>217</v>
      </c>
      <c r="C486" s="3532">
        <v>172.23</v>
      </c>
      <c r="D486" s="3650"/>
      <c r="E486" s="3553" t="s">
        <v>3954</v>
      </c>
      <c r="F486" s="3532">
        <v>180.86</v>
      </c>
      <c r="G486" s="3553" t="s">
        <v>3431</v>
      </c>
      <c r="H486" s="3652"/>
      <c r="I486" s="3642"/>
      <c r="J486" s="3641"/>
      <c r="K486" s="3642"/>
      <c r="L486" s="3641"/>
      <c r="M486" s="3641"/>
      <c r="N486" s="3642"/>
      <c r="O486" s="3641"/>
    </row>
    <row r="487" spans="1:15">
      <c r="A487" s="3532" t="s">
        <v>4617</v>
      </c>
      <c r="B487" s="3532">
        <v>218</v>
      </c>
      <c r="C487" s="3532">
        <v>172.23</v>
      </c>
      <c r="D487" s="3650"/>
      <c r="E487" s="3553" t="s">
        <v>3955</v>
      </c>
      <c r="F487" s="3532">
        <v>180.86</v>
      </c>
      <c r="G487" s="3553" t="s">
        <v>3431</v>
      </c>
      <c r="H487" s="3652"/>
      <c r="I487" s="3642"/>
      <c r="J487" s="3641"/>
      <c r="K487" s="3642"/>
      <c r="L487" s="3641"/>
      <c r="M487" s="3641"/>
      <c r="N487" s="3642"/>
      <c r="O487" s="3641"/>
    </row>
    <row r="488" spans="1:15">
      <c r="A488" s="3532" t="s">
        <v>4617</v>
      </c>
      <c r="B488" s="3532">
        <v>255</v>
      </c>
      <c r="C488" s="3532">
        <v>57.41</v>
      </c>
      <c r="D488" s="3650"/>
      <c r="E488" s="3553" t="s">
        <v>3926</v>
      </c>
      <c r="F488" s="3532">
        <v>60.29</v>
      </c>
      <c r="G488" s="3553" t="s">
        <v>3431</v>
      </c>
      <c r="H488" s="3652"/>
      <c r="I488" s="3642"/>
      <c r="J488" s="3641"/>
      <c r="K488" s="3642"/>
      <c r="L488" s="3641"/>
      <c r="M488" s="3641"/>
      <c r="N488" s="3642"/>
      <c r="O488" s="3641"/>
    </row>
    <row r="489" spans="1:15">
      <c r="A489" s="3532" t="s">
        <v>4617</v>
      </c>
      <c r="B489" s="3532">
        <v>256</v>
      </c>
      <c r="C489" s="3532">
        <v>114.82</v>
      </c>
      <c r="D489" s="3650"/>
      <c r="E489" s="3553" t="s">
        <v>3927</v>
      </c>
      <c r="F489" s="3532">
        <v>120.58</v>
      </c>
      <c r="G489" s="3553" t="s">
        <v>3431</v>
      </c>
      <c r="H489" s="3652"/>
      <c r="I489" s="3642"/>
      <c r="J489" s="3641"/>
      <c r="K489" s="3642"/>
      <c r="L489" s="3641"/>
      <c r="M489" s="3641"/>
      <c r="N489" s="3642"/>
      <c r="O489" s="3641"/>
    </row>
    <row r="490" spans="1:15">
      <c r="A490" s="3532" t="s">
        <v>4617</v>
      </c>
      <c r="B490" s="3532">
        <v>257</v>
      </c>
      <c r="C490" s="3532">
        <v>172.23</v>
      </c>
      <c r="D490" s="3650"/>
      <c r="E490" s="3553" t="s">
        <v>3928</v>
      </c>
      <c r="F490" s="3532">
        <v>180.86</v>
      </c>
      <c r="G490" s="3553" t="s">
        <v>3431</v>
      </c>
      <c r="H490" s="3652"/>
      <c r="I490" s="3642"/>
      <c r="J490" s="3641"/>
      <c r="K490" s="3642"/>
      <c r="L490" s="3641"/>
      <c r="M490" s="3641"/>
      <c r="N490" s="3642"/>
      <c r="O490" s="3641"/>
    </row>
    <row r="491" spans="1:15">
      <c r="A491" s="3532" t="s">
        <v>4617</v>
      </c>
      <c r="B491" s="3532">
        <v>258</v>
      </c>
      <c r="C491" s="3532">
        <v>172.23</v>
      </c>
      <c r="D491" s="3650"/>
      <c r="E491" s="3553" t="s">
        <v>3929</v>
      </c>
      <c r="F491" s="3532">
        <v>180.86</v>
      </c>
      <c r="G491" s="3553" t="s">
        <v>3431</v>
      </c>
      <c r="H491" s="3652"/>
      <c r="I491" s="3642"/>
      <c r="J491" s="3641"/>
      <c r="K491" s="3642"/>
      <c r="L491" s="3641"/>
      <c r="M491" s="3641"/>
      <c r="N491" s="3642"/>
      <c r="O491" s="3641"/>
    </row>
    <row r="492" spans="1:15">
      <c r="A492" s="3532" t="s">
        <v>4617</v>
      </c>
      <c r="B492" s="3532">
        <v>259</v>
      </c>
      <c r="C492" s="3532">
        <v>172.23</v>
      </c>
      <c r="D492" s="3650"/>
      <c r="E492" s="3553" t="s">
        <v>3930</v>
      </c>
      <c r="F492" s="3532">
        <v>180.86</v>
      </c>
      <c r="G492" s="3553" t="s">
        <v>3431</v>
      </c>
      <c r="H492" s="3652"/>
      <c r="I492" s="3642"/>
      <c r="J492" s="3641"/>
      <c r="K492" s="3642"/>
      <c r="L492" s="3641"/>
      <c r="M492" s="3641"/>
      <c r="N492" s="3642"/>
      <c r="O492" s="3641"/>
    </row>
    <row r="493" spans="1:15">
      <c r="A493" s="3532" t="s">
        <v>4617</v>
      </c>
      <c r="B493" s="3532">
        <v>260</v>
      </c>
      <c r="C493" s="3532">
        <v>172.23</v>
      </c>
      <c r="D493" s="3650"/>
      <c r="E493" s="3553" t="s">
        <v>3931</v>
      </c>
      <c r="F493" s="3532">
        <v>180.86</v>
      </c>
      <c r="G493" s="3553" t="s">
        <v>3431</v>
      </c>
      <c r="H493" s="3652"/>
      <c r="I493" s="3642"/>
      <c r="J493" s="3641"/>
      <c r="K493" s="3642"/>
      <c r="L493" s="3641"/>
      <c r="M493" s="3641"/>
      <c r="N493" s="3642"/>
      <c r="O493" s="3641"/>
    </row>
    <row r="494" spans="1:15">
      <c r="A494" s="3532" t="s">
        <v>4617</v>
      </c>
      <c r="B494" s="3532">
        <v>261</v>
      </c>
      <c r="C494" s="3532">
        <v>143.52000000000001</v>
      </c>
      <c r="D494" s="3650"/>
      <c r="E494" s="3553" t="s">
        <v>3932</v>
      </c>
      <c r="F494" s="3532">
        <v>150.72</v>
      </c>
      <c r="G494" s="3553" t="s">
        <v>3431</v>
      </c>
      <c r="H494" s="3652"/>
      <c r="I494" s="3642"/>
      <c r="J494" s="3641"/>
      <c r="K494" s="3642"/>
      <c r="L494" s="3641"/>
      <c r="M494" s="3641"/>
      <c r="N494" s="3642"/>
      <c r="O494" s="3641"/>
    </row>
    <row r="495" spans="1:15">
      <c r="A495" s="3532" t="s">
        <v>4617</v>
      </c>
      <c r="B495" s="3532">
        <v>262</v>
      </c>
      <c r="C495" s="3532">
        <v>57.41</v>
      </c>
      <c r="D495" s="3650"/>
      <c r="E495" s="3553" t="s">
        <v>3933</v>
      </c>
      <c r="F495" s="3532">
        <v>60.29</v>
      </c>
      <c r="G495" s="3553" t="s">
        <v>3431</v>
      </c>
      <c r="H495" s="3652"/>
      <c r="I495" s="3642"/>
      <c r="J495" s="3641"/>
      <c r="K495" s="3642"/>
      <c r="L495" s="3641"/>
      <c r="M495" s="3641"/>
      <c r="N495" s="3642"/>
      <c r="O495" s="3641"/>
    </row>
    <row r="496" spans="1:15">
      <c r="A496" s="3532" t="s">
        <v>4617</v>
      </c>
      <c r="B496" s="3532">
        <v>263</v>
      </c>
      <c r="C496" s="3532">
        <v>57.41</v>
      </c>
      <c r="D496" s="3650"/>
      <c r="E496" s="3553" t="s">
        <v>3934</v>
      </c>
      <c r="F496" s="3532">
        <v>60.29</v>
      </c>
      <c r="G496" s="3553" t="s">
        <v>3431</v>
      </c>
      <c r="H496" s="3652"/>
      <c r="I496" s="3642"/>
      <c r="J496" s="3641"/>
      <c r="K496" s="3642"/>
      <c r="L496" s="3641"/>
      <c r="M496" s="3641"/>
      <c r="N496" s="3642"/>
      <c r="O496" s="3641"/>
    </row>
    <row r="497" spans="1:15">
      <c r="A497" s="3532" t="s">
        <v>4617</v>
      </c>
      <c r="B497" s="3532">
        <v>264</v>
      </c>
      <c r="C497" s="3532">
        <v>57.41</v>
      </c>
      <c r="D497" s="3650"/>
      <c r="E497" s="3553" t="s">
        <v>3935</v>
      </c>
      <c r="F497" s="3532">
        <v>60.29</v>
      </c>
      <c r="G497" s="3553" t="s">
        <v>3431</v>
      </c>
      <c r="H497" s="3652"/>
      <c r="I497" s="3642"/>
      <c r="J497" s="3641"/>
      <c r="K497" s="3642"/>
      <c r="L497" s="3641"/>
      <c r="M497" s="3641"/>
      <c r="N497" s="3642"/>
      <c r="O497" s="3641"/>
    </row>
    <row r="498" spans="1:15">
      <c r="A498" s="3532" t="s">
        <v>4617</v>
      </c>
      <c r="B498" s="3532">
        <v>267</v>
      </c>
      <c r="C498" s="3532">
        <v>172.23</v>
      </c>
      <c r="D498" s="3650"/>
      <c r="E498" s="3553" t="s">
        <v>3936</v>
      </c>
      <c r="F498" s="3532">
        <v>180.86</v>
      </c>
      <c r="G498" s="3553" t="s">
        <v>3431</v>
      </c>
      <c r="H498" s="3652"/>
      <c r="I498" s="3642"/>
      <c r="J498" s="3641"/>
      <c r="K498" s="3642"/>
      <c r="L498" s="3641"/>
      <c r="M498" s="3641"/>
      <c r="N498" s="3642"/>
      <c r="O498" s="3641"/>
    </row>
    <row r="499" spans="1:15">
      <c r="A499" s="3532" t="s">
        <v>4617</v>
      </c>
      <c r="B499" s="3532">
        <v>268</v>
      </c>
      <c r="C499" s="3532">
        <v>172.23</v>
      </c>
      <c r="D499" s="3650"/>
      <c r="E499" s="3553" t="s">
        <v>3937</v>
      </c>
      <c r="F499" s="3532">
        <v>180.86</v>
      </c>
      <c r="G499" s="3553" t="s">
        <v>3431</v>
      </c>
      <c r="H499" s="3652"/>
      <c r="I499" s="3642"/>
      <c r="J499" s="3641"/>
      <c r="K499" s="3642"/>
      <c r="L499" s="3641"/>
      <c r="M499" s="3641"/>
      <c r="N499" s="3642"/>
      <c r="O499" s="3641"/>
    </row>
    <row r="500" spans="1:15">
      <c r="A500" s="3532" t="s">
        <v>4617</v>
      </c>
      <c r="B500" s="3532">
        <v>269</v>
      </c>
      <c r="C500" s="3532">
        <v>172.23</v>
      </c>
      <c r="D500" s="3650"/>
      <c r="E500" s="3553" t="s">
        <v>3938</v>
      </c>
      <c r="F500" s="3532">
        <v>180.86</v>
      </c>
      <c r="G500" s="3553" t="s">
        <v>3431</v>
      </c>
      <c r="H500" s="3652" t="s">
        <v>3999</v>
      </c>
      <c r="I500" s="3642"/>
      <c r="J500" s="3641" t="s">
        <v>4000</v>
      </c>
      <c r="K500" s="3642" t="s">
        <v>4001</v>
      </c>
      <c r="L500" s="3641" t="s">
        <v>4002</v>
      </c>
      <c r="M500" s="3641" t="s">
        <v>4002</v>
      </c>
      <c r="N500" s="3642" t="s">
        <v>4003</v>
      </c>
      <c r="O500" s="3641"/>
    </row>
    <row r="501" spans="1:15">
      <c r="A501" s="3532" t="s">
        <v>4617</v>
      </c>
      <c r="B501" s="3532">
        <v>270</v>
      </c>
      <c r="C501" s="3532">
        <v>172.23</v>
      </c>
      <c r="D501" s="3650"/>
      <c r="E501" s="3553" t="s">
        <v>3939</v>
      </c>
      <c r="F501" s="3532">
        <v>180.86</v>
      </c>
      <c r="G501" s="3553" t="s">
        <v>3431</v>
      </c>
      <c r="H501" s="3652"/>
      <c r="I501" s="3642"/>
      <c r="J501" s="3641"/>
      <c r="K501" s="3642"/>
      <c r="L501" s="3641"/>
      <c r="M501" s="3641"/>
      <c r="N501" s="3642"/>
      <c r="O501" s="3641"/>
    </row>
    <row r="502" spans="1:15">
      <c r="A502" s="3532" t="s">
        <v>4617</v>
      </c>
      <c r="B502" s="3532">
        <v>271</v>
      </c>
      <c r="C502" s="3532">
        <v>258.33999999999997</v>
      </c>
      <c r="D502" s="3650"/>
      <c r="E502" s="3553" t="s">
        <v>3940</v>
      </c>
      <c r="F502" s="3532">
        <v>271.29000000000002</v>
      </c>
      <c r="G502" s="3553" t="s">
        <v>3431</v>
      </c>
      <c r="H502" s="3652"/>
      <c r="I502" s="3642"/>
      <c r="J502" s="3641"/>
      <c r="K502" s="3642"/>
      <c r="L502" s="3641"/>
      <c r="M502" s="3641"/>
      <c r="N502" s="3642"/>
      <c r="O502" s="3641"/>
    </row>
    <row r="503" spans="1:15">
      <c r="A503" s="3532" t="s">
        <v>4617</v>
      </c>
      <c r="B503" s="3532">
        <v>272</v>
      </c>
      <c r="C503" s="3532">
        <v>258.33999999999997</v>
      </c>
      <c r="D503" s="3650"/>
      <c r="E503" s="3553" t="s">
        <v>3941</v>
      </c>
      <c r="F503" s="3532">
        <v>271.29000000000002</v>
      </c>
      <c r="G503" s="3553" t="s">
        <v>3431</v>
      </c>
      <c r="H503" s="3652"/>
      <c r="I503" s="3642"/>
      <c r="J503" s="3641"/>
      <c r="K503" s="3642"/>
      <c r="L503" s="3641"/>
      <c r="M503" s="3641"/>
      <c r="N503" s="3642"/>
      <c r="O503" s="3641"/>
    </row>
    <row r="504" spans="1:15">
      <c r="A504" s="3532" t="s">
        <v>4617</v>
      </c>
      <c r="B504" s="3532">
        <v>273</v>
      </c>
      <c r="C504" s="3532">
        <v>258.33999999999997</v>
      </c>
      <c r="D504" s="3650"/>
      <c r="E504" s="3553" t="s">
        <v>3942</v>
      </c>
      <c r="F504" s="3532">
        <v>271.29000000000002</v>
      </c>
      <c r="G504" s="3553" t="s">
        <v>3431</v>
      </c>
      <c r="H504" s="3652"/>
      <c r="I504" s="3642"/>
      <c r="J504" s="3641"/>
      <c r="K504" s="3642"/>
      <c r="L504" s="3641"/>
      <c r="M504" s="3641"/>
      <c r="N504" s="3642"/>
      <c r="O504" s="3641"/>
    </row>
    <row r="505" spans="1:15">
      <c r="A505" s="3532" t="s">
        <v>4617</v>
      </c>
      <c r="B505" s="3532">
        <v>274</v>
      </c>
      <c r="C505" s="3532">
        <v>258.33999999999997</v>
      </c>
      <c r="D505" s="3650"/>
      <c r="E505" s="3553" t="s">
        <v>3943</v>
      </c>
      <c r="F505" s="3532">
        <v>271.29000000000002</v>
      </c>
      <c r="G505" s="3553" t="s">
        <v>3431</v>
      </c>
      <c r="H505" s="3652"/>
      <c r="I505" s="3642"/>
      <c r="J505" s="3641"/>
      <c r="K505" s="3642"/>
      <c r="L505" s="3641"/>
      <c r="M505" s="3641"/>
      <c r="N505" s="3642"/>
      <c r="O505" s="3641"/>
    </row>
    <row r="506" spans="1:15">
      <c r="A506" s="3532" t="s">
        <v>4617</v>
      </c>
      <c r="B506" s="3532">
        <v>275</v>
      </c>
      <c r="C506" s="3532">
        <v>114.82</v>
      </c>
      <c r="D506" s="3651"/>
      <c r="E506" s="3553" t="s">
        <v>3944</v>
      </c>
      <c r="F506" s="3532">
        <v>120.58</v>
      </c>
      <c r="G506" s="3553" t="s">
        <v>3431</v>
      </c>
      <c r="H506" s="3652"/>
      <c r="I506" s="3642"/>
      <c r="J506" s="3641"/>
      <c r="K506" s="3642"/>
      <c r="L506" s="3641"/>
      <c r="M506" s="3641"/>
      <c r="N506" s="3642"/>
      <c r="O506" s="3641"/>
    </row>
    <row r="507" spans="1:15" s="3560" customFormat="1" ht="15" customHeight="1">
      <c r="A507" s="3554" t="s">
        <v>4614</v>
      </c>
      <c r="B507" s="3555"/>
      <c r="C507" s="3556">
        <v>8554.2000000000007</v>
      </c>
      <c r="D507" s="3556"/>
      <c r="E507" s="3533" t="s">
        <v>4615</v>
      </c>
      <c r="F507" s="3556">
        <f>SUBTOTAL(9,F321:F506)</f>
        <v>9084.79000000001</v>
      </c>
      <c r="G507" s="3556"/>
      <c r="H507" s="3557"/>
      <c r="I507" s="3558"/>
      <c r="J507" s="3559"/>
      <c r="K507" s="3558"/>
      <c r="L507" s="3559"/>
      <c r="M507" s="3559"/>
      <c r="N507" s="3558"/>
      <c r="O507" s="3559"/>
    </row>
    <row r="508" spans="1:15" s="3560" customFormat="1" ht="23.1" customHeight="1">
      <c r="A508" s="3643" t="s">
        <v>4875</v>
      </c>
      <c r="B508" s="3643"/>
      <c r="C508" s="3643"/>
      <c r="D508" s="3643"/>
      <c r="E508" s="3643"/>
      <c r="F508" s="3556">
        <f>F507+F320</f>
        <v>35474.800000000017</v>
      </c>
      <c r="G508" s="3644"/>
      <c r="H508" s="3644"/>
      <c r="I508" s="3644"/>
      <c r="J508" s="3644"/>
      <c r="K508" s="3644"/>
      <c r="L508" s="3644"/>
      <c r="M508" s="3644"/>
      <c r="N508" s="3644"/>
      <c r="O508" s="3645"/>
    </row>
    <row r="509" spans="1:15" ht="72.95" customHeight="1">
      <c r="A509" s="3646" t="s">
        <v>4876</v>
      </c>
      <c r="B509" s="3647"/>
      <c r="C509" s="3647"/>
      <c r="D509" s="3647"/>
      <c r="E509" s="3647"/>
      <c r="F509" s="3647"/>
      <c r="G509" s="3647"/>
      <c r="H509" s="3647"/>
      <c r="I509" s="3647"/>
      <c r="J509" s="3647"/>
      <c r="K509" s="3647"/>
      <c r="L509" s="3647"/>
      <c r="M509" s="3647"/>
      <c r="N509" s="3647"/>
      <c r="O509" s="3648"/>
    </row>
  </sheetData>
  <mergeCells count="70">
    <mergeCell ref="D93:D119"/>
    <mergeCell ref="A2:O2"/>
    <mergeCell ref="D4:D6"/>
    <mergeCell ref="H4:H95"/>
    <mergeCell ref="I4:I95"/>
    <mergeCell ref="J4:J95"/>
    <mergeCell ref="K4:K95"/>
    <mergeCell ref="L4:L95"/>
    <mergeCell ref="M4:M95"/>
    <mergeCell ref="N4:N95"/>
    <mergeCell ref="O4:O95"/>
    <mergeCell ref="D7:D27"/>
    <mergeCell ref="D28:D30"/>
    <mergeCell ref="D31:D41"/>
    <mergeCell ref="D42:D67"/>
    <mergeCell ref="D68:D92"/>
    <mergeCell ref="N96:N196"/>
    <mergeCell ref="O96:O196"/>
    <mergeCell ref="D120:D134"/>
    <mergeCell ref="D135:D153"/>
    <mergeCell ref="D154:D186"/>
    <mergeCell ref="D187:D222"/>
    <mergeCell ref="H197:H297"/>
    <mergeCell ref="I197:I297"/>
    <mergeCell ref="J197:J297"/>
    <mergeCell ref="K197:K297"/>
    <mergeCell ref="H96:H196"/>
    <mergeCell ref="I96:I196"/>
    <mergeCell ref="J96:J196"/>
    <mergeCell ref="K96:K196"/>
    <mergeCell ref="L96:L196"/>
    <mergeCell ref="M96:M196"/>
    <mergeCell ref="L197:L297"/>
    <mergeCell ref="M197:M297"/>
    <mergeCell ref="N197:N297"/>
    <mergeCell ref="O197:O297"/>
    <mergeCell ref="D223:D310"/>
    <mergeCell ref="H298:H398"/>
    <mergeCell ref="I298:I398"/>
    <mergeCell ref="J298:J398"/>
    <mergeCell ref="K298:K398"/>
    <mergeCell ref="L298:L398"/>
    <mergeCell ref="A321:B321"/>
    <mergeCell ref="D323:D375"/>
    <mergeCell ref="D376:D443"/>
    <mergeCell ref="H399:H499"/>
    <mergeCell ref="I399:I499"/>
    <mergeCell ref="M298:M398"/>
    <mergeCell ref="N298:N398"/>
    <mergeCell ref="O298:O398"/>
    <mergeCell ref="D311:D315"/>
    <mergeCell ref="D316:D319"/>
    <mergeCell ref="A509:O509"/>
    <mergeCell ref="D444:D506"/>
    <mergeCell ref="H500:H506"/>
    <mergeCell ref="I500:I506"/>
    <mergeCell ref="J500:J506"/>
    <mergeCell ref="K500:K506"/>
    <mergeCell ref="L500:L506"/>
    <mergeCell ref="J399:J499"/>
    <mergeCell ref="K399:K499"/>
    <mergeCell ref="L399:L499"/>
    <mergeCell ref="M399:M499"/>
    <mergeCell ref="N399:N499"/>
    <mergeCell ref="O399:O499"/>
    <mergeCell ref="M500:M506"/>
    <mergeCell ref="N500:N506"/>
    <mergeCell ref="O500:O506"/>
    <mergeCell ref="A508:E508"/>
    <mergeCell ref="G508:O508"/>
  </mergeCells>
  <phoneticPr fontId="134" type="noConversion"/>
  <conditionalFormatting sqref="E320">
    <cfRule type="duplicateValues" dxfId="216" priority="3"/>
    <cfRule type="duplicateValues" dxfId="215" priority="4"/>
  </conditionalFormatting>
  <conditionalFormatting sqref="E507">
    <cfRule type="duplicateValues" dxfId="214" priority="1"/>
    <cfRule type="duplicateValues" dxfId="213" priority="2"/>
  </conditionalFormatting>
  <conditionalFormatting sqref="B4:B34">
    <cfRule type="duplicateValues" dxfId="212" priority="9"/>
    <cfRule type="duplicateValues" dxfId="211" priority="10"/>
  </conditionalFormatting>
  <conditionalFormatting sqref="B35:B319">
    <cfRule type="duplicateValues" dxfId="210" priority="7"/>
    <cfRule type="duplicateValues" dxfId="209" priority="8"/>
  </conditionalFormatting>
  <conditionalFormatting sqref="E4:E319">
    <cfRule type="duplicateValues" dxfId="208" priority="5"/>
    <cfRule type="duplicateValues" dxfId="207" priority="6"/>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3"/>
  <sheetViews>
    <sheetView topLeftCell="A451" workbookViewId="0">
      <selection activeCell="H484" sqref="H484"/>
    </sheetView>
  </sheetViews>
  <sheetFormatPr defaultRowHeight="13.5"/>
  <cols>
    <col min="3" max="3" width="16.75" customWidth="1"/>
    <col min="5" max="5" width="11.375" customWidth="1"/>
  </cols>
  <sheetData>
    <row r="3" spans="2:7">
      <c r="B3" s="3465" t="s">
        <v>4887</v>
      </c>
      <c r="C3" s="3465" t="s">
        <v>4878</v>
      </c>
      <c r="D3" s="3465" t="s">
        <v>4888</v>
      </c>
      <c r="E3" s="3465" t="s">
        <v>4889</v>
      </c>
      <c r="F3" s="3465" t="s">
        <v>4890</v>
      </c>
      <c r="G3" s="3465" t="s">
        <v>4891</v>
      </c>
    </row>
    <row r="4" spans="2:7">
      <c r="B4" s="3249">
        <v>1</v>
      </c>
      <c r="C4" t="str">
        <f>抵押物清单!E4</f>
        <v>20-2-502</v>
      </c>
      <c r="D4">
        <f>抵押物清单!F4</f>
        <v>86.91</v>
      </c>
      <c r="E4" s="3465" t="s">
        <v>4882</v>
      </c>
      <c r="F4" s="3465" t="s">
        <v>4879</v>
      </c>
      <c r="G4" s="3465" t="s">
        <v>4880</v>
      </c>
    </row>
    <row r="5" spans="2:7">
      <c r="B5" s="3249">
        <v>2</v>
      </c>
      <c r="C5" t="str">
        <f>抵押物清单!E5</f>
        <v>20-2-1002</v>
      </c>
      <c r="D5">
        <f>抵押物清单!F5</f>
        <v>86.91</v>
      </c>
      <c r="E5" s="3465" t="s">
        <v>4883</v>
      </c>
      <c r="F5" t="str">
        <f>F4</f>
        <v>小高层</v>
      </c>
      <c r="G5" t="str">
        <f>G4</f>
        <v>10层</v>
      </c>
    </row>
    <row r="6" spans="2:7">
      <c r="B6" s="3249">
        <v>3</v>
      </c>
      <c r="C6" t="str">
        <f>抵押物清单!E7</f>
        <v>22-1-101</v>
      </c>
      <c r="D6">
        <f>抵押物清单!F7</f>
        <v>86.99</v>
      </c>
      <c r="E6" s="3465" t="s">
        <v>4884</v>
      </c>
      <c r="F6" t="str">
        <f>F4</f>
        <v>小高层</v>
      </c>
      <c r="G6" t="str">
        <f t="shared" ref="G6:G25" si="0">G5</f>
        <v>10层</v>
      </c>
    </row>
    <row r="7" spans="2:7">
      <c r="B7" s="3249">
        <v>4</v>
      </c>
      <c r="C7" t="str">
        <f>抵押物清单!E8</f>
        <v>22-1-102</v>
      </c>
      <c r="D7">
        <f>抵押物清单!F8</f>
        <v>89.65</v>
      </c>
      <c r="E7" s="3465" t="s">
        <v>4884</v>
      </c>
      <c r="F7" t="str">
        <f>F4</f>
        <v>小高层</v>
      </c>
      <c r="G7" t="str">
        <f t="shared" si="0"/>
        <v>10层</v>
      </c>
    </row>
    <row r="8" spans="2:7">
      <c r="B8" s="3249">
        <v>5</v>
      </c>
      <c r="C8" t="str">
        <f>抵押物清单!E9</f>
        <v>22-1-201</v>
      </c>
      <c r="D8">
        <f>抵押物清单!F9</f>
        <v>86.99</v>
      </c>
      <c r="E8" s="3465" t="s">
        <v>4884</v>
      </c>
      <c r="F8" t="str">
        <f t="shared" ref="F8:F25" si="1">F5</f>
        <v>小高层</v>
      </c>
      <c r="G8" t="str">
        <f t="shared" si="0"/>
        <v>10层</v>
      </c>
    </row>
    <row r="9" spans="2:7">
      <c r="B9" s="3249">
        <v>6</v>
      </c>
      <c r="C9" t="str">
        <f>抵押物清单!E10</f>
        <v>22-1-202</v>
      </c>
      <c r="D9">
        <f>抵押物清单!F10</f>
        <v>89.65</v>
      </c>
      <c r="E9" s="3465" t="s">
        <v>4884</v>
      </c>
      <c r="F9" t="str">
        <f t="shared" si="1"/>
        <v>小高层</v>
      </c>
      <c r="G9" t="str">
        <f t="shared" si="0"/>
        <v>10层</v>
      </c>
    </row>
    <row r="10" spans="2:7">
      <c r="B10" s="3249">
        <v>7</v>
      </c>
      <c r="C10" t="str">
        <f>抵押物清单!E11</f>
        <v>22-1-301</v>
      </c>
      <c r="D10">
        <f>抵押物清单!F11</f>
        <v>86.99</v>
      </c>
      <c r="E10" s="3465" t="s">
        <v>4884</v>
      </c>
      <c r="F10" t="str">
        <f t="shared" si="1"/>
        <v>小高层</v>
      </c>
      <c r="G10" t="str">
        <f t="shared" si="0"/>
        <v>10层</v>
      </c>
    </row>
    <row r="11" spans="2:7">
      <c r="B11" s="3249">
        <v>8</v>
      </c>
      <c r="C11" t="str">
        <f>抵押物清单!E12</f>
        <v>22-1-302</v>
      </c>
      <c r="D11">
        <f>抵押物清单!F12</f>
        <v>89.65</v>
      </c>
      <c r="E11" s="3465" t="s">
        <v>4884</v>
      </c>
      <c r="F11" t="str">
        <f t="shared" si="1"/>
        <v>小高层</v>
      </c>
      <c r="G11" t="str">
        <f t="shared" si="0"/>
        <v>10层</v>
      </c>
    </row>
    <row r="12" spans="2:7">
      <c r="B12" s="3249">
        <v>9</v>
      </c>
      <c r="C12" t="str">
        <f>抵押物清单!E13</f>
        <v>22-1-401</v>
      </c>
      <c r="D12">
        <f>抵押物清单!F13</f>
        <v>86.99</v>
      </c>
      <c r="E12" s="3465" t="s">
        <v>4882</v>
      </c>
      <c r="F12" t="str">
        <f t="shared" si="1"/>
        <v>小高层</v>
      </c>
      <c r="G12" t="str">
        <f t="shared" si="0"/>
        <v>10层</v>
      </c>
    </row>
    <row r="13" spans="2:7">
      <c r="B13" s="3249">
        <v>10</v>
      </c>
      <c r="C13" t="str">
        <f>抵押物清单!E14</f>
        <v>22-1-402</v>
      </c>
      <c r="D13">
        <f>抵押物清单!F14</f>
        <v>89.65</v>
      </c>
      <c r="E13" s="3465" t="s">
        <v>4882</v>
      </c>
      <c r="F13" t="str">
        <f t="shared" si="1"/>
        <v>小高层</v>
      </c>
      <c r="G13" t="str">
        <f t="shared" si="0"/>
        <v>10层</v>
      </c>
    </row>
    <row r="14" spans="2:7">
      <c r="B14" s="3249">
        <v>11</v>
      </c>
      <c r="C14" t="str">
        <f>抵押物清单!E15</f>
        <v>22-1-501</v>
      </c>
      <c r="D14">
        <f>抵押物清单!F15</f>
        <v>86.99</v>
      </c>
      <c r="E14" s="3465" t="s">
        <v>4882</v>
      </c>
      <c r="F14" t="str">
        <f t="shared" si="1"/>
        <v>小高层</v>
      </c>
      <c r="G14" t="str">
        <f t="shared" si="0"/>
        <v>10层</v>
      </c>
    </row>
    <row r="15" spans="2:7">
      <c r="B15" s="3249">
        <v>12</v>
      </c>
      <c r="C15" t="str">
        <f>抵押物清单!E16</f>
        <v>22-1-601</v>
      </c>
      <c r="D15">
        <f>抵押物清单!F16</f>
        <v>86.99</v>
      </c>
      <c r="E15" s="3465" t="s">
        <v>4882</v>
      </c>
      <c r="F15" t="str">
        <f t="shared" si="1"/>
        <v>小高层</v>
      </c>
      <c r="G15" t="str">
        <f t="shared" si="0"/>
        <v>10层</v>
      </c>
    </row>
    <row r="16" spans="2:7">
      <c r="B16" s="3249">
        <v>13</v>
      </c>
      <c r="C16" t="str">
        <f>抵押物清单!E17</f>
        <v>22-1-602</v>
      </c>
      <c r="D16">
        <f>抵押物清单!F17</f>
        <v>89.65</v>
      </c>
      <c r="E16" s="3465" t="s">
        <v>4882</v>
      </c>
      <c r="F16" t="str">
        <f t="shared" si="1"/>
        <v>小高层</v>
      </c>
      <c r="G16" t="str">
        <f t="shared" si="0"/>
        <v>10层</v>
      </c>
    </row>
    <row r="17" spans="2:7">
      <c r="B17" s="3249">
        <v>14</v>
      </c>
      <c r="C17" t="str">
        <f>抵押物清单!E18</f>
        <v>22-1-701</v>
      </c>
      <c r="D17">
        <f>抵押物清单!F18</f>
        <v>86.99</v>
      </c>
      <c r="E17" s="3465" t="s">
        <v>4882</v>
      </c>
      <c r="F17" t="str">
        <f t="shared" si="1"/>
        <v>小高层</v>
      </c>
      <c r="G17" t="str">
        <f t="shared" si="0"/>
        <v>10层</v>
      </c>
    </row>
    <row r="18" spans="2:7">
      <c r="B18" s="3249">
        <v>15</v>
      </c>
      <c r="C18" t="str">
        <f>抵押物清单!E19</f>
        <v>22-1-801</v>
      </c>
      <c r="D18">
        <f>抵押物清单!F19</f>
        <v>86.99</v>
      </c>
      <c r="E18" s="3465" t="s">
        <v>4883</v>
      </c>
      <c r="F18" t="str">
        <f t="shared" si="1"/>
        <v>小高层</v>
      </c>
      <c r="G18" t="str">
        <f t="shared" si="0"/>
        <v>10层</v>
      </c>
    </row>
    <row r="19" spans="2:7">
      <c r="B19" s="3249">
        <v>16</v>
      </c>
      <c r="C19" t="str">
        <f>抵押物清单!E20</f>
        <v>22-1-901</v>
      </c>
      <c r="D19">
        <f>抵押物清单!F20</f>
        <v>86.99</v>
      </c>
      <c r="E19" s="3465" t="s">
        <v>4883</v>
      </c>
      <c r="F19" t="str">
        <f t="shared" si="1"/>
        <v>小高层</v>
      </c>
      <c r="G19" t="str">
        <f t="shared" si="0"/>
        <v>10层</v>
      </c>
    </row>
    <row r="20" spans="2:7">
      <c r="B20" s="3249">
        <v>17</v>
      </c>
      <c r="C20" t="str">
        <f>抵押物清单!E21</f>
        <v>22-1-1002</v>
      </c>
      <c r="D20">
        <f>抵押物清单!F21</f>
        <v>89.65</v>
      </c>
      <c r="E20" s="3465" t="s">
        <v>4883</v>
      </c>
      <c r="F20" t="str">
        <f t="shared" si="1"/>
        <v>小高层</v>
      </c>
      <c r="G20" t="str">
        <f t="shared" si="0"/>
        <v>10层</v>
      </c>
    </row>
    <row r="21" spans="2:7">
      <c r="B21" s="3249">
        <v>18</v>
      </c>
      <c r="C21" t="str">
        <f>抵押物清单!E22</f>
        <v>22-2-202</v>
      </c>
      <c r="D21">
        <f>抵押物清单!F22</f>
        <v>86.93</v>
      </c>
      <c r="E21" s="3465" t="s">
        <v>4884</v>
      </c>
      <c r="F21" t="str">
        <f t="shared" si="1"/>
        <v>小高层</v>
      </c>
      <c r="G21" t="str">
        <f t="shared" si="0"/>
        <v>10层</v>
      </c>
    </row>
    <row r="22" spans="2:7">
      <c r="B22" s="3249">
        <v>19</v>
      </c>
      <c r="C22" t="str">
        <f>抵押物清单!E23</f>
        <v>22-2-602</v>
      </c>
      <c r="D22">
        <f>抵押物清单!F23</f>
        <v>86.93</v>
      </c>
      <c r="E22" s="3465" t="s">
        <v>4882</v>
      </c>
      <c r="F22" t="str">
        <f t="shared" si="1"/>
        <v>小高层</v>
      </c>
      <c r="G22" t="str">
        <f t="shared" si="0"/>
        <v>10层</v>
      </c>
    </row>
    <row r="23" spans="2:7">
      <c r="B23" s="3249">
        <v>20</v>
      </c>
      <c r="C23" t="str">
        <f>抵押物清单!E24</f>
        <v>22-2-702</v>
      </c>
      <c r="D23">
        <f>抵押物清单!F24</f>
        <v>86.93</v>
      </c>
      <c r="E23" s="3465" t="s">
        <v>4882</v>
      </c>
      <c r="F23" t="str">
        <f t="shared" si="1"/>
        <v>小高层</v>
      </c>
      <c r="G23" t="str">
        <f t="shared" si="0"/>
        <v>10层</v>
      </c>
    </row>
    <row r="24" spans="2:7">
      <c r="B24" s="3249">
        <v>21</v>
      </c>
      <c r="C24" t="str">
        <f>抵押物清单!E25</f>
        <v>22-2-901</v>
      </c>
      <c r="D24">
        <f>抵押物清单!F25</f>
        <v>82.98</v>
      </c>
      <c r="E24" s="3465" t="s">
        <v>4883</v>
      </c>
      <c r="F24" t="str">
        <f t="shared" si="1"/>
        <v>小高层</v>
      </c>
      <c r="G24" t="str">
        <f t="shared" si="0"/>
        <v>10层</v>
      </c>
    </row>
    <row r="25" spans="2:7">
      <c r="B25" s="3249">
        <v>22</v>
      </c>
      <c r="C25" t="str">
        <f>抵押物清单!E26</f>
        <v>22-2-1002</v>
      </c>
      <c r="D25">
        <f>抵押物清单!F26</f>
        <v>86.93</v>
      </c>
      <c r="E25" s="3465" t="s">
        <v>4883</v>
      </c>
      <c r="F25" t="str">
        <f t="shared" si="1"/>
        <v>小高层</v>
      </c>
      <c r="G25" t="str">
        <f t="shared" si="0"/>
        <v>10层</v>
      </c>
    </row>
    <row r="26" spans="2:7">
      <c r="B26" s="3249">
        <v>23</v>
      </c>
      <c r="C26" t="str">
        <f>抵押物清单!E28</f>
        <v>21-1-201</v>
      </c>
      <c r="D26">
        <f>抵押物清单!F28</f>
        <v>87.04</v>
      </c>
      <c r="E26" s="3465" t="s">
        <v>4884</v>
      </c>
      <c r="F26" s="3465" t="s">
        <v>4879</v>
      </c>
      <c r="G26" s="3465" t="s">
        <v>4885</v>
      </c>
    </row>
    <row r="27" spans="2:7">
      <c r="B27" s="3249">
        <v>24</v>
      </c>
      <c r="C27" t="str">
        <f>抵押物清单!E29</f>
        <v>21-1-202</v>
      </c>
      <c r="D27">
        <f>抵押物清单!F29</f>
        <v>89.7</v>
      </c>
      <c r="E27" s="3465" t="s">
        <v>4884</v>
      </c>
      <c r="F27" s="3465" t="str">
        <f>F26</f>
        <v>小高层</v>
      </c>
      <c r="G27" s="3465" t="str">
        <f>G26</f>
        <v>11层</v>
      </c>
    </row>
    <row r="28" spans="2:7">
      <c r="B28" s="3249">
        <v>25</v>
      </c>
      <c r="C28" t="str">
        <f>抵押物清单!E31</f>
        <v>18-1-101</v>
      </c>
      <c r="D28">
        <f>抵押物清单!F31</f>
        <v>86.93</v>
      </c>
      <c r="E28" s="3465" t="s">
        <v>4884</v>
      </c>
      <c r="F28" s="3465" t="s">
        <v>4879</v>
      </c>
      <c r="G28" s="3465" t="s">
        <v>4880</v>
      </c>
    </row>
    <row r="29" spans="2:7">
      <c r="B29" s="3249">
        <v>26</v>
      </c>
      <c r="C29" t="str">
        <f>抵押物清单!E32</f>
        <v>18-1-201</v>
      </c>
      <c r="D29">
        <f>抵押物清单!F32</f>
        <v>86.93</v>
      </c>
      <c r="E29" s="3465" t="s">
        <v>4884</v>
      </c>
      <c r="F29" s="3465" t="s">
        <v>4879</v>
      </c>
      <c r="G29" s="3465" t="s">
        <v>4880</v>
      </c>
    </row>
    <row r="30" spans="2:7">
      <c r="B30" s="3249">
        <v>27</v>
      </c>
      <c r="C30" t="str">
        <f>抵押物清单!E33</f>
        <v>18-1-301</v>
      </c>
      <c r="D30">
        <f>抵押物清单!F33</f>
        <v>86.93</v>
      </c>
      <c r="E30" s="3465" t="s">
        <v>4884</v>
      </c>
      <c r="F30" s="3465" t="s">
        <v>4879</v>
      </c>
      <c r="G30" s="3465" t="s">
        <v>4880</v>
      </c>
    </row>
    <row r="31" spans="2:7">
      <c r="B31" s="3249">
        <v>28</v>
      </c>
      <c r="C31" t="str">
        <f>抵押物清单!E34</f>
        <v>18-1-401</v>
      </c>
      <c r="D31">
        <f>抵押物清单!F34</f>
        <v>86.93</v>
      </c>
      <c r="E31" s="3465" t="s">
        <v>4882</v>
      </c>
      <c r="F31" s="3465" t="s">
        <v>4879</v>
      </c>
      <c r="G31" s="3465" t="s">
        <v>4880</v>
      </c>
    </row>
    <row r="32" spans="2:7">
      <c r="B32" s="3249">
        <v>29</v>
      </c>
      <c r="C32" t="str">
        <f>抵押物清单!E35</f>
        <v>18-1-1001</v>
      </c>
      <c r="D32">
        <f>抵押物清单!F35</f>
        <v>86.93</v>
      </c>
      <c r="E32" s="3465" t="s">
        <v>4883</v>
      </c>
      <c r="F32" s="3465" t="s">
        <v>4879</v>
      </c>
      <c r="G32" s="3465" t="s">
        <v>4880</v>
      </c>
    </row>
    <row r="33" spans="2:7">
      <c r="B33" s="3249">
        <v>30</v>
      </c>
      <c r="C33" t="str">
        <f>抵押物清单!E36</f>
        <v>18-2-101</v>
      </c>
      <c r="D33">
        <f>抵押物清单!F36</f>
        <v>89.65</v>
      </c>
      <c r="E33" s="3465" t="s">
        <v>4884</v>
      </c>
      <c r="F33" s="3465" t="s">
        <v>4879</v>
      </c>
      <c r="G33" s="3465" t="s">
        <v>4880</v>
      </c>
    </row>
    <row r="34" spans="2:7">
      <c r="B34" s="3249">
        <v>31</v>
      </c>
      <c r="C34" t="str">
        <f>抵押物清单!E37</f>
        <v>18-2-201</v>
      </c>
      <c r="D34">
        <f>抵押物清单!F37</f>
        <v>89.65</v>
      </c>
      <c r="E34" s="3465" t="s">
        <v>4884</v>
      </c>
      <c r="F34" s="3465" t="s">
        <v>4879</v>
      </c>
      <c r="G34" s="3465" t="s">
        <v>4880</v>
      </c>
    </row>
    <row r="35" spans="2:7">
      <c r="B35" s="3249">
        <v>32</v>
      </c>
      <c r="C35" t="str">
        <f>抵押物清单!E38</f>
        <v>18-2-301</v>
      </c>
      <c r="D35">
        <f>抵押物清单!F38</f>
        <v>89.65</v>
      </c>
      <c r="E35" s="3465" t="s">
        <v>4884</v>
      </c>
      <c r="F35" s="3465" t="s">
        <v>4879</v>
      </c>
      <c r="G35" s="3465" t="s">
        <v>4880</v>
      </c>
    </row>
    <row r="36" spans="2:7">
      <c r="B36" s="3249">
        <v>33</v>
      </c>
      <c r="C36" t="str">
        <f>抵押物清单!E39</f>
        <v>18-2-1001</v>
      </c>
      <c r="D36">
        <f>抵押物清单!F39</f>
        <v>89.65</v>
      </c>
      <c r="E36" s="3465" t="s">
        <v>4883</v>
      </c>
      <c r="F36" s="3465" t="s">
        <v>4879</v>
      </c>
      <c r="G36" s="3465" t="s">
        <v>4880</v>
      </c>
    </row>
    <row r="37" spans="2:7">
      <c r="B37" s="3249">
        <v>34</v>
      </c>
      <c r="C37" t="str">
        <f>抵押物清单!E40</f>
        <v>18-2-1002</v>
      </c>
      <c r="D37">
        <f>抵押物清单!F40</f>
        <v>86.99</v>
      </c>
      <c r="E37" s="3465" t="s">
        <v>4883</v>
      </c>
      <c r="F37" s="3465" t="s">
        <v>4879</v>
      </c>
      <c r="G37" s="3465" t="s">
        <v>4880</v>
      </c>
    </row>
    <row r="38" spans="2:7">
      <c r="B38" s="3249">
        <v>35</v>
      </c>
      <c r="C38" t="str">
        <f>抵押物清单!E42</f>
        <v>17-1-101</v>
      </c>
      <c r="D38">
        <f>抵押物清单!F42</f>
        <v>87.04</v>
      </c>
      <c r="E38" s="3465" t="s">
        <v>4884</v>
      </c>
      <c r="F38" s="3465" t="s">
        <v>4879</v>
      </c>
      <c r="G38" s="3465" t="s">
        <v>4886</v>
      </c>
    </row>
    <row r="39" spans="2:7">
      <c r="B39" s="3249">
        <v>36</v>
      </c>
      <c r="C39" t="str">
        <f>抵押物清单!E43</f>
        <v>17-1-102</v>
      </c>
      <c r="D39">
        <f>抵押物清单!F43</f>
        <v>89.7</v>
      </c>
      <c r="E39" s="3465" t="s">
        <v>4884</v>
      </c>
      <c r="F39" s="3465" t="s">
        <v>4879</v>
      </c>
      <c r="G39" s="3465" t="s">
        <v>4886</v>
      </c>
    </row>
    <row r="40" spans="2:7">
      <c r="B40" s="3249">
        <v>37</v>
      </c>
      <c r="C40" t="str">
        <f>抵押物清单!E44</f>
        <v>17-1-201</v>
      </c>
      <c r="D40">
        <f>抵押物清单!F44</f>
        <v>87.04</v>
      </c>
      <c r="E40" s="3465" t="s">
        <v>4884</v>
      </c>
      <c r="F40" s="3465" t="s">
        <v>4879</v>
      </c>
      <c r="G40" s="3465" t="s">
        <v>4886</v>
      </c>
    </row>
    <row r="41" spans="2:7">
      <c r="B41" s="3249">
        <v>38</v>
      </c>
      <c r="C41" t="str">
        <f>抵押物清单!E45</f>
        <v>17-1-202</v>
      </c>
      <c r="D41">
        <f>抵押物清单!F45</f>
        <v>89.7</v>
      </c>
      <c r="E41" s="3465" t="s">
        <v>4884</v>
      </c>
      <c r="F41" s="3465" t="s">
        <v>4879</v>
      </c>
      <c r="G41" s="3465" t="s">
        <v>4886</v>
      </c>
    </row>
    <row r="42" spans="2:7">
      <c r="B42" s="3249">
        <v>39</v>
      </c>
      <c r="C42" t="str">
        <f>抵押物清单!E46</f>
        <v>17-1-301</v>
      </c>
      <c r="D42">
        <f>抵押物清单!F46</f>
        <v>87.04</v>
      </c>
      <c r="E42" s="3465" t="s">
        <v>4884</v>
      </c>
      <c r="F42" s="3465" t="s">
        <v>4879</v>
      </c>
      <c r="G42" s="3465" t="s">
        <v>4886</v>
      </c>
    </row>
    <row r="43" spans="2:7">
      <c r="B43" s="3249">
        <v>40</v>
      </c>
      <c r="C43" t="str">
        <f>抵押物清单!E47</f>
        <v>17-1-302</v>
      </c>
      <c r="D43">
        <f>抵押物清单!F47</f>
        <v>89.7</v>
      </c>
      <c r="E43" s="3465" t="s">
        <v>4884</v>
      </c>
      <c r="F43" s="3465" t="s">
        <v>4879</v>
      </c>
      <c r="G43" s="3465" t="s">
        <v>4886</v>
      </c>
    </row>
    <row r="44" spans="2:7">
      <c r="B44" s="3249">
        <v>41</v>
      </c>
      <c r="C44" t="str">
        <f>抵押物清单!E48</f>
        <v>17-1-401</v>
      </c>
      <c r="D44">
        <f>抵押物清单!F48</f>
        <v>87.04</v>
      </c>
      <c r="E44" s="3465" t="s">
        <v>4882</v>
      </c>
      <c r="F44" s="3465" t="s">
        <v>4879</v>
      </c>
      <c r="G44" s="3465" t="s">
        <v>4886</v>
      </c>
    </row>
    <row r="45" spans="2:7">
      <c r="B45" s="3249">
        <v>42</v>
      </c>
      <c r="C45" t="str">
        <f>抵押物清单!E49</f>
        <v>17-1-501</v>
      </c>
      <c r="D45">
        <f>抵押物清单!F49</f>
        <v>87.04</v>
      </c>
      <c r="E45" s="3465" t="s">
        <v>4882</v>
      </c>
      <c r="F45" s="3465" t="s">
        <v>4879</v>
      </c>
      <c r="G45" s="3465" t="s">
        <v>4886</v>
      </c>
    </row>
    <row r="46" spans="2:7">
      <c r="B46" s="3249">
        <v>43</v>
      </c>
      <c r="C46" t="str">
        <f>抵押物清单!E50</f>
        <v>17-1-601</v>
      </c>
      <c r="D46">
        <f>抵押物清单!F50</f>
        <v>87.04</v>
      </c>
      <c r="E46" s="3465" t="s">
        <v>4882</v>
      </c>
      <c r="F46" s="3465" t="s">
        <v>4879</v>
      </c>
      <c r="G46" s="3465" t="s">
        <v>4886</v>
      </c>
    </row>
    <row r="47" spans="2:7">
      <c r="B47" s="3249">
        <v>44</v>
      </c>
      <c r="C47" t="str">
        <f>抵押物清单!E51</f>
        <v>17-1-701</v>
      </c>
      <c r="D47">
        <f>抵押物清单!F51</f>
        <v>87.04</v>
      </c>
      <c r="E47" s="3465" t="s">
        <v>4882</v>
      </c>
      <c r="F47" s="3465" t="s">
        <v>4879</v>
      </c>
      <c r="G47" s="3465" t="s">
        <v>4886</v>
      </c>
    </row>
    <row r="48" spans="2:7">
      <c r="B48" s="3249">
        <v>45</v>
      </c>
      <c r="C48" t="str">
        <f>抵押物清单!E52</f>
        <v>17-1-801</v>
      </c>
      <c r="D48">
        <f>抵押物清单!F52</f>
        <v>87.04</v>
      </c>
      <c r="E48" s="3465" t="s">
        <v>4883</v>
      </c>
      <c r="F48" s="3465" t="s">
        <v>4879</v>
      </c>
      <c r="G48" s="3465" t="s">
        <v>4886</v>
      </c>
    </row>
    <row r="49" spans="2:7">
      <c r="B49" s="3249">
        <v>46</v>
      </c>
      <c r="C49" t="str">
        <f>抵押物清单!E53</f>
        <v>17-1-1101</v>
      </c>
      <c r="D49">
        <f>抵押物清单!F53</f>
        <v>87.04</v>
      </c>
      <c r="E49" s="3465" t="s">
        <v>4883</v>
      </c>
      <c r="F49" s="3465" t="s">
        <v>4879</v>
      </c>
      <c r="G49" s="3465" t="s">
        <v>4886</v>
      </c>
    </row>
    <row r="50" spans="2:7">
      <c r="B50" s="3249">
        <v>47</v>
      </c>
      <c r="C50" t="str">
        <f>抵押物清单!E54</f>
        <v>17-1-1102</v>
      </c>
      <c r="D50">
        <f>抵押物清单!F54</f>
        <v>89.7</v>
      </c>
      <c r="E50" s="3465" t="s">
        <v>4883</v>
      </c>
      <c r="F50" s="3465" t="s">
        <v>4879</v>
      </c>
      <c r="G50" s="3465" t="s">
        <v>4886</v>
      </c>
    </row>
    <row r="51" spans="2:7">
      <c r="B51" s="3249">
        <v>48</v>
      </c>
      <c r="C51" t="str">
        <f>抵押物清单!E55</f>
        <v>17-2-101</v>
      </c>
      <c r="D51">
        <f>抵押物清单!F55</f>
        <v>89.7</v>
      </c>
      <c r="E51" s="3465" t="s">
        <v>4884</v>
      </c>
      <c r="F51" s="3465" t="s">
        <v>4879</v>
      </c>
      <c r="G51" s="3465" t="s">
        <v>4886</v>
      </c>
    </row>
    <row r="52" spans="2:7">
      <c r="B52" s="3249">
        <v>49</v>
      </c>
      <c r="C52" t="str">
        <f>抵押物清单!E56</f>
        <v>17-2-102</v>
      </c>
      <c r="D52">
        <f>抵押物清单!F56</f>
        <v>87.04</v>
      </c>
      <c r="E52" s="3465" t="s">
        <v>4884</v>
      </c>
      <c r="F52" s="3465" t="s">
        <v>4879</v>
      </c>
      <c r="G52" s="3465" t="s">
        <v>4886</v>
      </c>
    </row>
    <row r="53" spans="2:7">
      <c r="B53" s="3249">
        <v>50</v>
      </c>
      <c r="C53" t="str">
        <f>抵押物清单!E57</f>
        <v>17-2-201</v>
      </c>
      <c r="D53">
        <f>抵押物清单!F57</f>
        <v>89.7</v>
      </c>
      <c r="E53" s="3465" t="s">
        <v>4884</v>
      </c>
      <c r="F53" s="3465" t="s">
        <v>4879</v>
      </c>
      <c r="G53" s="3465" t="s">
        <v>4886</v>
      </c>
    </row>
    <row r="54" spans="2:7">
      <c r="B54" s="3249">
        <v>51</v>
      </c>
      <c r="C54" t="str">
        <f>抵押物清单!E58</f>
        <v>17-2-202</v>
      </c>
      <c r="D54">
        <f>抵押物清单!F58</f>
        <v>87.04</v>
      </c>
      <c r="E54" s="3465" t="s">
        <v>4884</v>
      </c>
      <c r="F54" s="3465" t="s">
        <v>4879</v>
      </c>
      <c r="G54" s="3465" t="s">
        <v>4886</v>
      </c>
    </row>
    <row r="55" spans="2:7">
      <c r="B55" s="3249">
        <v>52</v>
      </c>
      <c r="C55" t="str">
        <f>抵押物清单!E59</f>
        <v>17-2-301</v>
      </c>
      <c r="D55">
        <f>抵押物清单!F59</f>
        <v>89.7</v>
      </c>
      <c r="E55" s="3465" t="s">
        <v>4884</v>
      </c>
      <c r="F55" s="3465" t="s">
        <v>4879</v>
      </c>
      <c r="G55" s="3465" t="s">
        <v>4886</v>
      </c>
    </row>
    <row r="56" spans="2:7">
      <c r="B56" s="3249">
        <v>53</v>
      </c>
      <c r="C56" t="str">
        <f>抵押物清单!E60</f>
        <v>17-2-302</v>
      </c>
      <c r="D56">
        <f>抵押物清单!F60</f>
        <v>87.04</v>
      </c>
      <c r="E56" s="3465" t="s">
        <v>4884</v>
      </c>
      <c r="F56" s="3465" t="s">
        <v>4879</v>
      </c>
      <c r="G56" s="3465" t="s">
        <v>4886</v>
      </c>
    </row>
    <row r="57" spans="2:7">
      <c r="B57" s="3249">
        <v>54</v>
      </c>
      <c r="C57" t="str">
        <f>抵押物清单!E61</f>
        <v>17-2-402</v>
      </c>
      <c r="D57">
        <f>抵押物清单!F61</f>
        <v>87.04</v>
      </c>
      <c r="E57" s="3465" t="s">
        <v>4882</v>
      </c>
      <c r="F57" s="3465" t="s">
        <v>4879</v>
      </c>
      <c r="G57" s="3465" t="s">
        <v>4886</v>
      </c>
    </row>
    <row r="58" spans="2:7">
      <c r="B58" s="3249">
        <v>55</v>
      </c>
      <c r="C58" t="str">
        <f>抵押物清单!E62</f>
        <v>17-2-502</v>
      </c>
      <c r="D58">
        <f>抵押物清单!F62</f>
        <v>87.04</v>
      </c>
      <c r="E58" s="3465" t="s">
        <v>4882</v>
      </c>
      <c r="F58" s="3465" t="s">
        <v>4879</v>
      </c>
      <c r="G58" s="3465" t="s">
        <v>4886</v>
      </c>
    </row>
    <row r="59" spans="2:7">
      <c r="B59" s="3249">
        <v>56</v>
      </c>
      <c r="C59" t="str">
        <f>抵押物清单!E63</f>
        <v>17-2-602</v>
      </c>
      <c r="D59">
        <f>抵押物清单!F63</f>
        <v>87.04</v>
      </c>
      <c r="E59" s="3465" t="s">
        <v>4882</v>
      </c>
      <c r="F59" s="3465" t="s">
        <v>4879</v>
      </c>
      <c r="G59" s="3465" t="s">
        <v>4886</v>
      </c>
    </row>
    <row r="60" spans="2:7">
      <c r="B60" s="3249">
        <v>57</v>
      </c>
      <c r="C60" t="str">
        <f>抵押物清单!E64</f>
        <v>17-2-802</v>
      </c>
      <c r="D60">
        <f>抵押物清单!F64</f>
        <v>87.04</v>
      </c>
      <c r="E60" s="3465" t="s">
        <v>4883</v>
      </c>
      <c r="F60" s="3465" t="s">
        <v>4879</v>
      </c>
      <c r="G60" s="3465" t="s">
        <v>4886</v>
      </c>
    </row>
    <row r="61" spans="2:7">
      <c r="B61" s="3249">
        <v>58</v>
      </c>
      <c r="C61" t="str">
        <f>抵押物清单!E65</f>
        <v>17-2-1001</v>
      </c>
      <c r="D61">
        <f>抵押物清单!F65</f>
        <v>89.7</v>
      </c>
      <c r="E61" s="3465" t="s">
        <v>4883</v>
      </c>
      <c r="F61" s="3465" t="s">
        <v>4879</v>
      </c>
      <c r="G61" s="3465" t="s">
        <v>4886</v>
      </c>
    </row>
    <row r="62" spans="2:7">
      <c r="B62" s="3249">
        <v>59</v>
      </c>
      <c r="C62" t="str">
        <f>抵押物清单!E66</f>
        <v>17-2-1102</v>
      </c>
      <c r="D62">
        <f>抵押物清单!F66</f>
        <v>87.04</v>
      </c>
      <c r="E62" s="3465" t="s">
        <v>4883</v>
      </c>
      <c r="F62" s="3465" t="s">
        <v>4879</v>
      </c>
      <c r="G62" s="3465" t="s">
        <v>4886</v>
      </c>
    </row>
    <row r="63" spans="2:7">
      <c r="B63" s="3249">
        <v>60</v>
      </c>
      <c r="C63" t="str">
        <f>抵押物清单!E68</f>
        <v>15-1-101</v>
      </c>
      <c r="D63">
        <f>抵押物清单!F68</f>
        <v>84.16</v>
      </c>
      <c r="E63" s="3465" t="s">
        <v>4884</v>
      </c>
      <c r="F63" t="str">
        <f>F62</f>
        <v>小高层</v>
      </c>
      <c r="G63" s="3465" t="s">
        <v>4886</v>
      </c>
    </row>
    <row r="64" spans="2:7">
      <c r="B64" s="3249">
        <v>61</v>
      </c>
      <c r="C64" t="str">
        <f>抵押物清单!E69</f>
        <v>15-1-102</v>
      </c>
      <c r="D64">
        <f>抵押物清单!F69</f>
        <v>109.42</v>
      </c>
      <c r="E64" s="3465" t="s">
        <v>4884</v>
      </c>
      <c r="F64" t="str">
        <f t="shared" ref="F64:F127" si="2">F63</f>
        <v>小高层</v>
      </c>
      <c r="G64" s="3465" t="s">
        <v>4886</v>
      </c>
    </row>
    <row r="65" spans="2:7">
      <c r="B65" s="3249">
        <v>62</v>
      </c>
      <c r="C65" t="str">
        <f>抵押物清单!E70</f>
        <v>15-1-201</v>
      </c>
      <c r="D65">
        <f>抵押物清单!F70</f>
        <v>84.16</v>
      </c>
      <c r="E65" s="3465" t="s">
        <v>4884</v>
      </c>
      <c r="F65" t="str">
        <f t="shared" si="2"/>
        <v>小高层</v>
      </c>
      <c r="G65" s="3465" t="s">
        <v>4886</v>
      </c>
    </row>
    <row r="66" spans="2:7">
      <c r="B66" s="3249">
        <v>63</v>
      </c>
      <c r="C66" t="str">
        <f>抵押物清单!E71</f>
        <v>15-1-301</v>
      </c>
      <c r="D66">
        <f>抵押物清单!F71</f>
        <v>84.16</v>
      </c>
      <c r="E66" s="3465" t="s">
        <v>4884</v>
      </c>
      <c r="F66" t="str">
        <f t="shared" si="2"/>
        <v>小高层</v>
      </c>
      <c r="G66" s="3465" t="s">
        <v>4886</v>
      </c>
    </row>
    <row r="67" spans="2:7">
      <c r="B67" s="3249">
        <v>64</v>
      </c>
      <c r="C67" t="str">
        <f>抵押物清单!E72</f>
        <v>15-1-401</v>
      </c>
      <c r="D67">
        <f>抵押物清单!F72</f>
        <v>84.16</v>
      </c>
      <c r="E67" s="3465" t="s">
        <v>4882</v>
      </c>
      <c r="F67" t="str">
        <f t="shared" si="2"/>
        <v>小高层</v>
      </c>
      <c r="G67" s="3465" t="s">
        <v>4886</v>
      </c>
    </row>
    <row r="68" spans="2:7">
      <c r="B68" s="3249">
        <v>65</v>
      </c>
      <c r="C68" t="str">
        <f>抵押物清单!E73</f>
        <v>15-1-501</v>
      </c>
      <c r="D68">
        <f>抵押物清单!F73</f>
        <v>84.16</v>
      </c>
      <c r="E68" s="3465" t="s">
        <v>4882</v>
      </c>
      <c r="F68" t="str">
        <f t="shared" si="2"/>
        <v>小高层</v>
      </c>
      <c r="G68" s="3465" t="s">
        <v>4886</v>
      </c>
    </row>
    <row r="69" spans="2:7">
      <c r="B69" s="3249">
        <v>66</v>
      </c>
      <c r="C69" t="str">
        <f>抵押物清单!E74</f>
        <v>15-1-502</v>
      </c>
      <c r="D69">
        <f>抵押物清单!F74</f>
        <v>109.42</v>
      </c>
      <c r="E69" s="3465" t="s">
        <v>4882</v>
      </c>
      <c r="F69" t="str">
        <f t="shared" si="2"/>
        <v>小高层</v>
      </c>
      <c r="G69" s="3465" t="s">
        <v>4886</v>
      </c>
    </row>
    <row r="70" spans="2:7">
      <c r="B70" s="3249">
        <v>67</v>
      </c>
      <c r="C70" t="str">
        <f>抵押物清单!E75</f>
        <v>15-1-601</v>
      </c>
      <c r="D70">
        <f>抵押物清单!F75</f>
        <v>84.16</v>
      </c>
      <c r="E70" s="3465" t="s">
        <v>4882</v>
      </c>
      <c r="F70" t="str">
        <f t="shared" si="2"/>
        <v>小高层</v>
      </c>
      <c r="G70" s="3465" t="s">
        <v>4886</v>
      </c>
    </row>
    <row r="71" spans="2:7">
      <c r="B71" s="3249">
        <v>68</v>
      </c>
      <c r="C71" t="str">
        <f>抵押物清单!E76</f>
        <v>15-1-701</v>
      </c>
      <c r="D71">
        <f>抵押物清单!F76</f>
        <v>84.16</v>
      </c>
      <c r="E71" s="3465" t="s">
        <v>4882</v>
      </c>
      <c r="F71" t="str">
        <f t="shared" si="2"/>
        <v>小高层</v>
      </c>
      <c r="G71" s="3465" t="s">
        <v>4886</v>
      </c>
    </row>
    <row r="72" spans="2:7">
      <c r="B72" s="3249">
        <v>69</v>
      </c>
      <c r="C72" t="str">
        <f>抵押物清单!E77</f>
        <v>15-1-801</v>
      </c>
      <c r="D72">
        <f>抵押物清单!F77</f>
        <v>84.16</v>
      </c>
      <c r="E72" s="3465" t="s">
        <v>4883</v>
      </c>
      <c r="F72" t="str">
        <f t="shared" si="2"/>
        <v>小高层</v>
      </c>
      <c r="G72" s="3465" t="s">
        <v>4886</v>
      </c>
    </row>
    <row r="73" spans="2:7">
      <c r="B73" s="3249">
        <v>70</v>
      </c>
      <c r="C73" t="str">
        <f>抵押物清单!E78</f>
        <v>15-1-901</v>
      </c>
      <c r="D73">
        <f>抵押物清单!F78</f>
        <v>84.16</v>
      </c>
      <c r="E73" s="3465" t="s">
        <v>4883</v>
      </c>
      <c r="F73" t="str">
        <f t="shared" si="2"/>
        <v>小高层</v>
      </c>
      <c r="G73" s="3465" t="s">
        <v>4886</v>
      </c>
    </row>
    <row r="74" spans="2:7">
      <c r="B74" s="3249">
        <v>71</v>
      </c>
      <c r="C74" t="str">
        <f>抵押物清单!E79</f>
        <v>15-1-1001</v>
      </c>
      <c r="D74">
        <f>抵押物清单!F79</f>
        <v>84.16</v>
      </c>
      <c r="E74" s="3465" t="s">
        <v>4883</v>
      </c>
      <c r="F74" t="str">
        <f t="shared" si="2"/>
        <v>小高层</v>
      </c>
      <c r="G74" s="3465" t="s">
        <v>4886</v>
      </c>
    </row>
    <row r="75" spans="2:7">
      <c r="B75" s="3249">
        <v>72</v>
      </c>
      <c r="C75" t="str">
        <f>抵押物清单!E80</f>
        <v>15-1-1101</v>
      </c>
      <c r="D75">
        <f>抵押物清单!F80</f>
        <v>84.16</v>
      </c>
      <c r="E75" s="3465" t="s">
        <v>4883</v>
      </c>
      <c r="F75" t="str">
        <f t="shared" si="2"/>
        <v>小高层</v>
      </c>
      <c r="G75" s="3465" t="s">
        <v>4886</v>
      </c>
    </row>
    <row r="76" spans="2:7">
      <c r="B76" s="3249">
        <v>73</v>
      </c>
      <c r="C76" t="str">
        <f>抵押物清单!E81</f>
        <v>15-2-102</v>
      </c>
      <c r="D76">
        <f>抵押物清单!F81</f>
        <v>168.31</v>
      </c>
      <c r="E76" s="3465" t="s">
        <v>4884</v>
      </c>
      <c r="F76" t="str">
        <f t="shared" si="2"/>
        <v>小高层</v>
      </c>
      <c r="G76" s="3465" t="s">
        <v>4886</v>
      </c>
    </row>
    <row r="77" spans="2:7">
      <c r="B77" s="3249">
        <v>74</v>
      </c>
      <c r="C77" t="str">
        <f>抵押物清单!E82</f>
        <v>15-2-302</v>
      </c>
      <c r="D77">
        <f>抵押物清单!F82</f>
        <v>84.16</v>
      </c>
      <c r="E77" s="3465" t="s">
        <v>4884</v>
      </c>
      <c r="F77" t="str">
        <f t="shared" si="2"/>
        <v>小高层</v>
      </c>
      <c r="G77" s="3465" t="s">
        <v>4886</v>
      </c>
    </row>
    <row r="78" spans="2:7">
      <c r="B78" s="3249">
        <v>75</v>
      </c>
      <c r="C78" t="str">
        <f>抵押物清单!E83</f>
        <v>15-2-402</v>
      </c>
      <c r="D78">
        <f>抵押物清单!F83</f>
        <v>84.16</v>
      </c>
      <c r="E78" s="3465" t="s">
        <v>4882</v>
      </c>
      <c r="F78" t="str">
        <f t="shared" si="2"/>
        <v>小高层</v>
      </c>
      <c r="G78" s="3465" t="s">
        <v>4886</v>
      </c>
    </row>
    <row r="79" spans="2:7">
      <c r="B79" s="3249">
        <v>76</v>
      </c>
      <c r="C79" t="str">
        <f>抵押物清单!E84</f>
        <v>15-2-502</v>
      </c>
      <c r="D79">
        <f>抵押物清单!F84</f>
        <v>84.16</v>
      </c>
      <c r="E79" s="3465" t="s">
        <v>4882</v>
      </c>
      <c r="F79" t="str">
        <f t="shared" si="2"/>
        <v>小高层</v>
      </c>
      <c r="G79" s="3465" t="s">
        <v>4886</v>
      </c>
    </row>
    <row r="80" spans="2:7">
      <c r="B80" s="3249">
        <v>77</v>
      </c>
      <c r="C80" t="str">
        <f>抵押物清单!E85</f>
        <v>15-2-602</v>
      </c>
      <c r="D80">
        <f>抵押物清单!F85</f>
        <v>84.16</v>
      </c>
      <c r="E80" s="3465" t="s">
        <v>4882</v>
      </c>
      <c r="F80" t="str">
        <f t="shared" si="2"/>
        <v>小高层</v>
      </c>
      <c r="G80" s="3465" t="s">
        <v>4886</v>
      </c>
    </row>
    <row r="81" spans="2:7">
      <c r="B81" s="3249">
        <v>78</v>
      </c>
      <c r="C81" t="str">
        <f>抵押物清单!E86</f>
        <v>15-2-702</v>
      </c>
      <c r="D81">
        <f>抵押物清单!F86</f>
        <v>84.16</v>
      </c>
      <c r="E81" s="3465" t="s">
        <v>4882</v>
      </c>
      <c r="F81" t="str">
        <f t="shared" si="2"/>
        <v>小高层</v>
      </c>
      <c r="G81" s="3465" t="s">
        <v>4886</v>
      </c>
    </row>
    <row r="82" spans="2:7">
      <c r="B82" s="3249">
        <v>79</v>
      </c>
      <c r="C82" t="str">
        <f>抵押物清单!E87</f>
        <v>15-2-802</v>
      </c>
      <c r="D82">
        <f>抵押物清单!F87</f>
        <v>84.16</v>
      </c>
      <c r="E82" s="3465" t="s">
        <v>4883</v>
      </c>
      <c r="F82" t="str">
        <f t="shared" si="2"/>
        <v>小高层</v>
      </c>
      <c r="G82" s="3465" t="s">
        <v>4886</v>
      </c>
    </row>
    <row r="83" spans="2:7">
      <c r="B83" s="3249">
        <v>80</v>
      </c>
      <c r="C83" t="str">
        <f>抵押物清单!E88</f>
        <v>15-2-902</v>
      </c>
      <c r="D83">
        <f>抵押物清单!F88</f>
        <v>84.16</v>
      </c>
      <c r="E83" s="3465" t="s">
        <v>4883</v>
      </c>
      <c r="F83" t="str">
        <f t="shared" si="2"/>
        <v>小高层</v>
      </c>
      <c r="G83" s="3465" t="s">
        <v>4886</v>
      </c>
    </row>
    <row r="84" spans="2:7">
      <c r="B84" s="3249">
        <v>81</v>
      </c>
      <c r="C84" t="str">
        <f>抵押物清单!E89</f>
        <v>15-2-1002</v>
      </c>
      <c r="D84">
        <f>抵押物清单!F89</f>
        <v>84.16</v>
      </c>
      <c r="E84" s="3465" t="s">
        <v>4883</v>
      </c>
      <c r="F84" t="str">
        <f t="shared" si="2"/>
        <v>小高层</v>
      </c>
      <c r="G84" s="3465" t="s">
        <v>4886</v>
      </c>
    </row>
    <row r="85" spans="2:7">
      <c r="B85" s="3249">
        <v>82</v>
      </c>
      <c r="C85" t="str">
        <f>抵押物清单!E90</f>
        <v>15-2-1101</v>
      </c>
      <c r="D85">
        <f>抵押物清单!F90</f>
        <v>109.42</v>
      </c>
      <c r="E85" s="3465" t="s">
        <v>4883</v>
      </c>
      <c r="F85" t="str">
        <f t="shared" si="2"/>
        <v>小高层</v>
      </c>
      <c r="G85" s="3465" t="s">
        <v>4886</v>
      </c>
    </row>
    <row r="86" spans="2:7">
      <c r="B86" s="3249">
        <v>83</v>
      </c>
      <c r="C86" t="str">
        <f>抵押物清单!E91</f>
        <v>15-2-1102</v>
      </c>
      <c r="D86">
        <f>抵押物清单!F91</f>
        <v>84.16</v>
      </c>
      <c r="E86" s="3465" t="s">
        <v>4883</v>
      </c>
      <c r="F86" t="str">
        <f t="shared" si="2"/>
        <v>小高层</v>
      </c>
      <c r="G86" s="3465" t="s">
        <v>4886</v>
      </c>
    </row>
    <row r="87" spans="2:7">
      <c r="B87" s="3249">
        <v>84</v>
      </c>
      <c r="C87" t="str">
        <f>抵押物清单!E93</f>
        <v>16-1-101</v>
      </c>
      <c r="D87">
        <f>抵押物清单!F93</f>
        <v>87.04</v>
      </c>
      <c r="E87" s="3465" t="s">
        <v>4884</v>
      </c>
      <c r="F87" t="str">
        <f t="shared" si="2"/>
        <v>小高层</v>
      </c>
      <c r="G87" s="3465" t="s">
        <v>4886</v>
      </c>
    </row>
    <row r="88" spans="2:7">
      <c r="B88" s="3249">
        <v>85</v>
      </c>
      <c r="C88" t="str">
        <f>抵押物清单!E94</f>
        <v>16-1-102</v>
      </c>
      <c r="D88">
        <f>抵押物清单!F94</f>
        <v>89.7</v>
      </c>
      <c r="E88" s="3465" t="s">
        <v>4884</v>
      </c>
      <c r="F88" t="str">
        <f t="shared" si="2"/>
        <v>小高层</v>
      </c>
      <c r="G88" s="3465" t="s">
        <v>4886</v>
      </c>
    </row>
    <row r="89" spans="2:7">
      <c r="B89" s="3249">
        <v>86</v>
      </c>
      <c r="C89" t="str">
        <f>抵押物清单!E95</f>
        <v>16-1-201</v>
      </c>
      <c r="D89">
        <f>抵押物清单!F95</f>
        <v>87.04</v>
      </c>
      <c r="E89" s="3465" t="s">
        <v>4884</v>
      </c>
      <c r="F89" t="str">
        <f t="shared" si="2"/>
        <v>小高层</v>
      </c>
      <c r="G89" s="3465" t="s">
        <v>4886</v>
      </c>
    </row>
    <row r="90" spans="2:7">
      <c r="B90" s="3249">
        <v>87</v>
      </c>
      <c r="C90" t="str">
        <f>抵押物清单!E96</f>
        <v>16-1-202</v>
      </c>
      <c r="D90">
        <f>抵押物清单!F96</f>
        <v>89.7</v>
      </c>
      <c r="E90" s="3465" t="s">
        <v>4884</v>
      </c>
      <c r="F90" t="str">
        <f t="shared" si="2"/>
        <v>小高层</v>
      </c>
      <c r="G90" s="3465" t="s">
        <v>4886</v>
      </c>
    </row>
    <row r="91" spans="2:7">
      <c r="B91" s="3249">
        <v>88</v>
      </c>
      <c r="C91" t="str">
        <f>抵押物清单!E97</f>
        <v>16-1-301</v>
      </c>
      <c r="D91">
        <f>抵押物清单!F97</f>
        <v>87.04</v>
      </c>
      <c r="E91" s="3465" t="s">
        <v>4884</v>
      </c>
      <c r="F91" t="str">
        <f t="shared" si="2"/>
        <v>小高层</v>
      </c>
      <c r="G91" s="3465" t="s">
        <v>4886</v>
      </c>
    </row>
    <row r="92" spans="2:7">
      <c r="B92" s="3249">
        <v>89</v>
      </c>
      <c r="C92" t="str">
        <f>抵押物清单!E98</f>
        <v>16-1-401</v>
      </c>
      <c r="D92">
        <f>抵押物清单!F98</f>
        <v>87.04</v>
      </c>
      <c r="E92" s="3465" t="s">
        <v>4882</v>
      </c>
      <c r="F92" t="str">
        <f t="shared" si="2"/>
        <v>小高层</v>
      </c>
      <c r="G92" s="3465" t="s">
        <v>4886</v>
      </c>
    </row>
    <row r="93" spans="2:7">
      <c r="B93" s="3249">
        <v>90</v>
      </c>
      <c r="C93" t="str">
        <f>抵押物清单!E99</f>
        <v>16-1-501</v>
      </c>
      <c r="D93">
        <f>抵押物清单!F99</f>
        <v>87.04</v>
      </c>
      <c r="E93" s="3465" t="s">
        <v>4882</v>
      </c>
      <c r="F93" t="str">
        <f t="shared" si="2"/>
        <v>小高层</v>
      </c>
      <c r="G93" s="3465" t="s">
        <v>4886</v>
      </c>
    </row>
    <row r="94" spans="2:7">
      <c r="B94" s="3249">
        <v>91</v>
      </c>
      <c r="C94" t="str">
        <f>抵押物清单!E100</f>
        <v>16-1-601</v>
      </c>
      <c r="D94">
        <f>抵押物清单!F100</f>
        <v>87.04</v>
      </c>
      <c r="E94" s="3465" t="s">
        <v>4882</v>
      </c>
      <c r="F94" t="str">
        <f t="shared" si="2"/>
        <v>小高层</v>
      </c>
      <c r="G94" s="3465" t="s">
        <v>4886</v>
      </c>
    </row>
    <row r="95" spans="2:7">
      <c r="B95" s="3249">
        <v>92</v>
      </c>
      <c r="C95" t="str">
        <f>抵押物清单!E101</f>
        <v>16-1-701</v>
      </c>
      <c r="D95">
        <f>抵押物清单!F101</f>
        <v>87.04</v>
      </c>
      <c r="E95" s="3465" t="s">
        <v>4882</v>
      </c>
      <c r="F95" t="str">
        <f t="shared" si="2"/>
        <v>小高层</v>
      </c>
      <c r="G95" s="3465" t="s">
        <v>4886</v>
      </c>
    </row>
    <row r="96" spans="2:7">
      <c r="B96" s="3249">
        <v>93</v>
      </c>
      <c r="C96" t="str">
        <f>抵押物清单!E102</f>
        <v>16-1-801</v>
      </c>
      <c r="D96">
        <f>抵押物清单!F102</f>
        <v>87.04</v>
      </c>
      <c r="E96" s="3465" t="s">
        <v>4883</v>
      </c>
      <c r="F96" t="str">
        <f t="shared" si="2"/>
        <v>小高层</v>
      </c>
      <c r="G96" s="3465" t="s">
        <v>4886</v>
      </c>
    </row>
    <row r="97" spans="2:7">
      <c r="B97" s="3249">
        <v>94</v>
      </c>
      <c r="C97" t="str">
        <f>抵押物清单!E103</f>
        <v>16-1-901</v>
      </c>
      <c r="D97">
        <f>抵押物清单!F103</f>
        <v>87.04</v>
      </c>
      <c r="E97" s="3465" t="s">
        <v>4883</v>
      </c>
      <c r="F97" t="str">
        <f t="shared" si="2"/>
        <v>小高层</v>
      </c>
      <c r="G97" s="3465" t="s">
        <v>4886</v>
      </c>
    </row>
    <row r="98" spans="2:7">
      <c r="B98" s="3249">
        <v>95</v>
      </c>
      <c r="C98" t="str">
        <f>抵押物清单!E104</f>
        <v>16-1-1001</v>
      </c>
      <c r="D98">
        <f>抵押物清单!F104</f>
        <v>87.04</v>
      </c>
      <c r="E98" s="3465" t="s">
        <v>4883</v>
      </c>
      <c r="F98" t="str">
        <f t="shared" si="2"/>
        <v>小高层</v>
      </c>
      <c r="G98" s="3465" t="s">
        <v>4886</v>
      </c>
    </row>
    <row r="99" spans="2:7">
      <c r="B99" s="3249">
        <v>96</v>
      </c>
      <c r="C99" t="str">
        <f>抵押物清单!E105</f>
        <v>16-1-1101</v>
      </c>
      <c r="D99">
        <f>抵押物清单!F105</f>
        <v>87.04</v>
      </c>
      <c r="E99" s="3465" t="s">
        <v>4883</v>
      </c>
      <c r="F99" t="str">
        <f t="shared" si="2"/>
        <v>小高层</v>
      </c>
      <c r="G99" s="3465" t="s">
        <v>4886</v>
      </c>
    </row>
    <row r="100" spans="2:7">
      <c r="B100" s="3249">
        <v>97</v>
      </c>
      <c r="C100" t="str">
        <f>抵押物清单!E106</f>
        <v>16-2-101</v>
      </c>
      <c r="D100">
        <f>抵押物清单!F106</f>
        <v>89.7</v>
      </c>
      <c r="E100" s="3465" t="s">
        <v>4884</v>
      </c>
      <c r="F100" t="str">
        <f t="shared" si="2"/>
        <v>小高层</v>
      </c>
      <c r="G100" s="3465" t="s">
        <v>4886</v>
      </c>
    </row>
    <row r="101" spans="2:7">
      <c r="B101" s="3249">
        <v>98</v>
      </c>
      <c r="C101" t="str">
        <f>抵押物清单!E107</f>
        <v>16-2-102</v>
      </c>
      <c r="D101">
        <f>抵押物清单!F107</f>
        <v>87.04</v>
      </c>
      <c r="E101" s="3465" t="s">
        <v>4884</v>
      </c>
      <c r="F101" t="str">
        <f t="shared" si="2"/>
        <v>小高层</v>
      </c>
      <c r="G101" s="3465" t="s">
        <v>4886</v>
      </c>
    </row>
    <row r="102" spans="2:7">
      <c r="B102" s="3249">
        <v>99</v>
      </c>
      <c r="C102" t="str">
        <f>抵押物清单!E108</f>
        <v>16-2-201</v>
      </c>
      <c r="D102">
        <f>抵押物清单!F108</f>
        <v>89.7</v>
      </c>
      <c r="E102" s="3465" t="s">
        <v>4884</v>
      </c>
      <c r="F102" t="str">
        <f t="shared" si="2"/>
        <v>小高层</v>
      </c>
      <c r="G102" s="3465" t="s">
        <v>4886</v>
      </c>
    </row>
    <row r="103" spans="2:7">
      <c r="B103" s="3249">
        <v>100</v>
      </c>
      <c r="C103" t="str">
        <f>抵押物清单!E109</f>
        <v>16-2-202</v>
      </c>
      <c r="D103">
        <f>抵押物清单!F109</f>
        <v>87.04</v>
      </c>
      <c r="E103" s="3465" t="s">
        <v>4884</v>
      </c>
      <c r="F103" t="str">
        <f t="shared" si="2"/>
        <v>小高层</v>
      </c>
      <c r="G103" s="3465" t="s">
        <v>4886</v>
      </c>
    </row>
    <row r="104" spans="2:7">
      <c r="B104" s="3249">
        <v>101</v>
      </c>
      <c r="C104" t="str">
        <f>抵押物清单!E110</f>
        <v>16-2-301</v>
      </c>
      <c r="D104">
        <f>抵押物清单!F110</f>
        <v>89.7</v>
      </c>
      <c r="E104" s="3465" t="s">
        <v>4884</v>
      </c>
      <c r="F104" t="str">
        <f t="shared" si="2"/>
        <v>小高层</v>
      </c>
      <c r="G104" s="3465" t="s">
        <v>4886</v>
      </c>
    </row>
    <row r="105" spans="2:7">
      <c r="B105" s="3249">
        <v>102</v>
      </c>
      <c r="C105" t="str">
        <f>抵押物清单!E111</f>
        <v>16-2-302</v>
      </c>
      <c r="D105">
        <f>抵押物清单!F111</f>
        <v>87.04</v>
      </c>
      <c r="E105" s="3465" t="s">
        <v>4884</v>
      </c>
      <c r="F105" t="str">
        <f t="shared" si="2"/>
        <v>小高层</v>
      </c>
      <c r="G105" s="3465" t="s">
        <v>4886</v>
      </c>
    </row>
    <row r="106" spans="2:7">
      <c r="B106" s="3249">
        <v>103</v>
      </c>
      <c r="C106" t="str">
        <f>抵押物清单!E112</f>
        <v>16-2-402</v>
      </c>
      <c r="D106">
        <f>抵押物清单!F112</f>
        <v>87.04</v>
      </c>
      <c r="E106" s="3465" t="s">
        <v>4882</v>
      </c>
      <c r="F106" t="str">
        <f t="shared" si="2"/>
        <v>小高层</v>
      </c>
      <c r="G106" s="3465" t="s">
        <v>4886</v>
      </c>
    </row>
    <row r="107" spans="2:7">
      <c r="B107" s="3249">
        <v>104</v>
      </c>
      <c r="C107" t="str">
        <f>抵押物清单!E113</f>
        <v>16-2-502</v>
      </c>
      <c r="D107">
        <f>抵押物清单!F113</f>
        <v>87.04</v>
      </c>
      <c r="E107" s="3465" t="s">
        <v>4882</v>
      </c>
      <c r="F107" t="str">
        <f t="shared" si="2"/>
        <v>小高层</v>
      </c>
      <c r="G107" s="3465" t="s">
        <v>4886</v>
      </c>
    </row>
    <row r="108" spans="2:7">
      <c r="B108" s="3249">
        <v>105</v>
      </c>
      <c r="C108" t="str">
        <f>抵押物清单!E114</f>
        <v>16-2-602</v>
      </c>
      <c r="D108">
        <f>抵押物清单!F114</f>
        <v>87.04</v>
      </c>
      <c r="E108" s="3465" t="s">
        <v>4882</v>
      </c>
      <c r="F108" t="str">
        <f t="shared" si="2"/>
        <v>小高层</v>
      </c>
      <c r="G108" s="3465" t="s">
        <v>4886</v>
      </c>
    </row>
    <row r="109" spans="2:7">
      <c r="B109" s="3249">
        <v>106</v>
      </c>
      <c r="C109" t="str">
        <f>抵押物清单!E115</f>
        <v>16-2-802</v>
      </c>
      <c r="D109">
        <f>抵押物清单!F115</f>
        <v>87.04</v>
      </c>
      <c r="E109" s="3465" t="s">
        <v>4883</v>
      </c>
      <c r="F109" t="str">
        <f t="shared" si="2"/>
        <v>小高层</v>
      </c>
      <c r="G109" s="3465" t="s">
        <v>4886</v>
      </c>
    </row>
    <row r="110" spans="2:7">
      <c r="B110" s="3249">
        <v>107</v>
      </c>
      <c r="C110" t="str">
        <f>抵押物清单!E116</f>
        <v>16-2-1002</v>
      </c>
      <c r="D110">
        <f>抵押物清单!F116</f>
        <v>87.04</v>
      </c>
      <c r="E110" s="3465" t="s">
        <v>4883</v>
      </c>
      <c r="F110" t="str">
        <f t="shared" si="2"/>
        <v>小高层</v>
      </c>
      <c r="G110" s="3465" t="s">
        <v>4886</v>
      </c>
    </row>
    <row r="111" spans="2:7">
      <c r="B111" s="3249">
        <v>108</v>
      </c>
      <c r="C111" t="str">
        <f>抵押物清单!E117</f>
        <v>16-2-1101</v>
      </c>
      <c r="D111">
        <f>抵押物清单!F117</f>
        <v>89.7</v>
      </c>
      <c r="E111" s="3465" t="s">
        <v>4883</v>
      </c>
      <c r="F111" t="str">
        <f t="shared" si="2"/>
        <v>小高层</v>
      </c>
      <c r="G111" s="3465" t="s">
        <v>4886</v>
      </c>
    </row>
    <row r="112" spans="2:7">
      <c r="B112" s="3249">
        <v>109</v>
      </c>
      <c r="C112" t="str">
        <f>抵押物清单!E118</f>
        <v>16-2-1102</v>
      </c>
      <c r="D112">
        <f>抵押物清单!F118</f>
        <v>87.04</v>
      </c>
      <c r="E112" s="3465" t="s">
        <v>4883</v>
      </c>
      <c r="F112" t="str">
        <f t="shared" si="2"/>
        <v>小高层</v>
      </c>
      <c r="G112" s="3465" t="s">
        <v>4886</v>
      </c>
    </row>
    <row r="113" spans="2:7">
      <c r="B113" s="3249">
        <v>110</v>
      </c>
      <c r="C113" t="str">
        <f>抵押物清单!E120</f>
        <v>12-1-101</v>
      </c>
      <c r="D113">
        <f>抵押物清单!F120</f>
        <v>86.53</v>
      </c>
      <c r="E113" s="3465" t="s">
        <v>4884</v>
      </c>
      <c r="F113" t="str">
        <f t="shared" si="2"/>
        <v>小高层</v>
      </c>
      <c r="G113" s="3465" t="s">
        <v>4886</v>
      </c>
    </row>
    <row r="114" spans="2:7">
      <c r="B114" s="3249">
        <v>111</v>
      </c>
      <c r="C114" t="str">
        <f>抵押物清单!E121</f>
        <v>12-1-201</v>
      </c>
      <c r="D114">
        <f>抵押物清单!F121</f>
        <v>86.53</v>
      </c>
      <c r="E114" s="3465" t="s">
        <v>4884</v>
      </c>
      <c r="F114" t="str">
        <f t="shared" si="2"/>
        <v>小高层</v>
      </c>
      <c r="G114" s="3465" t="s">
        <v>4886</v>
      </c>
    </row>
    <row r="115" spans="2:7">
      <c r="B115" s="3249">
        <v>112</v>
      </c>
      <c r="C115" t="str">
        <f>抵押物清单!E122</f>
        <v>12-1-1101</v>
      </c>
      <c r="D115">
        <f>抵押物清单!F122</f>
        <v>86.53</v>
      </c>
      <c r="E115" s="3465" t="s">
        <v>4883</v>
      </c>
      <c r="F115" t="str">
        <f t="shared" si="2"/>
        <v>小高层</v>
      </c>
      <c r="G115" s="3465" t="s">
        <v>4886</v>
      </c>
    </row>
    <row r="116" spans="2:7">
      <c r="B116" s="3249">
        <v>113</v>
      </c>
      <c r="C116" t="str">
        <f>抵押物清单!E123</f>
        <v>12-1-1102</v>
      </c>
      <c r="D116">
        <f>抵押物清单!F123</f>
        <v>82.59</v>
      </c>
      <c r="E116" s="3465" t="s">
        <v>4883</v>
      </c>
      <c r="F116" t="str">
        <f t="shared" si="2"/>
        <v>小高层</v>
      </c>
      <c r="G116" s="3465" t="s">
        <v>4886</v>
      </c>
    </row>
    <row r="117" spans="2:7">
      <c r="B117" s="3249">
        <v>114</v>
      </c>
      <c r="C117" t="str">
        <f>抵押物清单!E124</f>
        <v>12-2-101</v>
      </c>
      <c r="D117">
        <f>抵押物清单!F124</f>
        <v>82.59</v>
      </c>
      <c r="E117" s="3465" t="s">
        <v>4884</v>
      </c>
      <c r="F117" t="str">
        <f t="shared" si="2"/>
        <v>小高层</v>
      </c>
      <c r="G117" s="3465" t="s">
        <v>4886</v>
      </c>
    </row>
    <row r="118" spans="2:7">
      <c r="B118" s="3249">
        <v>115</v>
      </c>
      <c r="C118" t="str">
        <f>抵押物清单!E125</f>
        <v>12-2-301</v>
      </c>
      <c r="D118">
        <f>抵押物清单!F125</f>
        <v>82.59</v>
      </c>
      <c r="E118" s="3465" t="s">
        <v>4884</v>
      </c>
      <c r="F118" t="str">
        <f t="shared" si="2"/>
        <v>小高层</v>
      </c>
      <c r="G118" s="3465" t="s">
        <v>4886</v>
      </c>
    </row>
    <row r="119" spans="2:7">
      <c r="B119" s="3249">
        <v>116</v>
      </c>
      <c r="C119" t="str">
        <f>抵押物清单!E126</f>
        <v>12-2-1101</v>
      </c>
      <c r="D119">
        <f>抵押物清单!F126</f>
        <v>82.59</v>
      </c>
      <c r="E119" s="3465" t="s">
        <v>4883</v>
      </c>
      <c r="F119" t="str">
        <f t="shared" si="2"/>
        <v>小高层</v>
      </c>
      <c r="G119" s="3465" t="s">
        <v>4886</v>
      </c>
    </row>
    <row r="120" spans="2:7">
      <c r="B120" s="3249">
        <v>117</v>
      </c>
      <c r="C120" t="str">
        <f>抵押物清单!E127</f>
        <v>12-2-102</v>
      </c>
      <c r="D120">
        <f>抵押物清单!F127</f>
        <v>86.53</v>
      </c>
      <c r="E120" s="3465" t="s">
        <v>4884</v>
      </c>
      <c r="F120" t="str">
        <f t="shared" si="2"/>
        <v>小高层</v>
      </c>
      <c r="G120" s="3465" t="s">
        <v>4886</v>
      </c>
    </row>
    <row r="121" spans="2:7">
      <c r="B121" s="3249">
        <v>118</v>
      </c>
      <c r="C121" t="str">
        <f>抵押物清单!E128</f>
        <v>12-2-202</v>
      </c>
      <c r="D121">
        <f>抵押物清单!F128</f>
        <v>86.53</v>
      </c>
      <c r="E121" s="3465" t="s">
        <v>4884</v>
      </c>
      <c r="F121" t="str">
        <f t="shared" si="2"/>
        <v>小高层</v>
      </c>
      <c r="G121" s="3465" t="s">
        <v>4886</v>
      </c>
    </row>
    <row r="122" spans="2:7">
      <c r="B122" s="3249">
        <v>119</v>
      </c>
      <c r="C122" t="str">
        <f>抵押物清单!E129</f>
        <v>12-2-302</v>
      </c>
      <c r="D122">
        <f>抵押物清单!F129</f>
        <v>86.53</v>
      </c>
      <c r="E122" s="3465" t="s">
        <v>4884</v>
      </c>
      <c r="F122" t="str">
        <f t="shared" si="2"/>
        <v>小高层</v>
      </c>
      <c r="G122" s="3465" t="s">
        <v>4886</v>
      </c>
    </row>
    <row r="123" spans="2:7">
      <c r="B123" s="3249">
        <v>120</v>
      </c>
      <c r="C123" t="str">
        <f>抵押物清单!E130</f>
        <v>12-2-402</v>
      </c>
      <c r="D123">
        <f>抵押物清单!F130</f>
        <v>86.53</v>
      </c>
      <c r="E123" s="3465" t="s">
        <v>4882</v>
      </c>
      <c r="F123" t="str">
        <f t="shared" si="2"/>
        <v>小高层</v>
      </c>
      <c r="G123" s="3465" t="s">
        <v>4886</v>
      </c>
    </row>
    <row r="124" spans="2:7">
      <c r="B124" s="3249">
        <v>121</v>
      </c>
      <c r="C124" t="str">
        <f>抵押物清单!E131</f>
        <v>12-2-602</v>
      </c>
      <c r="D124">
        <f>抵押物清单!F131</f>
        <v>86.53</v>
      </c>
      <c r="E124" s="3465" t="s">
        <v>4882</v>
      </c>
      <c r="F124" t="str">
        <f t="shared" si="2"/>
        <v>小高层</v>
      </c>
      <c r="G124" s="3465" t="s">
        <v>4886</v>
      </c>
    </row>
    <row r="125" spans="2:7">
      <c r="B125" s="3249">
        <v>122</v>
      </c>
      <c r="C125" t="str">
        <f>抵押物清单!E132</f>
        <v>12-2-902</v>
      </c>
      <c r="D125">
        <f>抵押物清单!F132</f>
        <v>86.53</v>
      </c>
      <c r="E125" s="3465" t="s">
        <v>4883</v>
      </c>
      <c r="F125" t="str">
        <f t="shared" si="2"/>
        <v>小高层</v>
      </c>
      <c r="G125" s="3465" t="s">
        <v>4886</v>
      </c>
    </row>
    <row r="126" spans="2:7">
      <c r="B126" s="3249">
        <v>123</v>
      </c>
      <c r="C126" t="str">
        <f>抵押物清单!E133</f>
        <v>12-2-1102</v>
      </c>
      <c r="D126">
        <f>抵押物清单!F133</f>
        <v>86.53</v>
      </c>
      <c r="E126" s="3465" t="s">
        <v>4883</v>
      </c>
      <c r="F126" t="str">
        <f t="shared" si="2"/>
        <v>小高层</v>
      </c>
      <c r="G126" s="3465" t="s">
        <v>4886</v>
      </c>
    </row>
    <row r="127" spans="2:7">
      <c r="B127" s="3249">
        <v>124</v>
      </c>
      <c r="C127" t="str">
        <f>抵押物清单!E135</f>
        <v>11-1-101</v>
      </c>
      <c r="D127">
        <f>抵押物清单!F135</f>
        <v>87.39</v>
      </c>
      <c r="E127" s="3465" t="s">
        <v>4884</v>
      </c>
      <c r="F127" t="str">
        <f t="shared" si="2"/>
        <v>小高层</v>
      </c>
      <c r="G127" s="3465" t="s">
        <v>4886</v>
      </c>
    </row>
    <row r="128" spans="2:7">
      <c r="B128" s="3249">
        <v>125</v>
      </c>
      <c r="C128" t="str">
        <f>抵押物清单!E136</f>
        <v>11-1-201</v>
      </c>
      <c r="D128">
        <f>抵押物清单!F136</f>
        <v>87.39</v>
      </c>
      <c r="E128" s="3465" t="s">
        <v>4884</v>
      </c>
      <c r="F128" t="str">
        <f t="shared" ref="F128:F176" si="3">F127</f>
        <v>小高层</v>
      </c>
      <c r="G128" s="3465" t="s">
        <v>4886</v>
      </c>
    </row>
    <row r="129" spans="2:7">
      <c r="B129" s="3249">
        <v>126</v>
      </c>
      <c r="C129" t="str">
        <f>抵押物清单!E137</f>
        <v>11-1-301</v>
      </c>
      <c r="D129">
        <f>抵押物清单!F137</f>
        <v>87.39</v>
      </c>
      <c r="E129" s="3465" t="s">
        <v>4884</v>
      </c>
      <c r="F129" t="str">
        <f t="shared" si="3"/>
        <v>小高层</v>
      </c>
      <c r="G129" s="3465" t="s">
        <v>4886</v>
      </c>
    </row>
    <row r="130" spans="2:7">
      <c r="B130" s="3249">
        <v>127</v>
      </c>
      <c r="C130" t="str">
        <f>抵押物清单!E138</f>
        <v>11-1-401</v>
      </c>
      <c r="D130">
        <f>抵押物清单!F138</f>
        <v>87.39</v>
      </c>
      <c r="E130" s="3465" t="s">
        <v>4882</v>
      </c>
      <c r="F130" t="str">
        <f t="shared" si="3"/>
        <v>小高层</v>
      </c>
      <c r="G130" s="3465" t="s">
        <v>4886</v>
      </c>
    </row>
    <row r="131" spans="2:7">
      <c r="B131" s="3249">
        <v>128</v>
      </c>
      <c r="C131" t="str">
        <f>抵押物清单!E139</f>
        <v>11-1-501</v>
      </c>
      <c r="D131">
        <f>抵押物清单!F139</f>
        <v>87.39</v>
      </c>
      <c r="E131" s="3465" t="s">
        <v>4882</v>
      </c>
      <c r="F131" t="str">
        <f t="shared" si="3"/>
        <v>小高层</v>
      </c>
      <c r="G131" s="3465" t="s">
        <v>4886</v>
      </c>
    </row>
    <row r="132" spans="2:7">
      <c r="B132" s="3249">
        <v>129</v>
      </c>
      <c r="C132" t="str">
        <f>抵押物清单!E140</f>
        <v>11-1-601</v>
      </c>
      <c r="D132">
        <f>抵押物清单!F140</f>
        <v>87.39</v>
      </c>
      <c r="E132" s="3465" t="s">
        <v>4882</v>
      </c>
      <c r="F132" t="str">
        <f t="shared" si="3"/>
        <v>小高层</v>
      </c>
      <c r="G132" s="3465" t="s">
        <v>4886</v>
      </c>
    </row>
    <row r="133" spans="2:7">
      <c r="B133" s="3249">
        <v>130</v>
      </c>
      <c r="C133" t="str">
        <f>抵押物清单!E141</f>
        <v>11-1-701</v>
      </c>
      <c r="D133">
        <f>抵押物清单!F141</f>
        <v>87.39</v>
      </c>
      <c r="E133" s="3465" t="s">
        <v>4882</v>
      </c>
      <c r="F133" t="str">
        <f t="shared" si="3"/>
        <v>小高层</v>
      </c>
      <c r="G133" s="3465" t="s">
        <v>4886</v>
      </c>
    </row>
    <row r="134" spans="2:7">
      <c r="B134" s="3249">
        <v>131</v>
      </c>
      <c r="C134" t="str">
        <f>抵押物清单!E142</f>
        <v>11-1-801</v>
      </c>
      <c r="D134">
        <f>抵押物清单!F142</f>
        <v>87.39</v>
      </c>
      <c r="E134" s="3465" t="s">
        <v>4883</v>
      </c>
      <c r="F134" t="str">
        <f t="shared" si="3"/>
        <v>小高层</v>
      </c>
      <c r="G134" s="3465" t="s">
        <v>4886</v>
      </c>
    </row>
    <row r="135" spans="2:7">
      <c r="B135" s="3249">
        <v>132</v>
      </c>
      <c r="C135" t="str">
        <f>抵押物清单!E143</f>
        <v>11-1-901</v>
      </c>
      <c r="D135">
        <f>抵押物清单!F143</f>
        <v>87.39</v>
      </c>
      <c r="E135" s="3465" t="s">
        <v>4883</v>
      </c>
      <c r="F135" t="str">
        <f t="shared" si="3"/>
        <v>小高层</v>
      </c>
      <c r="G135" s="3465" t="s">
        <v>4886</v>
      </c>
    </row>
    <row r="136" spans="2:7">
      <c r="B136" s="3249">
        <v>133</v>
      </c>
      <c r="C136" t="str">
        <f>抵押物清单!E144</f>
        <v>11-1-1001</v>
      </c>
      <c r="D136">
        <f>抵押物清单!F144</f>
        <v>87.39</v>
      </c>
      <c r="E136" s="3465" t="s">
        <v>4883</v>
      </c>
      <c r="F136" t="str">
        <f t="shared" si="3"/>
        <v>小高层</v>
      </c>
      <c r="G136" s="3465" t="s">
        <v>4886</v>
      </c>
    </row>
    <row r="137" spans="2:7">
      <c r="B137" s="3249">
        <v>134</v>
      </c>
      <c r="C137" t="str">
        <f>抵押物清单!E145</f>
        <v>11-1-1101</v>
      </c>
      <c r="D137">
        <f>抵押物清单!F145</f>
        <v>87.39</v>
      </c>
      <c r="E137" s="3465" t="s">
        <v>4883</v>
      </c>
      <c r="F137" t="str">
        <f t="shared" si="3"/>
        <v>小高层</v>
      </c>
      <c r="G137" s="3465" t="s">
        <v>4886</v>
      </c>
    </row>
    <row r="138" spans="2:7">
      <c r="B138" s="3249">
        <v>135</v>
      </c>
      <c r="C138" t="str">
        <f>抵押物清单!E146</f>
        <v>11-1-1002</v>
      </c>
      <c r="D138">
        <f>抵押物清单!F146</f>
        <v>83.42</v>
      </c>
      <c r="E138" s="3465" t="s">
        <v>4883</v>
      </c>
      <c r="F138" t="str">
        <f t="shared" si="3"/>
        <v>小高层</v>
      </c>
      <c r="G138" s="3465" t="s">
        <v>4886</v>
      </c>
    </row>
    <row r="139" spans="2:7">
      <c r="B139" s="3249">
        <v>136</v>
      </c>
      <c r="C139" t="str">
        <f>抵押物清单!E147</f>
        <v>11-1-1102</v>
      </c>
      <c r="D139">
        <f>抵押物清单!F147</f>
        <v>83.42</v>
      </c>
      <c r="E139" s="3465" t="s">
        <v>4883</v>
      </c>
      <c r="F139" t="str">
        <f t="shared" si="3"/>
        <v>小高层</v>
      </c>
      <c r="G139" s="3465" t="s">
        <v>4886</v>
      </c>
    </row>
    <row r="140" spans="2:7">
      <c r="B140" s="3249">
        <v>137</v>
      </c>
      <c r="C140" t="str">
        <f>抵押物清单!E148</f>
        <v>11-2-401</v>
      </c>
      <c r="D140">
        <f>抵押物清单!F148</f>
        <v>83.42</v>
      </c>
      <c r="E140" s="3465" t="s">
        <v>4882</v>
      </c>
      <c r="F140" t="str">
        <f t="shared" si="3"/>
        <v>小高层</v>
      </c>
      <c r="G140" s="3465" t="s">
        <v>4886</v>
      </c>
    </row>
    <row r="141" spans="2:7">
      <c r="B141" s="3249">
        <v>138</v>
      </c>
      <c r="C141" t="str">
        <f>抵押物清单!E149</f>
        <v>11-2-601</v>
      </c>
      <c r="D141">
        <f>抵押物清单!F149</f>
        <v>83.42</v>
      </c>
      <c r="E141" s="3465" t="s">
        <v>4882</v>
      </c>
      <c r="F141" t="str">
        <f t="shared" si="3"/>
        <v>小高层</v>
      </c>
      <c r="G141" s="3465" t="s">
        <v>4886</v>
      </c>
    </row>
    <row r="142" spans="2:7">
      <c r="B142" s="3249">
        <v>139</v>
      </c>
      <c r="C142" t="str">
        <f>抵押物清单!E150</f>
        <v>11-2-1001</v>
      </c>
      <c r="D142">
        <f>抵押物清单!F150</f>
        <v>83.42</v>
      </c>
      <c r="E142" s="3465" t="s">
        <v>4883</v>
      </c>
      <c r="F142" t="str">
        <f t="shared" si="3"/>
        <v>小高层</v>
      </c>
      <c r="G142" s="3465" t="s">
        <v>4886</v>
      </c>
    </row>
    <row r="143" spans="2:7">
      <c r="B143" s="3249">
        <v>140</v>
      </c>
      <c r="C143" t="str">
        <f>抵押物清单!E151</f>
        <v>11-2-402</v>
      </c>
      <c r="D143">
        <f>抵押物清单!F151</f>
        <v>87.39</v>
      </c>
      <c r="E143" s="3465" t="s">
        <v>4882</v>
      </c>
      <c r="F143" t="str">
        <f t="shared" si="3"/>
        <v>小高层</v>
      </c>
      <c r="G143" s="3465" t="s">
        <v>4886</v>
      </c>
    </row>
    <row r="144" spans="2:7">
      <c r="B144" s="3249">
        <v>141</v>
      </c>
      <c r="C144" t="str">
        <f>抵押物清单!E152</f>
        <v>11-2-1002</v>
      </c>
      <c r="D144">
        <f>抵押物清单!F152</f>
        <v>87.39</v>
      </c>
      <c r="E144" s="3465" t="s">
        <v>4883</v>
      </c>
      <c r="F144" t="str">
        <f t="shared" si="3"/>
        <v>小高层</v>
      </c>
      <c r="G144" s="3465" t="s">
        <v>4886</v>
      </c>
    </row>
    <row r="145" spans="2:7">
      <c r="B145" s="3249">
        <v>142</v>
      </c>
      <c r="C145" t="str">
        <f>抵押物清单!E154</f>
        <v>7-1-101</v>
      </c>
      <c r="D145">
        <f>抵押物清单!F154</f>
        <v>85.89</v>
      </c>
      <c r="E145" s="3465" t="s">
        <v>4884</v>
      </c>
      <c r="F145" t="str">
        <f t="shared" si="3"/>
        <v>小高层</v>
      </c>
      <c r="G145" s="3465" t="s">
        <v>4892</v>
      </c>
    </row>
    <row r="146" spans="2:7">
      <c r="B146" s="3249">
        <v>143</v>
      </c>
      <c r="C146" t="str">
        <f>抵押物清单!E155</f>
        <v>7-1-102</v>
      </c>
      <c r="D146">
        <f>抵押物清单!F155</f>
        <v>81.99</v>
      </c>
      <c r="E146" s="3465" t="s">
        <v>4884</v>
      </c>
      <c r="F146" t="str">
        <f t="shared" si="3"/>
        <v>小高层</v>
      </c>
      <c r="G146" s="3465" t="s">
        <v>4892</v>
      </c>
    </row>
    <row r="147" spans="2:7">
      <c r="B147" s="3249">
        <v>144</v>
      </c>
      <c r="C147" t="str">
        <f>抵押物清单!E156</f>
        <v>7-1-201</v>
      </c>
      <c r="D147">
        <f>抵押物清单!F156</f>
        <v>85.89</v>
      </c>
      <c r="E147" s="3465" t="s">
        <v>4884</v>
      </c>
      <c r="F147" t="str">
        <f t="shared" si="3"/>
        <v>小高层</v>
      </c>
      <c r="G147" s="3465" t="s">
        <v>4892</v>
      </c>
    </row>
    <row r="148" spans="2:7">
      <c r="B148" s="3249">
        <v>145</v>
      </c>
      <c r="C148" t="str">
        <f>抵押物清单!E157</f>
        <v>7-1-202</v>
      </c>
      <c r="D148">
        <f>抵押物清单!F157</f>
        <v>81.99</v>
      </c>
      <c r="E148" s="3465" t="s">
        <v>4884</v>
      </c>
      <c r="F148" t="str">
        <f t="shared" si="3"/>
        <v>小高层</v>
      </c>
      <c r="G148" s="3465" t="s">
        <v>4892</v>
      </c>
    </row>
    <row r="149" spans="2:7">
      <c r="B149" s="3249">
        <v>146</v>
      </c>
      <c r="C149" t="str">
        <f>抵押物清单!E158</f>
        <v>7-1-301</v>
      </c>
      <c r="D149">
        <f>抵押物清单!F158</f>
        <v>85.89</v>
      </c>
      <c r="E149" s="3465" t="s">
        <v>4884</v>
      </c>
      <c r="F149" t="str">
        <f t="shared" si="3"/>
        <v>小高层</v>
      </c>
      <c r="G149" s="3465" t="s">
        <v>4892</v>
      </c>
    </row>
    <row r="150" spans="2:7">
      <c r="B150" s="3249">
        <v>147</v>
      </c>
      <c r="C150" t="str">
        <f>抵押物清单!E159</f>
        <v>7-1-302</v>
      </c>
      <c r="D150">
        <f>抵押物清单!F159</f>
        <v>81.99</v>
      </c>
      <c r="E150" s="3465" t="s">
        <v>4884</v>
      </c>
      <c r="F150" t="str">
        <f t="shared" si="3"/>
        <v>小高层</v>
      </c>
      <c r="G150" s="3465" t="s">
        <v>4892</v>
      </c>
    </row>
    <row r="151" spans="2:7">
      <c r="B151" s="3249">
        <v>148</v>
      </c>
      <c r="C151" t="str">
        <f>抵押物清单!E160</f>
        <v>7-1-401</v>
      </c>
      <c r="D151">
        <f>抵押物清单!F160</f>
        <v>85.89</v>
      </c>
      <c r="E151" s="3465" t="s">
        <v>4882</v>
      </c>
      <c r="F151" t="str">
        <f t="shared" si="3"/>
        <v>小高层</v>
      </c>
      <c r="G151" s="3465" t="s">
        <v>4892</v>
      </c>
    </row>
    <row r="152" spans="2:7">
      <c r="B152" s="3249">
        <v>149</v>
      </c>
      <c r="C152" t="str">
        <f>抵押物清单!E161</f>
        <v>7-1-402</v>
      </c>
      <c r="D152">
        <f>抵押物清单!F161</f>
        <v>81.99</v>
      </c>
      <c r="E152" s="3465" t="s">
        <v>4882</v>
      </c>
      <c r="F152" t="str">
        <f t="shared" si="3"/>
        <v>小高层</v>
      </c>
      <c r="G152" s="3465" t="s">
        <v>4892</v>
      </c>
    </row>
    <row r="153" spans="2:7">
      <c r="B153" s="3249">
        <v>150</v>
      </c>
      <c r="C153" t="str">
        <f>抵押物清单!E162</f>
        <v>7-1-501</v>
      </c>
      <c r="D153">
        <f>抵押物清单!F162</f>
        <v>85.89</v>
      </c>
      <c r="E153" s="3465" t="s">
        <v>4882</v>
      </c>
      <c r="F153" t="str">
        <f t="shared" si="3"/>
        <v>小高层</v>
      </c>
      <c r="G153" s="3465" t="s">
        <v>4892</v>
      </c>
    </row>
    <row r="154" spans="2:7">
      <c r="B154" s="3249">
        <v>151</v>
      </c>
      <c r="C154" t="str">
        <f>抵押物清单!E163</f>
        <v>7-1-502</v>
      </c>
      <c r="D154">
        <f>抵押物清单!F163</f>
        <v>81.99</v>
      </c>
      <c r="E154" s="3465" t="s">
        <v>4882</v>
      </c>
      <c r="F154" t="str">
        <f t="shared" si="3"/>
        <v>小高层</v>
      </c>
      <c r="G154" s="3465" t="s">
        <v>4892</v>
      </c>
    </row>
    <row r="155" spans="2:7">
      <c r="B155" s="3249">
        <v>152</v>
      </c>
      <c r="C155" t="str">
        <f>抵押物清单!E164</f>
        <v>7-1-601</v>
      </c>
      <c r="D155">
        <f>抵押物清单!F164</f>
        <v>85.89</v>
      </c>
      <c r="E155" s="3465" t="s">
        <v>4882</v>
      </c>
      <c r="F155" t="str">
        <f t="shared" si="3"/>
        <v>小高层</v>
      </c>
      <c r="G155" s="3465" t="s">
        <v>4892</v>
      </c>
    </row>
    <row r="156" spans="2:7">
      <c r="B156" s="3249">
        <v>153</v>
      </c>
      <c r="C156" t="str">
        <f>抵押物清单!E165</f>
        <v>7-1-602</v>
      </c>
      <c r="D156">
        <f>抵押物清单!F165</f>
        <v>81.99</v>
      </c>
      <c r="E156" s="3465" t="s">
        <v>4882</v>
      </c>
      <c r="F156" t="str">
        <f t="shared" si="3"/>
        <v>小高层</v>
      </c>
      <c r="G156" s="3465" t="s">
        <v>4892</v>
      </c>
    </row>
    <row r="157" spans="2:7">
      <c r="B157" s="3249">
        <v>154</v>
      </c>
      <c r="C157" t="str">
        <f>抵押物清单!E166</f>
        <v>7-1-701</v>
      </c>
      <c r="D157">
        <f>抵押物清单!F166</f>
        <v>85.89</v>
      </c>
      <c r="E157" s="3465" t="s">
        <v>4883</v>
      </c>
      <c r="F157" t="str">
        <f t="shared" si="3"/>
        <v>小高层</v>
      </c>
      <c r="G157" s="3465" t="s">
        <v>4892</v>
      </c>
    </row>
    <row r="158" spans="2:7">
      <c r="B158" s="3249">
        <v>155</v>
      </c>
      <c r="C158" t="str">
        <f>抵押物清单!E167</f>
        <v>7-1-801</v>
      </c>
      <c r="D158">
        <f>抵押物清单!F167</f>
        <v>85.89</v>
      </c>
      <c r="E158" s="3465" t="s">
        <v>4883</v>
      </c>
      <c r="F158" t="str">
        <f t="shared" si="3"/>
        <v>小高层</v>
      </c>
      <c r="G158" s="3465" t="s">
        <v>4892</v>
      </c>
    </row>
    <row r="159" spans="2:7">
      <c r="B159" s="3249">
        <v>156</v>
      </c>
      <c r="C159" t="str">
        <f>抵押物清单!E168</f>
        <v>7-1-802</v>
      </c>
      <c r="D159">
        <f>抵押物清单!F168</f>
        <v>81.99</v>
      </c>
      <c r="E159" s="3465" t="s">
        <v>4883</v>
      </c>
      <c r="F159" t="str">
        <f t="shared" si="3"/>
        <v>小高层</v>
      </c>
      <c r="G159" s="3465" t="s">
        <v>4892</v>
      </c>
    </row>
    <row r="160" spans="2:7">
      <c r="B160" s="3249">
        <v>157</v>
      </c>
      <c r="C160" t="str">
        <f>抵押物清单!E169</f>
        <v>7-1-901</v>
      </c>
      <c r="D160">
        <f>抵押物清单!F169</f>
        <v>85.89</v>
      </c>
      <c r="E160" s="3465" t="s">
        <v>4883</v>
      </c>
      <c r="F160" t="str">
        <f t="shared" si="3"/>
        <v>小高层</v>
      </c>
      <c r="G160" s="3465" t="s">
        <v>4892</v>
      </c>
    </row>
    <row r="161" spans="2:7">
      <c r="B161" s="3249">
        <v>158</v>
      </c>
      <c r="C161" t="str">
        <f>抵押物清单!E170</f>
        <v>7-1-902</v>
      </c>
      <c r="D161">
        <f>抵押物清单!F170</f>
        <v>81.99</v>
      </c>
      <c r="E161" s="3465" t="s">
        <v>4883</v>
      </c>
      <c r="F161" t="str">
        <f t="shared" si="3"/>
        <v>小高层</v>
      </c>
      <c r="G161" s="3465" t="s">
        <v>4892</v>
      </c>
    </row>
    <row r="162" spans="2:7">
      <c r="B162" s="3249">
        <v>159</v>
      </c>
      <c r="C162" t="str">
        <f>抵押物清单!E171</f>
        <v>7-2-101</v>
      </c>
      <c r="D162">
        <f>抵押物清单!F171</f>
        <v>81.99</v>
      </c>
      <c r="E162" s="3465" t="s">
        <v>4884</v>
      </c>
      <c r="F162" t="str">
        <f t="shared" si="3"/>
        <v>小高层</v>
      </c>
      <c r="G162" s="3465" t="s">
        <v>4892</v>
      </c>
    </row>
    <row r="163" spans="2:7">
      <c r="B163" s="3249">
        <v>160</v>
      </c>
      <c r="C163" t="str">
        <f>抵押物清单!E172</f>
        <v>7-2-102</v>
      </c>
      <c r="D163">
        <f>抵押物清单!F172</f>
        <v>85.89</v>
      </c>
      <c r="E163" s="3465" t="s">
        <v>4884</v>
      </c>
      <c r="F163" t="str">
        <f t="shared" si="3"/>
        <v>小高层</v>
      </c>
      <c r="G163" s="3465" t="s">
        <v>4892</v>
      </c>
    </row>
    <row r="164" spans="2:7">
      <c r="B164" s="3249">
        <v>161</v>
      </c>
      <c r="C164" t="str">
        <f>抵押物清单!E173</f>
        <v>7-2-201</v>
      </c>
      <c r="D164">
        <f>抵押物清单!F173</f>
        <v>81.99</v>
      </c>
      <c r="E164" s="3465" t="s">
        <v>4884</v>
      </c>
      <c r="F164" t="str">
        <f t="shared" si="3"/>
        <v>小高层</v>
      </c>
      <c r="G164" s="3465" t="s">
        <v>4892</v>
      </c>
    </row>
    <row r="165" spans="2:7">
      <c r="B165" s="3249">
        <v>162</v>
      </c>
      <c r="C165" t="str">
        <f>抵押物清单!E174</f>
        <v>7-2-202</v>
      </c>
      <c r="D165">
        <f>抵押物清单!F174</f>
        <v>85.89</v>
      </c>
      <c r="E165" s="3465" t="s">
        <v>4884</v>
      </c>
      <c r="F165" t="str">
        <f t="shared" si="3"/>
        <v>小高层</v>
      </c>
      <c r="G165" s="3465" t="s">
        <v>4892</v>
      </c>
    </row>
    <row r="166" spans="2:7">
      <c r="B166" s="3249">
        <v>163</v>
      </c>
      <c r="C166" t="str">
        <f>抵押物清单!E175</f>
        <v>7-2-301</v>
      </c>
      <c r="D166">
        <f>抵押物清单!F175</f>
        <v>81.99</v>
      </c>
      <c r="E166" s="3465" t="s">
        <v>4884</v>
      </c>
      <c r="F166" t="str">
        <f t="shared" si="3"/>
        <v>小高层</v>
      </c>
      <c r="G166" s="3465" t="s">
        <v>4892</v>
      </c>
    </row>
    <row r="167" spans="2:7">
      <c r="B167" s="3249">
        <v>164</v>
      </c>
      <c r="C167" t="str">
        <f>抵押物清单!E176</f>
        <v>7-2-302</v>
      </c>
      <c r="D167">
        <f>抵押物清单!F176</f>
        <v>85.89</v>
      </c>
      <c r="E167" s="3465" t="s">
        <v>4884</v>
      </c>
      <c r="F167" t="str">
        <f t="shared" si="3"/>
        <v>小高层</v>
      </c>
      <c r="G167" s="3465" t="s">
        <v>4892</v>
      </c>
    </row>
    <row r="168" spans="2:7">
      <c r="B168" s="3249">
        <v>165</v>
      </c>
      <c r="C168" t="str">
        <f>抵押物清单!E177</f>
        <v>7-2-401</v>
      </c>
      <c r="D168">
        <f>抵押物清单!F177</f>
        <v>81.99</v>
      </c>
      <c r="E168" s="3465" t="s">
        <v>4882</v>
      </c>
      <c r="F168" t="str">
        <f t="shared" si="3"/>
        <v>小高层</v>
      </c>
      <c r="G168" s="3465" t="s">
        <v>4892</v>
      </c>
    </row>
    <row r="169" spans="2:7">
      <c r="B169" s="3249">
        <v>166</v>
      </c>
      <c r="C169" t="str">
        <f>抵押物清单!E178</f>
        <v>7-2-402</v>
      </c>
      <c r="D169">
        <f>抵押物清单!F178</f>
        <v>85.89</v>
      </c>
      <c r="E169" s="3465" t="s">
        <v>4882</v>
      </c>
      <c r="F169" t="str">
        <f t="shared" si="3"/>
        <v>小高层</v>
      </c>
      <c r="G169" s="3465" t="s">
        <v>4892</v>
      </c>
    </row>
    <row r="170" spans="2:7">
      <c r="B170" s="3249">
        <v>167</v>
      </c>
      <c r="C170" t="str">
        <f>抵押物清单!E179</f>
        <v>7-2-502</v>
      </c>
      <c r="D170">
        <f>抵押物清单!F179</f>
        <v>85.89</v>
      </c>
      <c r="E170" s="3465" t="s">
        <v>4882</v>
      </c>
      <c r="F170" t="str">
        <f t="shared" si="3"/>
        <v>小高层</v>
      </c>
      <c r="G170" s="3465" t="s">
        <v>4892</v>
      </c>
    </row>
    <row r="171" spans="2:7">
      <c r="B171" s="3249">
        <v>168</v>
      </c>
      <c r="C171" t="str">
        <f>抵押物清单!E180</f>
        <v>7-2-602</v>
      </c>
      <c r="D171">
        <f>抵押物清单!F180</f>
        <v>85.89</v>
      </c>
      <c r="E171" s="3465" t="s">
        <v>4882</v>
      </c>
      <c r="F171" t="str">
        <f t="shared" si="3"/>
        <v>小高层</v>
      </c>
      <c r="G171" s="3465" t="s">
        <v>4892</v>
      </c>
    </row>
    <row r="172" spans="2:7">
      <c r="B172" s="3249">
        <v>169</v>
      </c>
      <c r="C172" t="str">
        <f>抵押物清单!E181</f>
        <v>7-2-701</v>
      </c>
      <c r="D172">
        <f>抵押物清单!F181</f>
        <v>81.99</v>
      </c>
      <c r="E172" s="3465" t="s">
        <v>4883</v>
      </c>
      <c r="F172" t="str">
        <f t="shared" si="3"/>
        <v>小高层</v>
      </c>
      <c r="G172" s="3465" t="s">
        <v>4892</v>
      </c>
    </row>
    <row r="173" spans="2:7">
      <c r="B173" s="3249">
        <v>170</v>
      </c>
      <c r="C173" t="str">
        <f>抵押物清单!E182</f>
        <v>7-2-702</v>
      </c>
      <c r="D173">
        <f>抵押物清单!F182</f>
        <v>85.89</v>
      </c>
      <c r="E173" s="3465" t="s">
        <v>4883</v>
      </c>
      <c r="F173" t="str">
        <f t="shared" si="3"/>
        <v>小高层</v>
      </c>
      <c r="G173" s="3465" t="s">
        <v>4892</v>
      </c>
    </row>
    <row r="174" spans="2:7">
      <c r="B174" s="3249">
        <v>171</v>
      </c>
      <c r="C174" t="str">
        <f>抵押物清单!E183</f>
        <v>7-2-802</v>
      </c>
      <c r="D174">
        <f>抵押物清单!F183</f>
        <v>85.89</v>
      </c>
      <c r="E174" s="3465" t="s">
        <v>4883</v>
      </c>
      <c r="F174" t="str">
        <f t="shared" si="3"/>
        <v>小高层</v>
      </c>
      <c r="G174" s="3465" t="s">
        <v>4892</v>
      </c>
    </row>
    <row r="175" spans="2:7">
      <c r="B175" s="3249">
        <v>172</v>
      </c>
      <c r="C175" t="str">
        <f>抵押物清单!E184</f>
        <v>7-2-901</v>
      </c>
      <c r="D175">
        <f>抵押物清单!F184</f>
        <v>81.99</v>
      </c>
      <c r="E175" s="3465" t="s">
        <v>4883</v>
      </c>
      <c r="F175" t="str">
        <f t="shared" si="3"/>
        <v>小高层</v>
      </c>
      <c r="G175" s="3465" t="s">
        <v>4892</v>
      </c>
    </row>
    <row r="176" spans="2:7">
      <c r="B176" s="3249">
        <v>173</v>
      </c>
      <c r="C176" t="str">
        <f>抵押物清单!E185</f>
        <v>7-2-902</v>
      </c>
      <c r="D176">
        <f>抵押物清单!F185</f>
        <v>85.89</v>
      </c>
      <c r="E176" s="3465" t="s">
        <v>4883</v>
      </c>
      <c r="F176" t="str">
        <f t="shared" si="3"/>
        <v>小高层</v>
      </c>
      <c r="G176" s="3465" t="s">
        <v>4892</v>
      </c>
    </row>
    <row r="177" spans="2:7">
      <c r="B177" s="3249">
        <v>174</v>
      </c>
      <c r="C177" t="str">
        <f>抵押物清单!E187</f>
        <v>6-1-101</v>
      </c>
      <c r="D177">
        <f>抵押物清单!F187</f>
        <v>87.26</v>
      </c>
      <c r="E177" s="3465" t="s">
        <v>4884</v>
      </c>
      <c r="F177" s="3465" t="s">
        <v>4879</v>
      </c>
      <c r="G177" s="3465" t="s">
        <v>4893</v>
      </c>
    </row>
    <row r="178" spans="2:7">
      <c r="B178" s="3249">
        <v>175</v>
      </c>
      <c r="C178" t="str">
        <f>抵押物清单!E188</f>
        <v>6-1-201</v>
      </c>
      <c r="D178">
        <f>抵押物清单!F188</f>
        <v>87.26</v>
      </c>
      <c r="E178" s="3465" t="s">
        <v>4884</v>
      </c>
      <c r="F178" s="3465" t="s">
        <v>4879</v>
      </c>
      <c r="G178" s="3465" t="s">
        <v>4893</v>
      </c>
    </row>
    <row r="179" spans="2:7">
      <c r="B179" s="3249">
        <v>176</v>
      </c>
      <c r="C179" t="str">
        <f>抵押物清单!E189</f>
        <v>6-1-301</v>
      </c>
      <c r="D179">
        <f>抵押物清单!F189</f>
        <v>87.26</v>
      </c>
      <c r="E179" s="3465" t="s">
        <v>4884</v>
      </c>
      <c r="F179" s="3465" t="s">
        <v>4879</v>
      </c>
      <c r="G179" s="3465" t="s">
        <v>4893</v>
      </c>
    </row>
    <row r="180" spans="2:7">
      <c r="B180" s="3249">
        <v>177</v>
      </c>
      <c r="C180" t="str">
        <f>抵押物清单!E190</f>
        <v>6-1-302</v>
      </c>
      <c r="D180">
        <f>抵押物清单!F190</f>
        <v>83.29</v>
      </c>
      <c r="E180" s="3465" t="s">
        <v>4884</v>
      </c>
      <c r="F180" s="3465" t="s">
        <v>4879</v>
      </c>
      <c r="G180" s="3465" t="s">
        <v>4893</v>
      </c>
    </row>
    <row r="181" spans="2:7">
      <c r="B181" s="3249">
        <v>178</v>
      </c>
      <c r="C181" t="str">
        <f>抵押物清单!E191</f>
        <v>6-1-401</v>
      </c>
      <c r="D181">
        <f>抵押物清单!F191</f>
        <v>87.26</v>
      </c>
      <c r="E181" s="3465" t="s">
        <v>4882</v>
      </c>
      <c r="F181" s="3465" t="s">
        <v>4879</v>
      </c>
      <c r="G181" s="3465" t="s">
        <v>4893</v>
      </c>
    </row>
    <row r="182" spans="2:7">
      <c r="B182" s="3249">
        <v>179</v>
      </c>
      <c r="C182" t="str">
        <f>抵押物清单!E192</f>
        <v>6-1-402</v>
      </c>
      <c r="D182">
        <f>抵押物清单!F192</f>
        <v>83.29</v>
      </c>
      <c r="E182" s="3465" t="s">
        <v>4882</v>
      </c>
      <c r="F182" s="3465" t="s">
        <v>4879</v>
      </c>
      <c r="G182" s="3465" t="s">
        <v>4893</v>
      </c>
    </row>
    <row r="183" spans="2:7">
      <c r="B183" s="3249">
        <v>180</v>
      </c>
      <c r="C183" t="str">
        <f>抵押物清单!E193</f>
        <v>6-1-501</v>
      </c>
      <c r="D183">
        <f>抵押物清单!F193</f>
        <v>87.26</v>
      </c>
      <c r="E183" s="3465" t="s">
        <v>4882</v>
      </c>
      <c r="F183" s="3465" t="s">
        <v>4879</v>
      </c>
      <c r="G183" s="3465" t="s">
        <v>4893</v>
      </c>
    </row>
    <row r="184" spans="2:7">
      <c r="B184" s="3249">
        <v>181</v>
      </c>
      <c r="C184" t="str">
        <f>抵押物清单!E194</f>
        <v>6-1-502</v>
      </c>
      <c r="D184">
        <f>抵押物清单!F194</f>
        <v>83.29</v>
      </c>
      <c r="E184" s="3465" t="s">
        <v>4882</v>
      </c>
      <c r="F184" s="3465" t="s">
        <v>4879</v>
      </c>
      <c r="G184" s="3465" t="s">
        <v>4893</v>
      </c>
    </row>
    <row r="185" spans="2:7">
      <c r="B185" s="3249">
        <v>182</v>
      </c>
      <c r="C185" t="str">
        <f>抵押物清单!E195</f>
        <v>6-1-601</v>
      </c>
      <c r="D185">
        <f>抵押物清单!F195</f>
        <v>87.26</v>
      </c>
      <c r="E185" s="3465" t="s">
        <v>4882</v>
      </c>
      <c r="F185" s="3465" t="s">
        <v>4879</v>
      </c>
      <c r="G185" s="3465" t="s">
        <v>4893</v>
      </c>
    </row>
    <row r="186" spans="2:7">
      <c r="B186" s="3249">
        <v>183</v>
      </c>
      <c r="C186" t="str">
        <f>抵押物清单!E196</f>
        <v>6-1-602</v>
      </c>
      <c r="D186">
        <f>抵押物清单!F196</f>
        <v>83.29</v>
      </c>
      <c r="E186" s="3465" t="s">
        <v>4882</v>
      </c>
      <c r="F186" s="3465" t="s">
        <v>4879</v>
      </c>
      <c r="G186" s="3465" t="s">
        <v>4893</v>
      </c>
    </row>
    <row r="187" spans="2:7">
      <c r="B187" s="3249">
        <v>184</v>
      </c>
      <c r="C187" t="str">
        <f>抵押物清单!E197</f>
        <v>6-1-701</v>
      </c>
      <c r="D187">
        <f>抵押物清单!F197</f>
        <v>87.26</v>
      </c>
      <c r="E187" s="3465" t="s">
        <v>4882</v>
      </c>
      <c r="F187" s="3465" t="s">
        <v>4879</v>
      </c>
      <c r="G187" s="3465" t="s">
        <v>4893</v>
      </c>
    </row>
    <row r="188" spans="2:7">
      <c r="B188" s="3249">
        <v>185</v>
      </c>
      <c r="C188" t="str">
        <f>抵押物清单!E198</f>
        <v>6-1-702</v>
      </c>
      <c r="D188">
        <f>抵押物清单!F198</f>
        <v>83.29</v>
      </c>
      <c r="E188" s="3465" t="s">
        <v>4882</v>
      </c>
      <c r="F188" s="3465" t="s">
        <v>4879</v>
      </c>
      <c r="G188" s="3465" t="s">
        <v>4893</v>
      </c>
    </row>
    <row r="189" spans="2:7">
      <c r="B189" s="3249">
        <v>186</v>
      </c>
      <c r="C189" t="str">
        <f>抵押物清单!E199</f>
        <v>6-1-801</v>
      </c>
      <c r="D189">
        <f>抵押物清单!F199</f>
        <v>87.26</v>
      </c>
      <c r="E189" s="3465" t="s">
        <v>4883</v>
      </c>
      <c r="F189" s="3465" t="s">
        <v>4879</v>
      </c>
      <c r="G189" s="3465" t="s">
        <v>4893</v>
      </c>
    </row>
    <row r="190" spans="2:7">
      <c r="B190" s="3249">
        <v>187</v>
      </c>
      <c r="C190" t="str">
        <f>抵押物清单!E200</f>
        <v>6-1-802</v>
      </c>
      <c r="D190">
        <f>抵押物清单!F200</f>
        <v>83.29</v>
      </c>
      <c r="E190" s="3465" t="s">
        <v>4883</v>
      </c>
      <c r="F190" s="3465" t="s">
        <v>4879</v>
      </c>
      <c r="G190" s="3465" t="s">
        <v>4893</v>
      </c>
    </row>
    <row r="191" spans="2:7">
      <c r="B191" s="3249">
        <v>188</v>
      </c>
      <c r="C191" t="str">
        <f>抵押物清单!E201</f>
        <v>6-1-901</v>
      </c>
      <c r="D191">
        <f>抵押物清单!F201</f>
        <v>87.26</v>
      </c>
      <c r="E191" s="3465" t="s">
        <v>4883</v>
      </c>
      <c r="F191" s="3465" t="s">
        <v>4879</v>
      </c>
      <c r="G191" s="3465" t="s">
        <v>4893</v>
      </c>
    </row>
    <row r="192" spans="2:7">
      <c r="B192" s="3249">
        <v>189</v>
      </c>
      <c r="C192" t="str">
        <f>抵押物清单!E202</f>
        <v>6-1-902</v>
      </c>
      <c r="D192">
        <f>抵押物清单!F202</f>
        <v>83.29</v>
      </c>
      <c r="E192" s="3465" t="s">
        <v>4883</v>
      </c>
      <c r="F192" s="3465" t="s">
        <v>4879</v>
      </c>
      <c r="G192" s="3465" t="s">
        <v>4893</v>
      </c>
    </row>
    <row r="193" spans="2:7">
      <c r="B193" s="3249">
        <v>190</v>
      </c>
      <c r="C193" t="str">
        <f>抵押物清单!E203</f>
        <v>6-1-1001</v>
      </c>
      <c r="D193">
        <f>抵押物清单!F203</f>
        <v>87.26</v>
      </c>
      <c r="E193" s="3465" t="s">
        <v>4883</v>
      </c>
      <c r="F193" s="3465" t="s">
        <v>4879</v>
      </c>
      <c r="G193" s="3465" t="s">
        <v>4893</v>
      </c>
    </row>
    <row r="194" spans="2:7">
      <c r="B194" s="3249">
        <v>191</v>
      </c>
      <c r="C194" t="str">
        <f>抵押物清单!E204</f>
        <v>6-1-1002</v>
      </c>
      <c r="D194">
        <f>抵押物清单!F204</f>
        <v>83.29</v>
      </c>
      <c r="E194" s="3465" t="s">
        <v>4883</v>
      </c>
      <c r="F194" s="3465" t="s">
        <v>4879</v>
      </c>
      <c r="G194" s="3465" t="s">
        <v>4893</v>
      </c>
    </row>
    <row r="195" spans="2:7">
      <c r="B195" s="3249">
        <v>192</v>
      </c>
      <c r="C195" t="str">
        <f>抵押物清单!E205</f>
        <v>6-2-202</v>
      </c>
      <c r="D195">
        <f>抵押物清单!F205</f>
        <v>87.26</v>
      </c>
      <c r="E195" s="3465" t="s">
        <v>4884</v>
      </c>
      <c r="F195" s="3465" t="s">
        <v>4879</v>
      </c>
      <c r="G195" s="3465" t="s">
        <v>4893</v>
      </c>
    </row>
    <row r="196" spans="2:7">
      <c r="B196" s="3249">
        <v>193</v>
      </c>
      <c r="C196" t="str">
        <f>抵押物清单!E206</f>
        <v>6-2-301</v>
      </c>
      <c r="D196">
        <f>抵押物清单!F206</f>
        <v>83.29</v>
      </c>
      <c r="E196" s="3465" t="s">
        <v>4884</v>
      </c>
      <c r="F196" s="3465" t="s">
        <v>4879</v>
      </c>
      <c r="G196" s="3465" t="s">
        <v>4893</v>
      </c>
    </row>
    <row r="197" spans="2:7">
      <c r="B197" s="3249">
        <v>194</v>
      </c>
      <c r="C197" t="str">
        <f>抵押物清单!E207</f>
        <v>6-2-302</v>
      </c>
      <c r="D197">
        <f>抵押物清单!F207</f>
        <v>87.26</v>
      </c>
      <c r="E197" s="3465" t="s">
        <v>4884</v>
      </c>
      <c r="F197" s="3465" t="s">
        <v>4879</v>
      </c>
      <c r="G197" s="3465" t="s">
        <v>4893</v>
      </c>
    </row>
    <row r="198" spans="2:7">
      <c r="B198" s="3249">
        <v>195</v>
      </c>
      <c r="C198" t="str">
        <f>抵押物清单!E208</f>
        <v>6-2-401</v>
      </c>
      <c r="D198">
        <f>抵押物清单!F208</f>
        <v>83.29</v>
      </c>
      <c r="E198" s="3465" t="s">
        <v>4882</v>
      </c>
      <c r="F198" s="3465" t="s">
        <v>4879</v>
      </c>
      <c r="G198" s="3465" t="s">
        <v>4893</v>
      </c>
    </row>
    <row r="199" spans="2:7">
      <c r="B199" s="3249">
        <v>196</v>
      </c>
      <c r="C199" t="str">
        <f>抵押物清单!E209</f>
        <v>6-2-402</v>
      </c>
      <c r="D199">
        <f>抵押物清单!F209</f>
        <v>87.26</v>
      </c>
      <c r="E199" s="3465" t="s">
        <v>4882</v>
      </c>
      <c r="F199" s="3465" t="s">
        <v>4879</v>
      </c>
      <c r="G199" s="3465" t="s">
        <v>4893</v>
      </c>
    </row>
    <row r="200" spans="2:7">
      <c r="B200" s="3249">
        <v>197</v>
      </c>
      <c r="C200" t="str">
        <f>抵押物清单!E210</f>
        <v>6-2-501</v>
      </c>
      <c r="D200">
        <f>抵押物清单!F210</f>
        <v>83.29</v>
      </c>
      <c r="E200" s="3465" t="s">
        <v>4882</v>
      </c>
      <c r="F200" s="3465" t="s">
        <v>4879</v>
      </c>
      <c r="G200" s="3465" t="s">
        <v>4893</v>
      </c>
    </row>
    <row r="201" spans="2:7">
      <c r="B201" s="3249">
        <v>198</v>
      </c>
      <c r="C201" t="str">
        <f>抵押物清单!E211</f>
        <v>6-2-502</v>
      </c>
      <c r="D201">
        <f>抵押物清单!F211</f>
        <v>87.26</v>
      </c>
      <c r="E201" s="3465" t="s">
        <v>4882</v>
      </c>
      <c r="F201" s="3465" t="s">
        <v>4879</v>
      </c>
      <c r="G201" s="3465" t="s">
        <v>4893</v>
      </c>
    </row>
    <row r="202" spans="2:7">
      <c r="B202" s="3249">
        <v>199</v>
      </c>
      <c r="C202" t="str">
        <f>抵押物清单!E212</f>
        <v>6-2-601</v>
      </c>
      <c r="D202">
        <f>抵押物清单!F212</f>
        <v>83.29</v>
      </c>
      <c r="E202" s="3465" t="s">
        <v>4882</v>
      </c>
      <c r="F202" s="3465" t="s">
        <v>4879</v>
      </c>
      <c r="G202" s="3465" t="s">
        <v>4893</v>
      </c>
    </row>
    <row r="203" spans="2:7">
      <c r="B203" s="3249">
        <v>200</v>
      </c>
      <c r="C203" t="str">
        <f>抵押物清单!E213</f>
        <v>6-2-602</v>
      </c>
      <c r="D203">
        <f>抵押物清单!F213</f>
        <v>87.26</v>
      </c>
      <c r="E203" s="3465" t="s">
        <v>4882</v>
      </c>
      <c r="F203" s="3465" t="s">
        <v>4879</v>
      </c>
      <c r="G203" s="3465" t="s">
        <v>4893</v>
      </c>
    </row>
    <row r="204" spans="2:7">
      <c r="B204" s="3249">
        <v>201</v>
      </c>
      <c r="C204" t="str">
        <f>抵押物清单!E214</f>
        <v>6-2-701</v>
      </c>
      <c r="D204">
        <f>抵押物清单!F214</f>
        <v>83.29</v>
      </c>
      <c r="E204" s="3465" t="s">
        <v>4883</v>
      </c>
      <c r="F204" s="3465" t="s">
        <v>4879</v>
      </c>
      <c r="G204" s="3465" t="s">
        <v>4893</v>
      </c>
    </row>
    <row r="205" spans="2:7">
      <c r="B205" s="3249">
        <v>202</v>
      </c>
      <c r="C205" t="str">
        <f>抵押物清单!E215</f>
        <v>6-2-702</v>
      </c>
      <c r="D205">
        <f>抵押物清单!F215</f>
        <v>87.26</v>
      </c>
      <c r="E205" s="3465" t="s">
        <v>4883</v>
      </c>
      <c r="F205" s="3465" t="s">
        <v>4879</v>
      </c>
      <c r="G205" s="3465" t="s">
        <v>4893</v>
      </c>
    </row>
    <row r="206" spans="2:7">
      <c r="B206" s="3249">
        <v>203</v>
      </c>
      <c r="C206" t="str">
        <f>抵押物清单!E216</f>
        <v>6-2-801</v>
      </c>
      <c r="D206">
        <f>抵押物清单!F216</f>
        <v>83.29</v>
      </c>
      <c r="E206" s="3465" t="s">
        <v>4883</v>
      </c>
      <c r="F206" s="3465" t="s">
        <v>4879</v>
      </c>
      <c r="G206" s="3465" t="s">
        <v>4893</v>
      </c>
    </row>
    <row r="207" spans="2:7">
      <c r="B207" s="3249">
        <v>204</v>
      </c>
      <c r="C207" t="str">
        <f>抵押物清单!E217</f>
        <v>6-2-802</v>
      </c>
      <c r="D207">
        <f>抵押物清单!F217</f>
        <v>87.26</v>
      </c>
      <c r="E207" s="3465" t="s">
        <v>4883</v>
      </c>
      <c r="F207" s="3465" t="s">
        <v>4879</v>
      </c>
      <c r="G207" s="3465" t="s">
        <v>4893</v>
      </c>
    </row>
    <row r="208" spans="2:7">
      <c r="B208" s="3249">
        <v>205</v>
      </c>
      <c r="C208" t="str">
        <f>抵押物清单!E218</f>
        <v>6-2-901</v>
      </c>
      <c r="D208">
        <f>抵押物清单!F218</f>
        <v>83.29</v>
      </c>
      <c r="E208" s="3465" t="s">
        <v>4883</v>
      </c>
      <c r="F208" s="3465" t="s">
        <v>4879</v>
      </c>
      <c r="G208" s="3465" t="s">
        <v>4893</v>
      </c>
    </row>
    <row r="209" spans="2:7">
      <c r="B209" s="3249">
        <v>206</v>
      </c>
      <c r="C209" t="str">
        <f>抵押物清单!E219</f>
        <v>6-2-902</v>
      </c>
      <c r="D209">
        <f>抵押物清单!F219</f>
        <v>87.26</v>
      </c>
      <c r="E209" s="3465" t="s">
        <v>4883</v>
      </c>
      <c r="F209" s="3465" t="s">
        <v>4879</v>
      </c>
      <c r="G209" s="3465" t="s">
        <v>4893</v>
      </c>
    </row>
    <row r="210" spans="2:7">
      <c r="B210" s="3249">
        <v>207</v>
      </c>
      <c r="C210" t="str">
        <f>抵押物清单!E220</f>
        <v>6-2-1001</v>
      </c>
      <c r="D210">
        <f>抵押物清单!F220</f>
        <v>83.29</v>
      </c>
      <c r="E210" s="3465" t="s">
        <v>4883</v>
      </c>
      <c r="F210" s="3465" t="s">
        <v>4879</v>
      </c>
      <c r="G210" s="3465" t="s">
        <v>4893</v>
      </c>
    </row>
    <row r="211" spans="2:7">
      <c r="B211" s="3249">
        <v>208</v>
      </c>
      <c r="C211" t="str">
        <f>抵押物清单!E221</f>
        <v>6-2-1002</v>
      </c>
      <c r="D211">
        <f>抵押物清单!F221</f>
        <v>87.26</v>
      </c>
      <c r="E211" s="3465" t="s">
        <v>4883</v>
      </c>
      <c r="F211" s="3465" t="s">
        <v>4879</v>
      </c>
      <c r="G211" s="3465" t="s">
        <v>4893</v>
      </c>
    </row>
    <row r="212" spans="2:7">
      <c r="B212" s="3249">
        <v>209</v>
      </c>
      <c r="C212" t="str">
        <f>抵押物清单!E223</f>
        <v>3-1-101</v>
      </c>
      <c r="D212">
        <f>抵押物清单!F223</f>
        <v>87.15</v>
      </c>
      <c r="E212" s="3465" t="s">
        <v>4884</v>
      </c>
      <c r="F212" s="3465" t="s">
        <v>4879</v>
      </c>
      <c r="G212" s="3465" t="s">
        <v>4886</v>
      </c>
    </row>
    <row r="213" spans="2:7">
      <c r="B213" s="3249">
        <v>210</v>
      </c>
      <c r="C213" t="str">
        <f>抵押物清单!E224</f>
        <v>3-1-102</v>
      </c>
      <c r="D213">
        <f>抵押物清单!F224</f>
        <v>73.41</v>
      </c>
      <c r="E213" s="3465" t="s">
        <v>4884</v>
      </c>
      <c r="F213" s="3465" t="s">
        <v>4879</v>
      </c>
      <c r="G213" s="3465" t="s">
        <v>4886</v>
      </c>
    </row>
    <row r="214" spans="2:7">
      <c r="B214" s="3249">
        <v>211</v>
      </c>
      <c r="C214" t="str">
        <f>抵押物清单!E225</f>
        <v>3-1-201</v>
      </c>
      <c r="D214">
        <f>抵押物清单!F225</f>
        <v>87.15</v>
      </c>
      <c r="E214" s="3465" t="s">
        <v>4884</v>
      </c>
      <c r="F214" s="3465" t="s">
        <v>4879</v>
      </c>
      <c r="G214" s="3465" t="s">
        <v>4886</v>
      </c>
    </row>
    <row r="215" spans="2:7">
      <c r="B215" s="3249">
        <v>212</v>
      </c>
      <c r="C215" t="str">
        <f>抵押物清单!E226</f>
        <v>3-1-202</v>
      </c>
      <c r="D215">
        <f>抵押物清单!F226</f>
        <v>89.82</v>
      </c>
      <c r="E215" s="3465" t="s">
        <v>4884</v>
      </c>
      <c r="F215" s="3465" t="s">
        <v>4879</v>
      </c>
      <c r="G215" s="3465" t="s">
        <v>4886</v>
      </c>
    </row>
    <row r="216" spans="2:7">
      <c r="B216" s="3249">
        <v>213</v>
      </c>
      <c r="C216" t="str">
        <f>抵押物清单!E227</f>
        <v>3-1-301</v>
      </c>
      <c r="D216">
        <f>抵押物清单!F227</f>
        <v>87.15</v>
      </c>
      <c r="E216" s="3465" t="s">
        <v>4884</v>
      </c>
      <c r="F216" s="3465" t="s">
        <v>4879</v>
      </c>
      <c r="G216" s="3465" t="s">
        <v>4886</v>
      </c>
    </row>
    <row r="217" spans="2:7">
      <c r="B217" s="3249">
        <v>214</v>
      </c>
      <c r="C217" t="str">
        <f>抵押物清单!E228</f>
        <v>3-1-302</v>
      </c>
      <c r="D217">
        <f>抵押物清单!F228</f>
        <v>89.82</v>
      </c>
      <c r="E217" s="3465" t="s">
        <v>4884</v>
      </c>
      <c r="F217" s="3465" t="s">
        <v>4879</v>
      </c>
      <c r="G217" s="3465" t="s">
        <v>4886</v>
      </c>
    </row>
    <row r="218" spans="2:7">
      <c r="B218" s="3249">
        <v>215</v>
      </c>
      <c r="C218" t="str">
        <f>抵押物清单!E229</f>
        <v>3-1-401</v>
      </c>
      <c r="D218">
        <f>抵押物清单!F229</f>
        <v>87.15</v>
      </c>
      <c r="E218" t="s">
        <v>4881</v>
      </c>
      <c r="F218" s="3465" t="s">
        <v>4879</v>
      </c>
      <c r="G218" s="3465" t="s">
        <v>4886</v>
      </c>
    </row>
    <row r="219" spans="2:7">
      <c r="B219" s="3249">
        <v>216</v>
      </c>
      <c r="C219" t="str">
        <f>抵押物清单!E230</f>
        <v>3-1-402</v>
      </c>
      <c r="D219">
        <f>抵押物清单!F230</f>
        <v>89.82</v>
      </c>
      <c r="E219" t="s">
        <v>4881</v>
      </c>
      <c r="F219" s="3465" t="s">
        <v>4879</v>
      </c>
      <c r="G219" s="3465" t="s">
        <v>4886</v>
      </c>
    </row>
    <row r="220" spans="2:7">
      <c r="B220" s="3249">
        <v>217</v>
      </c>
      <c r="C220" t="str">
        <f>抵押物清单!E231</f>
        <v>3-1-501</v>
      </c>
      <c r="D220">
        <f>抵押物清单!F231</f>
        <v>87.15</v>
      </c>
      <c r="E220" t="s">
        <v>4881</v>
      </c>
      <c r="F220" s="3465" t="s">
        <v>4879</v>
      </c>
      <c r="G220" s="3465" t="s">
        <v>4886</v>
      </c>
    </row>
    <row r="221" spans="2:7">
      <c r="B221" s="3249">
        <v>218</v>
      </c>
      <c r="C221" t="str">
        <f>抵押物清单!E232</f>
        <v>3-1-502</v>
      </c>
      <c r="D221">
        <f>抵押物清单!F232</f>
        <v>89.82</v>
      </c>
      <c r="E221" t="s">
        <v>4881</v>
      </c>
      <c r="F221" s="3465" t="s">
        <v>4879</v>
      </c>
      <c r="G221" s="3465" t="s">
        <v>4886</v>
      </c>
    </row>
    <row r="222" spans="2:7">
      <c r="B222" s="3249">
        <v>219</v>
      </c>
      <c r="C222" t="str">
        <f>抵押物清单!E233</f>
        <v>3-1-601</v>
      </c>
      <c r="D222">
        <f>抵押物清单!F233</f>
        <v>87.15</v>
      </c>
      <c r="E222" t="s">
        <v>4881</v>
      </c>
      <c r="F222" s="3465" t="s">
        <v>4879</v>
      </c>
      <c r="G222" s="3465" t="s">
        <v>4886</v>
      </c>
    </row>
    <row r="223" spans="2:7">
      <c r="B223" s="3249">
        <v>220</v>
      </c>
      <c r="C223" t="str">
        <f>抵押物清单!E234</f>
        <v>3-1-602</v>
      </c>
      <c r="D223">
        <f>抵押物清单!F234</f>
        <v>89.82</v>
      </c>
      <c r="E223" t="s">
        <v>4881</v>
      </c>
      <c r="F223" s="3465" t="s">
        <v>4879</v>
      </c>
      <c r="G223" s="3465" t="s">
        <v>4886</v>
      </c>
    </row>
    <row r="224" spans="2:7">
      <c r="B224" s="3249">
        <v>221</v>
      </c>
      <c r="C224" t="str">
        <f>抵押物清单!E235</f>
        <v>3-1-701</v>
      </c>
      <c r="D224">
        <f>抵押物清单!F235</f>
        <v>87.15</v>
      </c>
      <c r="E224" t="s">
        <v>4881</v>
      </c>
      <c r="F224" s="3465" t="s">
        <v>4879</v>
      </c>
      <c r="G224" s="3465" t="s">
        <v>4886</v>
      </c>
    </row>
    <row r="225" spans="2:7">
      <c r="B225" s="3249">
        <v>222</v>
      </c>
      <c r="C225" t="str">
        <f>抵押物清单!E236</f>
        <v>3-1-702</v>
      </c>
      <c r="D225">
        <f>抵押物清单!F236</f>
        <v>89.82</v>
      </c>
      <c r="E225" t="s">
        <v>4881</v>
      </c>
      <c r="F225" s="3465" t="s">
        <v>4879</v>
      </c>
      <c r="G225" s="3465" t="s">
        <v>4886</v>
      </c>
    </row>
    <row r="226" spans="2:7">
      <c r="B226" s="3249">
        <v>223</v>
      </c>
      <c r="C226" t="str">
        <f>抵押物清单!E237</f>
        <v>3-1-801</v>
      </c>
      <c r="D226">
        <f>抵押物清单!F237</f>
        <v>87.15</v>
      </c>
      <c r="E226" s="3465" t="s">
        <v>4883</v>
      </c>
      <c r="F226" s="3465" t="s">
        <v>4879</v>
      </c>
      <c r="G226" s="3465" t="s">
        <v>4886</v>
      </c>
    </row>
    <row r="227" spans="2:7">
      <c r="B227" s="3249">
        <v>224</v>
      </c>
      <c r="C227" t="str">
        <f>抵押物清单!E238</f>
        <v>3-1-802</v>
      </c>
      <c r="D227">
        <f>抵押物清单!F238</f>
        <v>89.82</v>
      </c>
      <c r="E227" s="3465" t="s">
        <v>4883</v>
      </c>
      <c r="F227" s="3465" t="s">
        <v>4879</v>
      </c>
      <c r="G227" s="3465" t="s">
        <v>4886</v>
      </c>
    </row>
    <row r="228" spans="2:7">
      <c r="B228" s="3249">
        <v>225</v>
      </c>
      <c r="C228" t="str">
        <f>抵押物清单!E239</f>
        <v>3-1-901</v>
      </c>
      <c r="D228">
        <f>抵押物清单!F239</f>
        <v>87.15</v>
      </c>
      <c r="E228" s="3465" t="s">
        <v>4883</v>
      </c>
      <c r="F228" s="3465" t="s">
        <v>4879</v>
      </c>
      <c r="G228" s="3465" t="s">
        <v>4886</v>
      </c>
    </row>
    <row r="229" spans="2:7">
      <c r="B229" s="3249">
        <v>226</v>
      </c>
      <c r="C229" t="str">
        <f>抵押物清单!E240</f>
        <v>3-1-902</v>
      </c>
      <c r="D229">
        <f>抵押物清单!F240</f>
        <v>89.82</v>
      </c>
      <c r="E229" s="3465" t="s">
        <v>4883</v>
      </c>
      <c r="F229" s="3465" t="s">
        <v>4879</v>
      </c>
      <c r="G229" s="3465" t="s">
        <v>4886</v>
      </c>
    </row>
    <row r="230" spans="2:7">
      <c r="B230" s="3249">
        <v>227</v>
      </c>
      <c r="C230" t="str">
        <f>抵押物清单!E241</f>
        <v>3-1-1001</v>
      </c>
      <c r="D230">
        <f>抵押物清单!F241</f>
        <v>87.15</v>
      </c>
      <c r="E230" s="3465" t="s">
        <v>4883</v>
      </c>
      <c r="F230" s="3465" t="s">
        <v>4879</v>
      </c>
      <c r="G230" s="3465" t="s">
        <v>4886</v>
      </c>
    </row>
    <row r="231" spans="2:7">
      <c r="B231" s="3249">
        <v>228</v>
      </c>
      <c r="C231" t="str">
        <f>抵押物清单!E242</f>
        <v>3-1-1002</v>
      </c>
      <c r="D231">
        <f>抵押物清单!F242</f>
        <v>89.82</v>
      </c>
      <c r="E231" s="3465" t="s">
        <v>4883</v>
      </c>
      <c r="F231" s="3465" t="s">
        <v>4879</v>
      </c>
      <c r="G231" s="3465" t="s">
        <v>4886</v>
      </c>
    </row>
    <row r="232" spans="2:7">
      <c r="B232" s="3249">
        <v>229</v>
      </c>
      <c r="C232" t="str">
        <f>抵押物清单!E243</f>
        <v>3-1-1101</v>
      </c>
      <c r="D232">
        <f>抵押物清单!F243</f>
        <v>87.15</v>
      </c>
      <c r="E232" s="3465" t="s">
        <v>4883</v>
      </c>
      <c r="F232" s="3465" t="s">
        <v>4879</v>
      </c>
      <c r="G232" s="3465" t="s">
        <v>4886</v>
      </c>
    </row>
    <row r="233" spans="2:7">
      <c r="B233" s="3249">
        <v>230</v>
      </c>
      <c r="C233" t="str">
        <f>抵押物清单!E244</f>
        <v>3-1-1102</v>
      </c>
      <c r="D233">
        <f>抵押物清单!F244</f>
        <v>89.82</v>
      </c>
      <c r="E233" s="3465" t="s">
        <v>4883</v>
      </c>
      <c r="F233" s="3465" t="s">
        <v>4879</v>
      </c>
      <c r="G233" s="3465" t="s">
        <v>4886</v>
      </c>
    </row>
    <row r="234" spans="2:7">
      <c r="B234" s="3249">
        <v>231</v>
      </c>
      <c r="C234" t="str">
        <f>抵押物清单!E245</f>
        <v>3-2-101</v>
      </c>
      <c r="D234">
        <f>抵押物清单!F245</f>
        <v>89.82</v>
      </c>
      <c r="E234" s="3465" t="s">
        <v>4884</v>
      </c>
      <c r="F234" s="3465" t="s">
        <v>4879</v>
      </c>
      <c r="G234" s="3465" t="s">
        <v>4886</v>
      </c>
    </row>
    <row r="235" spans="2:7">
      <c r="B235" s="3249">
        <v>232</v>
      </c>
      <c r="C235" t="str">
        <f>抵押物清单!E246</f>
        <v>3-2-102</v>
      </c>
      <c r="D235">
        <f>抵押物清单!F246</f>
        <v>73.41</v>
      </c>
      <c r="E235" s="3465" t="s">
        <v>4884</v>
      </c>
      <c r="F235" s="3465" t="s">
        <v>4879</v>
      </c>
      <c r="G235" s="3465" t="s">
        <v>4886</v>
      </c>
    </row>
    <row r="236" spans="2:7">
      <c r="B236" s="3249">
        <v>233</v>
      </c>
      <c r="C236" t="str">
        <f>抵押物清单!E247</f>
        <v>3-2-201</v>
      </c>
      <c r="D236">
        <f>抵押物清单!F247</f>
        <v>89.82</v>
      </c>
      <c r="E236" s="3465" t="s">
        <v>4884</v>
      </c>
      <c r="F236" s="3465" t="s">
        <v>4879</v>
      </c>
      <c r="G236" s="3465" t="s">
        <v>4886</v>
      </c>
    </row>
    <row r="237" spans="2:7">
      <c r="B237" s="3249">
        <v>234</v>
      </c>
      <c r="C237" t="str">
        <f>抵押物清单!E248</f>
        <v>3-2-202</v>
      </c>
      <c r="D237">
        <f>抵押物清单!F248</f>
        <v>89.82</v>
      </c>
      <c r="E237" s="3465" t="s">
        <v>4884</v>
      </c>
      <c r="F237" s="3465" t="s">
        <v>4879</v>
      </c>
      <c r="G237" s="3465" t="s">
        <v>4886</v>
      </c>
    </row>
    <row r="238" spans="2:7">
      <c r="B238" s="3249">
        <v>235</v>
      </c>
      <c r="C238" t="str">
        <f>抵押物清单!E249</f>
        <v>3-2-301</v>
      </c>
      <c r="D238">
        <f>抵押物清单!F249</f>
        <v>89.82</v>
      </c>
      <c r="E238" s="3465" t="s">
        <v>4884</v>
      </c>
      <c r="F238" s="3465" t="s">
        <v>4879</v>
      </c>
      <c r="G238" s="3465" t="s">
        <v>4886</v>
      </c>
    </row>
    <row r="239" spans="2:7">
      <c r="B239" s="3249">
        <v>236</v>
      </c>
      <c r="C239" t="str">
        <f>抵押物清单!E250</f>
        <v>3-2-302</v>
      </c>
      <c r="D239">
        <f>抵押物清单!F250</f>
        <v>89.82</v>
      </c>
      <c r="E239" s="3465" t="s">
        <v>4884</v>
      </c>
      <c r="F239" s="3465" t="s">
        <v>4879</v>
      </c>
      <c r="G239" s="3465" t="s">
        <v>4886</v>
      </c>
    </row>
    <row r="240" spans="2:7">
      <c r="B240" s="3249">
        <v>237</v>
      </c>
      <c r="C240" t="str">
        <f>抵押物清单!E251</f>
        <v>3-2-401</v>
      </c>
      <c r="D240">
        <f>抵押物清单!F251</f>
        <v>89.82</v>
      </c>
      <c r="E240" t="s">
        <v>4881</v>
      </c>
      <c r="F240" s="3465" t="s">
        <v>4879</v>
      </c>
      <c r="G240" s="3465" t="s">
        <v>4886</v>
      </c>
    </row>
    <row r="241" spans="2:7">
      <c r="B241" s="3249">
        <v>238</v>
      </c>
      <c r="C241" t="str">
        <f>抵押物清单!E252</f>
        <v>3-2-402</v>
      </c>
      <c r="D241">
        <f>抵押物清单!F252</f>
        <v>89.82</v>
      </c>
      <c r="E241" t="s">
        <v>4881</v>
      </c>
      <c r="F241" s="3465" t="s">
        <v>4879</v>
      </c>
      <c r="G241" s="3465" t="s">
        <v>4886</v>
      </c>
    </row>
    <row r="242" spans="2:7">
      <c r="B242" s="3249">
        <v>239</v>
      </c>
      <c r="C242" t="str">
        <f>抵押物清单!E253</f>
        <v>3-2-501</v>
      </c>
      <c r="D242">
        <f>抵押物清单!F253</f>
        <v>89.82</v>
      </c>
      <c r="E242" t="s">
        <v>4881</v>
      </c>
      <c r="F242" s="3465" t="s">
        <v>4879</v>
      </c>
      <c r="G242" s="3465" t="s">
        <v>4886</v>
      </c>
    </row>
    <row r="243" spans="2:7">
      <c r="B243" s="3249">
        <v>240</v>
      </c>
      <c r="C243" t="str">
        <f>抵押物清单!E254</f>
        <v>3-2-502</v>
      </c>
      <c r="D243">
        <f>抵押物清单!F254</f>
        <v>89.82</v>
      </c>
      <c r="E243" t="s">
        <v>4881</v>
      </c>
      <c r="F243" s="3465" t="s">
        <v>4879</v>
      </c>
      <c r="G243" s="3465" t="s">
        <v>4886</v>
      </c>
    </row>
    <row r="244" spans="2:7">
      <c r="B244" s="3249">
        <v>241</v>
      </c>
      <c r="C244" t="str">
        <f>抵押物清单!E255</f>
        <v>3-2-601</v>
      </c>
      <c r="D244">
        <f>抵押物清单!F255</f>
        <v>89.82</v>
      </c>
      <c r="E244" t="s">
        <v>4881</v>
      </c>
      <c r="F244" s="3465" t="s">
        <v>4879</v>
      </c>
      <c r="G244" s="3465" t="s">
        <v>4886</v>
      </c>
    </row>
    <row r="245" spans="2:7">
      <c r="B245" s="3249">
        <v>242</v>
      </c>
      <c r="C245" t="str">
        <f>抵押物清单!E256</f>
        <v>3-2-602</v>
      </c>
      <c r="D245">
        <f>抵押物清单!F256</f>
        <v>89.82</v>
      </c>
      <c r="E245" t="s">
        <v>4881</v>
      </c>
      <c r="F245" s="3465" t="s">
        <v>4879</v>
      </c>
      <c r="G245" s="3465" t="s">
        <v>4886</v>
      </c>
    </row>
    <row r="246" spans="2:7">
      <c r="B246" s="3249">
        <v>243</v>
      </c>
      <c r="C246" t="str">
        <f>抵押物清单!E257</f>
        <v>3-2-701</v>
      </c>
      <c r="D246">
        <f>抵押物清单!F257</f>
        <v>89.82</v>
      </c>
      <c r="E246" t="s">
        <v>4881</v>
      </c>
      <c r="F246" s="3465" t="s">
        <v>4879</v>
      </c>
      <c r="G246" s="3465" t="s">
        <v>4886</v>
      </c>
    </row>
    <row r="247" spans="2:7">
      <c r="B247" s="3249">
        <v>244</v>
      </c>
      <c r="C247" t="str">
        <f>抵押物清单!E258</f>
        <v>3-2-702</v>
      </c>
      <c r="D247">
        <f>抵押物清单!F258</f>
        <v>89.82</v>
      </c>
      <c r="E247" t="s">
        <v>4881</v>
      </c>
      <c r="F247" s="3465" t="s">
        <v>4879</v>
      </c>
      <c r="G247" s="3465" t="s">
        <v>4886</v>
      </c>
    </row>
    <row r="248" spans="2:7">
      <c r="B248" s="3249">
        <v>245</v>
      </c>
      <c r="C248" t="str">
        <f>抵押物清单!E259</f>
        <v>3-2-801</v>
      </c>
      <c r="D248">
        <f>抵押物清单!F259</f>
        <v>89.82</v>
      </c>
      <c r="E248" s="3465" t="s">
        <v>4883</v>
      </c>
      <c r="F248" s="3465" t="s">
        <v>4879</v>
      </c>
      <c r="G248" s="3465" t="s">
        <v>4886</v>
      </c>
    </row>
    <row r="249" spans="2:7">
      <c r="B249" s="3249">
        <v>246</v>
      </c>
      <c r="C249" t="str">
        <f>抵押物清单!E260</f>
        <v>3-2-802</v>
      </c>
      <c r="D249">
        <f>抵押物清单!F260</f>
        <v>89.82</v>
      </c>
      <c r="E249" s="3465" t="s">
        <v>4883</v>
      </c>
      <c r="F249" s="3465" t="s">
        <v>4879</v>
      </c>
      <c r="G249" s="3465" t="s">
        <v>4886</v>
      </c>
    </row>
    <row r="250" spans="2:7">
      <c r="B250" s="3249">
        <v>247</v>
      </c>
      <c r="C250" t="str">
        <f>抵押物清单!E261</f>
        <v>3-2-901</v>
      </c>
      <c r="D250">
        <f>抵押物清单!F261</f>
        <v>89.82</v>
      </c>
      <c r="E250" s="3465" t="s">
        <v>4883</v>
      </c>
      <c r="F250" s="3465" t="s">
        <v>4879</v>
      </c>
      <c r="G250" s="3465" t="s">
        <v>4886</v>
      </c>
    </row>
    <row r="251" spans="2:7">
      <c r="B251" s="3249">
        <v>248</v>
      </c>
      <c r="C251" t="str">
        <f>抵押物清单!E262</f>
        <v>3-2-902</v>
      </c>
      <c r="D251">
        <f>抵押物清单!F262</f>
        <v>89.82</v>
      </c>
      <c r="E251" s="3465" t="s">
        <v>4883</v>
      </c>
      <c r="F251" s="3465" t="s">
        <v>4879</v>
      </c>
      <c r="G251" s="3465" t="s">
        <v>4886</v>
      </c>
    </row>
    <row r="252" spans="2:7">
      <c r="B252" s="3249">
        <v>249</v>
      </c>
      <c r="C252" t="str">
        <f>抵押物清单!E263</f>
        <v>3-2-1001</v>
      </c>
      <c r="D252">
        <f>抵押物清单!F263</f>
        <v>89.82</v>
      </c>
      <c r="E252" s="3465" t="s">
        <v>4883</v>
      </c>
      <c r="F252" s="3465" t="s">
        <v>4879</v>
      </c>
      <c r="G252" s="3465" t="s">
        <v>4886</v>
      </c>
    </row>
    <row r="253" spans="2:7">
      <c r="B253" s="3249">
        <v>250</v>
      </c>
      <c r="C253" t="str">
        <f>抵押物清单!E264</f>
        <v>3-2-1002</v>
      </c>
      <c r="D253">
        <f>抵押物清单!F264</f>
        <v>89.82</v>
      </c>
      <c r="E253" s="3465" t="s">
        <v>4883</v>
      </c>
      <c r="F253" s="3465" t="s">
        <v>4879</v>
      </c>
      <c r="G253" s="3465" t="s">
        <v>4886</v>
      </c>
    </row>
    <row r="254" spans="2:7">
      <c r="B254" s="3249">
        <v>251</v>
      </c>
      <c r="C254" t="str">
        <f>抵押物清单!E265</f>
        <v>3-2-1101</v>
      </c>
      <c r="D254">
        <f>抵押物清单!F265</f>
        <v>89.82</v>
      </c>
      <c r="E254" s="3465" t="s">
        <v>4883</v>
      </c>
      <c r="F254" s="3465" t="s">
        <v>4879</v>
      </c>
      <c r="G254" s="3465" t="s">
        <v>4886</v>
      </c>
    </row>
    <row r="255" spans="2:7">
      <c r="B255" s="3249">
        <v>252</v>
      </c>
      <c r="C255" t="str">
        <f>抵押物清单!E266</f>
        <v>3-2-1102</v>
      </c>
      <c r="D255">
        <f>抵押物清单!F266</f>
        <v>89.82</v>
      </c>
      <c r="E255" s="3465" t="s">
        <v>4883</v>
      </c>
      <c r="F255" s="3465" t="s">
        <v>4879</v>
      </c>
      <c r="G255" s="3465" t="s">
        <v>4886</v>
      </c>
    </row>
    <row r="256" spans="2:7">
      <c r="B256" s="3249">
        <v>253</v>
      </c>
      <c r="C256" t="str">
        <f>抵押物清单!E267</f>
        <v>3-3-101</v>
      </c>
      <c r="D256">
        <f>抵押物清单!F267</f>
        <v>73.41</v>
      </c>
      <c r="E256" s="3465" t="s">
        <v>4884</v>
      </c>
      <c r="F256" s="3465" t="s">
        <v>4879</v>
      </c>
      <c r="G256" s="3465" t="s">
        <v>4886</v>
      </c>
    </row>
    <row r="257" spans="2:7">
      <c r="B257" s="3249">
        <v>254</v>
      </c>
      <c r="C257" t="str">
        <f>抵押物清单!E268</f>
        <v>3-3-102</v>
      </c>
      <c r="D257">
        <f>抵押物清单!F268</f>
        <v>89.82</v>
      </c>
      <c r="E257" s="3465" t="s">
        <v>4884</v>
      </c>
      <c r="F257" s="3465" t="s">
        <v>4879</v>
      </c>
      <c r="G257" s="3465" t="s">
        <v>4886</v>
      </c>
    </row>
    <row r="258" spans="2:7">
      <c r="B258" s="3249">
        <v>255</v>
      </c>
      <c r="C258" t="str">
        <f>抵押物清单!E269</f>
        <v>3-3-201</v>
      </c>
      <c r="D258">
        <f>抵押物清单!F269</f>
        <v>89.82</v>
      </c>
      <c r="E258" s="3465" t="s">
        <v>4884</v>
      </c>
      <c r="F258" s="3465" t="s">
        <v>4879</v>
      </c>
      <c r="G258" s="3465" t="s">
        <v>4886</v>
      </c>
    </row>
    <row r="259" spans="2:7">
      <c r="B259" s="3249">
        <v>256</v>
      </c>
      <c r="C259" t="str">
        <f>抵押物清单!E270</f>
        <v>3-3-202</v>
      </c>
      <c r="D259">
        <f>抵押物清单!F270</f>
        <v>89.82</v>
      </c>
      <c r="E259" s="3465" t="s">
        <v>4884</v>
      </c>
      <c r="F259" s="3465" t="s">
        <v>4879</v>
      </c>
      <c r="G259" s="3465" t="s">
        <v>4886</v>
      </c>
    </row>
    <row r="260" spans="2:7">
      <c r="B260" s="3249">
        <v>257</v>
      </c>
      <c r="C260" t="str">
        <f>抵押物清单!E271</f>
        <v>3-3-301</v>
      </c>
      <c r="D260">
        <f>抵押物清单!F271</f>
        <v>89.82</v>
      </c>
      <c r="E260" s="3465" t="s">
        <v>4884</v>
      </c>
      <c r="F260" s="3465" t="s">
        <v>4879</v>
      </c>
      <c r="G260" s="3465" t="s">
        <v>4886</v>
      </c>
    </row>
    <row r="261" spans="2:7">
      <c r="B261" s="3249">
        <v>258</v>
      </c>
      <c r="C261" t="str">
        <f>抵押物清单!E272</f>
        <v>3-3-302</v>
      </c>
      <c r="D261">
        <f>抵押物清单!F272</f>
        <v>89.82</v>
      </c>
      <c r="E261" s="3465" t="s">
        <v>4884</v>
      </c>
      <c r="F261" s="3465" t="s">
        <v>4879</v>
      </c>
      <c r="G261" s="3465" t="s">
        <v>4886</v>
      </c>
    </row>
    <row r="262" spans="2:7">
      <c r="B262" s="3249">
        <v>259</v>
      </c>
      <c r="C262" t="str">
        <f>抵押物清单!E273</f>
        <v>3-3-401</v>
      </c>
      <c r="D262">
        <f>抵押物清单!F273</f>
        <v>89.82</v>
      </c>
      <c r="E262" t="s">
        <v>4881</v>
      </c>
      <c r="F262" s="3465" t="s">
        <v>4879</v>
      </c>
      <c r="G262" s="3465" t="s">
        <v>4886</v>
      </c>
    </row>
    <row r="263" spans="2:7">
      <c r="B263" s="3249">
        <v>260</v>
      </c>
      <c r="C263" t="str">
        <f>抵押物清单!E274</f>
        <v>3-3-402</v>
      </c>
      <c r="D263">
        <f>抵押物清单!F274</f>
        <v>89.82</v>
      </c>
      <c r="E263" t="s">
        <v>4881</v>
      </c>
      <c r="F263" s="3465" t="s">
        <v>4879</v>
      </c>
      <c r="G263" s="3465" t="s">
        <v>4886</v>
      </c>
    </row>
    <row r="264" spans="2:7">
      <c r="B264" s="3249">
        <v>261</v>
      </c>
      <c r="C264" t="str">
        <f>抵押物清单!E275</f>
        <v>3-3-501</v>
      </c>
      <c r="D264">
        <f>抵押物清单!F275</f>
        <v>89.82</v>
      </c>
      <c r="E264" t="s">
        <v>4881</v>
      </c>
      <c r="F264" s="3465" t="s">
        <v>4879</v>
      </c>
      <c r="G264" s="3465" t="s">
        <v>4886</v>
      </c>
    </row>
    <row r="265" spans="2:7">
      <c r="B265" s="3249">
        <v>262</v>
      </c>
      <c r="C265" t="str">
        <f>抵押物清单!E276</f>
        <v>3-3-502</v>
      </c>
      <c r="D265">
        <f>抵押物清单!F276</f>
        <v>89.82</v>
      </c>
      <c r="E265" t="s">
        <v>4881</v>
      </c>
      <c r="F265" s="3465" t="s">
        <v>4879</v>
      </c>
      <c r="G265" s="3465" t="s">
        <v>4886</v>
      </c>
    </row>
    <row r="266" spans="2:7">
      <c r="B266" s="3249">
        <v>263</v>
      </c>
      <c r="C266" t="str">
        <f>抵押物清单!E277</f>
        <v>3-3-601</v>
      </c>
      <c r="D266">
        <f>抵押物清单!F277</f>
        <v>89.82</v>
      </c>
      <c r="E266" t="s">
        <v>4881</v>
      </c>
      <c r="F266" s="3465" t="s">
        <v>4879</v>
      </c>
      <c r="G266" s="3465" t="s">
        <v>4886</v>
      </c>
    </row>
    <row r="267" spans="2:7">
      <c r="B267" s="3249">
        <v>264</v>
      </c>
      <c r="C267" t="str">
        <f>抵押物清单!E278</f>
        <v>3-3-602</v>
      </c>
      <c r="D267">
        <f>抵押物清单!F278</f>
        <v>89.82</v>
      </c>
      <c r="E267" t="s">
        <v>4881</v>
      </c>
      <c r="F267" s="3465" t="s">
        <v>4879</v>
      </c>
      <c r="G267" s="3465" t="s">
        <v>4886</v>
      </c>
    </row>
    <row r="268" spans="2:7">
      <c r="B268" s="3249">
        <v>265</v>
      </c>
      <c r="C268" t="str">
        <f>抵押物清单!E279</f>
        <v>3-3-701</v>
      </c>
      <c r="D268">
        <f>抵押物清单!F279</f>
        <v>89.82</v>
      </c>
      <c r="E268" t="s">
        <v>4881</v>
      </c>
      <c r="F268" s="3465" t="s">
        <v>4879</v>
      </c>
      <c r="G268" s="3465" t="s">
        <v>4886</v>
      </c>
    </row>
    <row r="269" spans="2:7">
      <c r="B269" s="3249">
        <v>266</v>
      </c>
      <c r="C269" t="str">
        <f>抵押物清单!E280</f>
        <v>3-3-702</v>
      </c>
      <c r="D269">
        <f>抵押物清单!F280</f>
        <v>89.82</v>
      </c>
      <c r="E269" t="s">
        <v>4881</v>
      </c>
      <c r="F269" s="3465" t="s">
        <v>4879</v>
      </c>
      <c r="G269" s="3465" t="s">
        <v>4886</v>
      </c>
    </row>
    <row r="270" spans="2:7">
      <c r="B270" s="3249">
        <v>267</v>
      </c>
      <c r="C270" t="str">
        <f>抵押物清单!E281</f>
        <v>3-3-801</v>
      </c>
      <c r="D270">
        <f>抵押物清单!F281</f>
        <v>89.82</v>
      </c>
      <c r="E270" s="3465" t="s">
        <v>4883</v>
      </c>
      <c r="F270" s="3465" t="s">
        <v>4879</v>
      </c>
      <c r="G270" s="3465" t="s">
        <v>4886</v>
      </c>
    </row>
    <row r="271" spans="2:7">
      <c r="B271" s="3249">
        <v>268</v>
      </c>
      <c r="C271" t="str">
        <f>抵押物清单!E282</f>
        <v>3-3-802</v>
      </c>
      <c r="D271">
        <f>抵押物清单!F282</f>
        <v>89.82</v>
      </c>
      <c r="E271" s="3465" t="s">
        <v>4883</v>
      </c>
      <c r="F271" s="3465" t="s">
        <v>4879</v>
      </c>
      <c r="G271" s="3465" t="s">
        <v>4886</v>
      </c>
    </row>
    <row r="272" spans="2:7">
      <c r="B272" s="3249">
        <v>269</v>
      </c>
      <c r="C272" t="str">
        <f>抵押物清单!E283</f>
        <v>3-3-901</v>
      </c>
      <c r="D272">
        <f>抵押物清单!F283</f>
        <v>89.82</v>
      </c>
      <c r="E272" s="3465" t="s">
        <v>4883</v>
      </c>
      <c r="F272" s="3465" t="s">
        <v>4879</v>
      </c>
      <c r="G272" s="3465" t="s">
        <v>4886</v>
      </c>
    </row>
    <row r="273" spans="2:7">
      <c r="B273" s="3249">
        <v>270</v>
      </c>
      <c r="C273" t="str">
        <f>抵押物清单!E284</f>
        <v>3-3-902</v>
      </c>
      <c r="D273">
        <f>抵押物清单!F284</f>
        <v>89.82</v>
      </c>
      <c r="E273" s="3465" t="s">
        <v>4883</v>
      </c>
      <c r="F273" s="3465" t="s">
        <v>4879</v>
      </c>
      <c r="G273" s="3465" t="s">
        <v>4886</v>
      </c>
    </row>
    <row r="274" spans="2:7">
      <c r="B274" s="3249">
        <v>271</v>
      </c>
      <c r="C274" t="str">
        <f>抵押物清单!E285</f>
        <v>3-3-1001</v>
      </c>
      <c r="D274">
        <f>抵押物清单!F285</f>
        <v>89.82</v>
      </c>
      <c r="E274" s="3465" t="s">
        <v>4883</v>
      </c>
      <c r="F274" s="3465" t="s">
        <v>4879</v>
      </c>
      <c r="G274" s="3465" t="s">
        <v>4886</v>
      </c>
    </row>
    <row r="275" spans="2:7">
      <c r="B275" s="3249">
        <v>272</v>
      </c>
      <c r="C275" t="str">
        <f>抵押物清单!E286</f>
        <v>3-3-1002</v>
      </c>
      <c r="D275">
        <f>抵押物清单!F286</f>
        <v>89.82</v>
      </c>
      <c r="E275" s="3465" t="s">
        <v>4883</v>
      </c>
      <c r="F275" s="3465" t="s">
        <v>4879</v>
      </c>
      <c r="G275" s="3465" t="s">
        <v>4886</v>
      </c>
    </row>
    <row r="276" spans="2:7">
      <c r="B276" s="3249">
        <v>273</v>
      </c>
      <c r="C276" t="str">
        <f>抵押物清单!E287</f>
        <v>3-3-1101</v>
      </c>
      <c r="D276">
        <f>抵押物清单!F287</f>
        <v>89.82</v>
      </c>
      <c r="E276" s="3465" t="s">
        <v>4883</v>
      </c>
      <c r="F276" s="3465" t="s">
        <v>4879</v>
      </c>
      <c r="G276" s="3465" t="s">
        <v>4886</v>
      </c>
    </row>
    <row r="277" spans="2:7">
      <c r="B277" s="3249">
        <v>274</v>
      </c>
      <c r="C277" t="str">
        <f>抵押物清单!E288</f>
        <v>3-3-1102</v>
      </c>
      <c r="D277">
        <f>抵押物清单!F288</f>
        <v>89.82</v>
      </c>
      <c r="E277" s="3465" t="s">
        <v>4883</v>
      </c>
      <c r="F277" s="3465" t="s">
        <v>4879</v>
      </c>
      <c r="G277" s="3465" t="s">
        <v>4886</v>
      </c>
    </row>
    <row r="278" spans="2:7">
      <c r="B278" s="3249">
        <v>275</v>
      </c>
      <c r="C278" t="str">
        <f>抵押物清单!E289</f>
        <v>3-4-101</v>
      </c>
      <c r="D278">
        <f>抵押物清单!F289</f>
        <v>73.41</v>
      </c>
      <c r="E278" s="3465" t="s">
        <v>4884</v>
      </c>
      <c r="F278" s="3465" t="s">
        <v>4879</v>
      </c>
      <c r="G278" s="3465" t="s">
        <v>4886</v>
      </c>
    </row>
    <row r="279" spans="2:7">
      <c r="B279" s="3249">
        <v>276</v>
      </c>
      <c r="C279" t="str">
        <f>抵押物清单!E290</f>
        <v>3-4-102</v>
      </c>
      <c r="D279">
        <f>抵押物清单!F290</f>
        <v>174.31</v>
      </c>
      <c r="E279" s="3465" t="s">
        <v>4884</v>
      </c>
      <c r="F279" s="3465" t="s">
        <v>4879</v>
      </c>
      <c r="G279" s="3465" t="s">
        <v>4886</v>
      </c>
    </row>
    <row r="280" spans="2:7">
      <c r="B280" s="3249">
        <v>277</v>
      </c>
      <c r="C280" t="str">
        <f>抵押物清单!E291</f>
        <v>3-4-201</v>
      </c>
      <c r="D280">
        <f>抵押物清单!F291</f>
        <v>89.82</v>
      </c>
      <c r="E280" s="3465" t="s">
        <v>4884</v>
      </c>
      <c r="F280" s="3465" t="s">
        <v>4879</v>
      </c>
      <c r="G280" s="3465" t="s">
        <v>4886</v>
      </c>
    </row>
    <row r="281" spans="2:7">
      <c r="B281" s="3249">
        <v>278</v>
      </c>
      <c r="C281" t="str">
        <f>抵押物清单!E292</f>
        <v>3-4-301</v>
      </c>
      <c r="D281">
        <f>抵押物清单!F292</f>
        <v>89.82</v>
      </c>
      <c r="E281" s="3465" t="s">
        <v>4884</v>
      </c>
      <c r="F281" s="3465" t="s">
        <v>4879</v>
      </c>
      <c r="G281" s="3465" t="s">
        <v>4886</v>
      </c>
    </row>
    <row r="282" spans="2:7">
      <c r="B282" s="3249">
        <v>279</v>
      </c>
      <c r="C282" t="str">
        <f>抵押物清单!E293</f>
        <v>3-4-302</v>
      </c>
      <c r="D282">
        <f>抵押物清单!F293</f>
        <v>87.15</v>
      </c>
      <c r="E282" s="3465" t="s">
        <v>4884</v>
      </c>
      <c r="F282" s="3465" t="s">
        <v>4879</v>
      </c>
      <c r="G282" s="3465" t="s">
        <v>4886</v>
      </c>
    </row>
    <row r="283" spans="2:7">
      <c r="B283" s="3249">
        <v>280</v>
      </c>
      <c r="C283" t="str">
        <f>抵押物清单!E294</f>
        <v>3-4-401</v>
      </c>
      <c r="D283">
        <f>抵押物清单!F294</f>
        <v>89.82</v>
      </c>
      <c r="E283" t="s">
        <v>4881</v>
      </c>
      <c r="F283" s="3465" t="s">
        <v>4879</v>
      </c>
      <c r="G283" s="3465" t="s">
        <v>4886</v>
      </c>
    </row>
    <row r="284" spans="2:7">
      <c r="B284" s="3249">
        <v>281</v>
      </c>
      <c r="C284" t="str">
        <f>抵押物清单!E295</f>
        <v>3-4-402</v>
      </c>
      <c r="D284">
        <f>抵押物清单!F295</f>
        <v>87.15</v>
      </c>
      <c r="E284" t="s">
        <v>4881</v>
      </c>
      <c r="F284" s="3465" t="s">
        <v>4879</v>
      </c>
      <c r="G284" s="3465" t="s">
        <v>4886</v>
      </c>
    </row>
    <row r="285" spans="2:7">
      <c r="B285" s="3249">
        <v>282</v>
      </c>
      <c r="C285" t="str">
        <f>抵押物清单!E296</f>
        <v>3-4-501</v>
      </c>
      <c r="D285">
        <f>抵押物清单!F296</f>
        <v>89.82</v>
      </c>
      <c r="E285" t="s">
        <v>4881</v>
      </c>
      <c r="F285" s="3465" t="s">
        <v>4879</v>
      </c>
      <c r="G285" s="3465" t="s">
        <v>4886</v>
      </c>
    </row>
    <row r="286" spans="2:7">
      <c r="B286" s="3249">
        <v>283</v>
      </c>
      <c r="C286" t="str">
        <f>抵押物清单!E297</f>
        <v>3-4-502</v>
      </c>
      <c r="D286">
        <f>抵押物清单!F297</f>
        <v>87.15</v>
      </c>
      <c r="E286" t="s">
        <v>4881</v>
      </c>
      <c r="F286" s="3465" t="s">
        <v>4879</v>
      </c>
      <c r="G286" s="3465" t="s">
        <v>4886</v>
      </c>
    </row>
    <row r="287" spans="2:7">
      <c r="B287" s="3249">
        <v>284</v>
      </c>
      <c r="C287" t="str">
        <f>抵押物清单!E298</f>
        <v>3-4-601</v>
      </c>
      <c r="D287">
        <f>抵押物清单!F298</f>
        <v>89.82</v>
      </c>
      <c r="E287" t="s">
        <v>4881</v>
      </c>
      <c r="F287" s="3465" t="s">
        <v>4879</v>
      </c>
      <c r="G287" s="3465" t="s">
        <v>4886</v>
      </c>
    </row>
    <row r="288" spans="2:7">
      <c r="B288" s="3249">
        <v>285</v>
      </c>
      <c r="C288" t="str">
        <f>抵押物清单!E299</f>
        <v>3-4-602</v>
      </c>
      <c r="D288">
        <f>抵押物清单!F299</f>
        <v>87.15</v>
      </c>
      <c r="E288" t="s">
        <v>4881</v>
      </c>
      <c r="F288" s="3465" t="s">
        <v>4879</v>
      </c>
      <c r="G288" s="3465" t="s">
        <v>4886</v>
      </c>
    </row>
    <row r="289" spans="2:7">
      <c r="B289" s="3249">
        <v>286</v>
      </c>
      <c r="C289" t="str">
        <f>抵押物清单!E300</f>
        <v>3-4-701</v>
      </c>
      <c r="D289">
        <f>抵押物清单!F300</f>
        <v>89.82</v>
      </c>
      <c r="E289" t="s">
        <v>4881</v>
      </c>
      <c r="F289" s="3465" t="s">
        <v>4879</v>
      </c>
      <c r="G289" s="3465" t="s">
        <v>4886</v>
      </c>
    </row>
    <row r="290" spans="2:7">
      <c r="B290" s="3249">
        <v>287</v>
      </c>
      <c r="C290" t="str">
        <f>抵押物清单!E301</f>
        <v>3-4-702</v>
      </c>
      <c r="D290">
        <f>抵押物清单!F301</f>
        <v>87.15</v>
      </c>
      <c r="E290" t="s">
        <v>4881</v>
      </c>
      <c r="F290" s="3465" t="s">
        <v>4879</v>
      </c>
      <c r="G290" s="3465" t="s">
        <v>4886</v>
      </c>
    </row>
    <row r="291" spans="2:7">
      <c r="B291" s="3249">
        <v>288</v>
      </c>
      <c r="C291" t="str">
        <f>抵押物清单!E302</f>
        <v>3-4-801</v>
      </c>
      <c r="D291">
        <f>抵押物清单!F302</f>
        <v>89.82</v>
      </c>
      <c r="E291" s="3465" t="s">
        <v>4883</v>
      </c>
      <c r="F291" s="3465" t="s">
        <v>4879</v>
      </c>
      <c r="G291" s="3465" t="s">
        <v>4886</v>
      </c>
    </row>
    <row r="292" spans="2:7">
      <c r="B292" s="3249">
        <v>289</v>
      </c>
      <c r="C292" t="str">
        <f>抵押物清单!E303</f>
        <v>3-4-802</v>
      </c>
      <c r="D292">
        <f>抵押物清单!F303</f>
        <v>87.15</v>
      </c>
      <c r="E292" s="3465" t="s">
        <v>4883</v>
      </c>
      <c r="F292" s="3465" t="s">
        <v>4879</v>
      </c>
      <c r="G292" s="3465" t="s">
        <v>4886</v>
      </c>
    </row>
    <row r="293" spans="2:7">
      <c r="B293" s="3249">
        <v>290</v>
      </c>
      <c r="C293" t="str">
        <f>抵押物清单!E304</f>
        <v>3-4-901</v>
      </c>
      <c r="D293">
        <f>抵押物清单!F304</f>
        <v>89.82</v>
      </c>
      <c r="E293" s="3465" t="s">
        <v>4883</v>
      </c>
      <c r="F293" s="3465" t="s">
        <v>4879</v>
      </c>
      <c r="G293" s="3465" t="s">
        <v>4886</v>
      </c>
    </row>
    <row r="294" spans="2:7">
      <c r="B294" s="3249">
        <v>291</v>
      </c>
      <c r="C294" t="str">
        <f>抵押物清单!E305</f>
        <v>3-4-902</v>
      </c>
      <c r="D294">
        <f>抵押物清单!F305</f>
        <v>87.15</v>
      </c>
      <c r="E294" s="3465" t="s">
        <v>4883</v>
      </c>
      <c r="F294" s="3465" t="s">
        <v>4879</v>
      </c>
      <c r="G294" s="3465" t="s">
        <v>4886</v>
      </c>
    </row>
    <row r="295" spans="2:7">
      <c r="B295" s="3249">
        <v>292</v>
      </c>
      <c r="C295" t="str">
        <f>抵押物清单!E306</f>
        <v>3-4-1001</v>
      </c>
      <c r="D295">
        <f>抵押物清单!F306</f>
        <v>89.82</v>
      </c>
      <c r="E295" s="3465" t="s">
        <v>4883</v>
      </c>
      <c r="F295" s="3465" t="s">
        <v>4879</v>
      </c>
      <c r="G295" s="3465" t="s">
        <v>4886</v>
      </c>
    </row>
    <row r="296" spans="2:7">
      <c r="B296" s="3249">
        <v>293</v>
      </c>
      <c r="C296" t="str">
        <f>抵押物清单!E307</f>
        <v>3-4-1002</v>
      </c>
      <c r="D296">
        <f>抵押物清单!F307</f>
        <v>87.15</v>
      </c>
      <c r="E296" s="3465" t="s">
        <v>4883</v>
      </c>
      <c r="F296" s="3465" t="s">
        <v>4879</v>
      </c>
      <c r="G296" s="3465" t="s">
        <v>4886</v>
      </c>
    </row>
    <row r="297" spans="2:7">
      <c r="B297" s="3249">
        <v>294</v>
      </c>
      <c r="C297" t="str">
        <f>抵押物清单!E308</f>
        <v>3-4-1101</v>
      </c>
      <c r="D297">
        <f>抵押物清单!F308</f>
        <v>89.82</v>
      </c>
      <c r="E297" s="3465" t="s">
        <v>4883</v>
      </c>
      <c r="F297" s="3465" t="s">
        <v>4879</v>
      </c>
      <c r="G297" s="3465" t="s">
        <v>4886</v>
      </c>
    </row>
    <row r="298" spans="2:7">
      <c r="B298" s="3249">
        <v>295</v>
      </c>
      <c r="C298" t="str">
        <f>抵押物清单!E309</f>
        <v>3-4-1102</v>
      </c>
      <c r="D298">
        <f>抵押物清单!F309</f>
        <v>87.15</v>
      </c>
      <c r="E298" s="3465" t="s">
        <v>4883</v>
      </c>
      <c r="F298" s="3465" t="s">
        <v>4879</v>
      </c>
      <c r="G298" s="3465" t="s">
        <v>4886</v>
      </c>
    </row>
    <row r="299" spans="2:7">
      <c r="B299" s="3249">
        <v>296</v>
      </c>
      <c r="C299" t="str">
        <f>抵押物清单!E311</f>
        <v>19-2-501</v>
      </c>
      <c r="D299">
        <f>抵押物清单!F311</f>
        <v>76.819999999999993</v>
      </c>
      <c r="E299" s="3465" t="s">
        <v>4883</v>
      </c>
      <c r="F299" s="3465" t="s">
        <v>4894</v>
      </c>
      <c r="G299" s="3465" t="s">
        <v>4895</v>
      </c>
    </row>
    <row r="300" spans="2:7">
      <c r="B300" s="3249">
        <v>297</v>
      </c>
      <c r="C300" t="str">
        <f>抵押物清单!E312</f>
        <v>19-2-502</v>
      </c>
      <c r="D300">
        <f>抵押物清单!F312</f>
        <v>76.819999999999993</v>
      </c>
      <c r="E300" s="3465" t="s">
        <v>4883</v>
      </c>
      <c r="F300" s="3465" t="s">
        <v>4894</v>
      </c>
      <c r="G300" s="3465" t="s">
        <v>4895</v>
      </c>
    </row>
    <row r="301" spans="2:7">
      <c r="B301" s="3249">
        <v>298</v>
      </c>
      <c r="C301" t="str">
        <f>抵押物清单!E313</f>
        <v>19-3-501</v>
      </c>
      <c r="D301">
        <f>抵押物清单!F313</f>
        <v>76.819999999999993</v>
      </c>
      <c r="E301" s="3465" t="s">
        <v>4883</v>
      </c>
      <c r="F301" s="3465" t="s">
        <v>4894</v>
      </c>
      <c r="G301" s="3465" t="s">
        <v>4895</v>
      </c>
    </row>
    <row r="302" spans="2:7">
      <c r="B302" s="3249">
        <v>299</v>
      </c>
      <c r="C302" t="str">
        <f>抵押物清单!E314</f>
        <v>19-3-502</v>
      </c>
      <c r="D302">
        <f>抵押物清单!F314</f>
        <v>77.38</v>
      </c>
      <c r="E302" s="3465" t="s">
        <v>4883</v>
      </c>
      <c r="F302" s="3465" t="s">
        <v>4894</v>
      </c>
      <c r="G302" s="3465" t="s">
        <v>4895</v>
      </c>
    </row>
    <row r="303" spans="2:7">
      <c r="B303" s="3249">
        <v>300</v>
      </c>
      <c r="C303" t="str">
        <f>抵押物清单!E316</f>
        <v>14-1-402</v>
      </c>
      <c r="D303">
        <f>抵押物清单!F316</f>
        <v>76.91</v>
      </c>
      <c r="E303" s="3465" t="s">
        <v>4882</v>
      </c>
      <c r="F303" s="3465" t="s">
        <v>4894</v>
      </c>
      <c r="G303" s="3465" t="s">
        <v>4895</v>
      </c>
    </row>
    <row r="304" spans="2:7">
      <c r="B304" s="3249">
        <v>301</v>
      </c>
      <c r="C304" t="str">
        <f>抵押物清单!E317</f>
        <v>14-2-501</v>
      </c>
      <c r="D304">
        <f>抵押物清单!F317</f>
        <v>76.91</v>
      </c>
      <c r="E304" s="3465" t="s">
        <v>4883</v>
      </c>
      <c r="F304" s="3465" t="s">
        <v>4894</v>
      </c>
      <c r="G304" s="3465" t="s">
        <v>4895</v>
      </c>
    </row>
    <row r="305" spans="2:7">
      <c r="B305" s="3249">
        <v>302</v>
      </c>
      <c r="C305" t="str">
        <f>抵押物清单!E318</f>
        <v>14-2-502</v>
      </c>
      <c r="D305">
        <f>抵押物清单!F318</f>
        <v>76.91</v>
      </c>
      <c r="E305" s="3465" t="s">
        <v>4883</v>
      </c>
      <c r="F305" s="3465" t="s">
        <v>4894</v>
      </c>
      <c r="G305" s="3465" t="s">
        <v>4895</v>
      </c>
    </row>
    <row r="306" spans="2:7">
      <c r="C306" t="str">
        <f>抵押物清单!E320</f>
        <v>抵押建筑面积小计</v>
      </c>
      <c r="D306">
        <f>抵押物清单!F320</f>
        <v>26390.010000000006</v>
      </c>
    </row>
    <row r="308" spans="2:7">
      <c r="C308" s="3465" t="s">
        <v>4877</v>
      </c>
    </row>
    <row r="309" spans="2:7">
      <c r="C309" t="str">
        <f>抵押物清单!E323</f>
        <v>B1001</v>
      </c>
      <c r="D309">
        <f>抵押物清单!F323</f>
        <v>29.05</v>
      </c>
    </row>
    <row r="310" spans="2:7">
      <c r="C310" t="str">
        <f>抵押物清单!E324</f>
        <v>B1002</v>
      </c>
      <c r="D310">
        <f>抵押物清单!F324</f>
        <v>29.05</v>
      </c>
    </row>
    <row r="311" spans="2:7">
      <c r="C311" t="str">
        <f>抵押物清单!E325</f>
        <v>B1003</v>
      </c>
      <c r="D311">
        <f>抵押物清单!F325</f>
        <v>29.05</v>
      </c>
    </row>
    <row r="312" spans="2:7">
      <c r="C312" t="str">
        <f>抵押物清单!E326</f>
        <v>B1004</v>
      </c>
      <c r="D312">
        <f>抵押物清单!F326</f>
        <v>29.05</v>
      </c>
    </row>
    <row r="313" spans="2:7">
      <c r="C313" t="str">
        <f>抵押物清单!E327</f>
        <v>B1005</v>
      </c>
      <c r="D313">
        <f>抵押物清单!F327</f>
        <v>29.05</v>
      </c>
    </row>
    <row r="314" spans="2:7">
      <c r="C314" t="str">
        <f>抵押物清单!E328</f>
        <v>B1006</v>
      </c>
      <c r="D314">
        <f>抵押物清单!F328</f>
        <v>29.05</v>
      </c>
    </row>
    <row r="315" spans="2:7">
      <c r="C315" t="str">
        <f>抵押物清单!E329</f>
        <v>B1007</v>
      </c>
      <c r="D315">
        <f>抵押物清单!F329</f>
        <v>29.05</v>
      </c>
    </row>
    <row r="316" spans="2:7">
      <c r="C316" t="str">
        <f>抵押物清单!E330</f>
        <v>B1008</v>
      </c>
      <c r="D316">
        <f>抵押物清单!F330</f>
        <v>29.05</v>
      </c>
    </row>
    <row r="317" spans="2:7">
      <c r="C317" t="str">
        <f>抵押物清单!E331</f>
        <v>B1009</v>
      </c>
      <c r="D317">
        <f>抵押物清单!F331</f>
        <v>29.05</v>
      </c>
    </row>
    <row r="318" spans="2:7">
      <c r="C318" t="str">
        <f>抵押物清单!E332</f>
        <v>B1010</v>
      </c>
      <c r="D318">
        <f>抵押物清单!F332</f>
        <v>29.05</v>
      </c>
    </row>
    <row r="319" spans="2:7">
      <c r="C319" t="str">
        <f>抵押物清单!E333</f>
        <v>B1011</v>
      </c>
      <c r="D319">
        <f>抵押物清单!F333</f>
        <v>29.05</v>
      </c>
    </row>
    <row r="320" spans="2:7">
      <c r="C320" t="str">
        <f>抵押物清单!E334</f>
        <v>B1012</v>
      </c>
      <c r="D320">
        <f>抵押物清单!F334</f>
        <v>29.05</v>
      </c>
    </row>
    <row r="321" spans="3:4">
      <c r="C321" t="str">
        <f>抵押物清单!E335</f>
        <v>B1013</v>
      </c>
      <c r="D321">
        <f>抵押物清单!F335</f>
        <v>29.05</v>
      </c>
    </row>
    <row r="322" spans="3:4">
      <c r="C322" t="str">
        <f>抵押物清单!E336</f>
        <v>B1014</v>
      </c>
      <c r="D322">
        <f>抵押物清单!F336</f>
        <v>29.05</v>
      </c>
    </row>
    <row r="323" spans="3:4">
      <c r="C323" t="str">
        <f>抵押物清单!E337</f>
        <v>B1015</v>
      </c>
      <c r="D323">
        <f>抵押物清单!F337</f>
        <v>29.05</v>
      </c>
    </row>
    <row r="324" spans="3:4">
      <c r="C324" t="str">
        <f>抵押物清单!E338</f>
        <v>B1016</v>
      </c>
      <c r="D324">
        <f>抵押物清单!F338</f>
        <v>29.05</v>
      </c>
    </row>
    <row r="325" spans="3:4">
      <c r="C325" t="str">
        <f>抵押物清单!E339</f>
        <v>B1017</v>
      </c>
      <c r="D325">
        <f>抵押物清单!F339</f>
        <v>29.05</v>
      </c>
    </row>
    <row r="326" spans="3:4">
      <c r="C326" t="str">
        <f>抵押物清单!E340</f>
        <v>B1018</v>
      </c>
      <c r="D326">
        <f>抵押物清单!F340</f>
        <v>29.05</v>
      </c>
    </row>
    <row r="327" spans="3:4">
      <c r="C327" t="str">
        <f>抵押物清单!E341</f>
        <v>B1019</v>
      </c>
      <c r="D327">
        <f>抵押物清单!F341</f>
        <v>29.05</v>
      </c>
    </row>
    <row r="328" spans="3:4">
      <c r="C328" t="str">
        <f>抵押物清单!E342</f>
        <v>B1020</v>
      </c>
      <c r="D328">
        <f>抵押物清单!F342</f>
        <v>29.05</v>
      </c>
    </row>
    <row r="329" spans="3:4">
      <c r="C329" t="str">
        <f>抵押物清单!E343</f>
        <v>B1021</v>
      </c>
      <c r="D329">
        <f>抵押物清单!F343</f>
        <v>29.05</v>
      </c>
    </row>
    <row r="330" spans="3:4">
      <c r="C330" t="str">
        <f>抵押物清单!E344</f>
        <v>B1023</v>
      </c>
      <c r="D330">
        <f>抵押物清单!F344</f>
        <v>29.05</v>
      </c>
    </row>
    <row r="331" spans="3:4">
      <c r="C331" t="str">
        <f>抵押物清单!E345</f>
        <v>B1024</v>
      </c>
      <c r="D331">
        <f>抵押物清单!F345</f>
        <v>29.05</v>
      </c>
    </row>
    <row r="332" spans="3:4">
      <c r="C332" t="str">
        <f>抵押物清单!E346</f>
        <v>B1026</v>
      </c>
      <c r="D332">
        <f>抵押物清单!F346</f>
        <v>29.05</v>
      </c>
    </row>
    <row r="333" spans="3:4">
      <c r="C333" t="str">
        <f>抵押物清单!E347</f>
        <v>B1027</v>
      </c>
      <c r="D333">
        <f>抵押物清单!F347</f>
        <v>29.05</v>
      </c>
    </row>
    <row r="334" spans="3:4">
      <c r="C334" t="str">
        <f>抵押物清单!E348</f>
        <v>B1028</v>
      </c>
      <c r="D334">
        <f>抵押物清单!F348</f>
        <v>29.05</v>
      </c>
    </row>
    <row r="335" spans="3:4">
      <c r="C335" t="str">
        <f>抵押物清单!E349</f>
        <v>B1029</v>
      </c>
      <c r="D335">
        <f>抵押物清单!F349</f>
        <v>29.05</v>
      </c>
    </row>
    <row r="336" spans="3:4">
      <c r="C336" t="str">
        <f>抵押物清单!E350</f>
        <v>B1030</v>
      </c>
      <c r="D336">
        <f>抵押物清单!F350</f>
        <v>29.05</v>
      </c>
    </row>
    <row r="337" spans="3:4">
      <c r="C337" t="str">
        <f>抵押物清单!E351</f>
        <v>B1031</v>
      </c>
      <c r="D337">
        <f>抵押物清单!F351</f>
        <v>29.05</v>
      </c>
    </row>
    <row r="338" spans="3:4">
      <c r="C338" t="str">
        <f>抵押物清单!E352</f>
        <v>B1032</v>
      </c>
      <c r="D338">
        <f>抵押物清单!F352</f>
        <v>29.05</v>
      </c>
    </row>
    <row r="339" spans="3:4">
      <c r="C339" t="str">
        <f>抵押物清单!E353</f>
        <v>B1033</v>
      </c>
      <c r="D339">
        <f>抵押物清单!F353</f>
        <v>29.05</v>
      </c>
    </row>
    <row r="340" spans="3:4">
      <c r="C340" t="str">
        <f>抵押物清单!E354</f>
        <v>B1034</v>
      </c>
      <c r="D340">
        <f>抵押物清单!F354</f>
        <v>29.05</v>
      </c>
    </row>
    <row r="341" spans="3:4">
      <c r="C341" t="str">
        <f>抵押物清单!E355</f>
        <v>B1035</v>
      </c>
      <c r="D341">
        <f>抵押物清单!F355</f>
        <v>29.05</v>
      </c>
    </row>
    <row r="342" spans="3:4">
      <c r="C342" t="str">
        <f>抵押物清单!E356</f>
        <v>B1036</v>
      </c>
      <c r="D342">
        <f>抵押物清单!F356</f>
        <v>29.05</v>
      </c>
    </row>
    <row r="343" spans="3:4">
      <c r="C343" t="str">
        <f>抵押物清单!E357</f>
        <v>B1037</v>
      </c>
      <c r="D343">
        <f>抵押物清单!F357</f>
        <v>29.05</v>
      </c>
    </row>
    <row r="344" spans="3:4">
      <c r="C344" t="str">
        <f>抵押物清单!E358</f>
        <v>B1038</v>
      </c>
      <c r="D344">
        <f>抵押物清单!F358</f>
        <v>29.05</v>
      </c>
    </row>
    <row r="345" spans="3:4">
      <c r="C345" t="str">
        <f>抵押物清单!E359</f>
        <v>B1039</v>
      </c>
      <c r="D345">
        <f>抵押物清单!F359</f>
        <v>29.05</v>
      </c>
    </row>
    <row r="346" spans="3:4">
      <c r="C346" t="str">
        <f>抵押物清单!E360</f>
        <v>B1040</v>
      </c>
      <c r="D346">
        <f>抵押物清单!F360</f>
        <v>29.05</v>
      </c>
    </row>
    <row r="347" spans="3:4">
      <c r="C347" t="str">
        <f>抵押物清单!E361</f>
        <v>B1041</v>
      </c>
      <c r="D347">
        <f>抵押物清单!F361</f>
        <v>29.05</v>
      </c>
    </row>
    <row r="348" spans="3:4">
      <c r="C348" t="str">
        <f>抵押物清单!E362</f>
        <v>B1042</v>
      </c>
      <c r="D348">
        <f>抵押物清单!F362</f>
        <v>29.05</v>
      </c>
    </row>
    <row r="349" spans="3:4">
      <c r="C349" t="str">
        <f>抵押物清单!E363</f>
        <v>B1043</v>
      </c>
      <c r="D349">
        <f>抵押物清单!F363</f>
        <v>29.05</v>
      </c>
    </row>
    <row r="350" spans="3:4">
      <c r="C350" t="str">
        <f>抵押物清单!E364</f>
        <v>B1044</v>
      </c>
      <c r="D350">
        <f>抵押物清单!F364</f>
        <v>29.05</v>
      </c>
    </row>
    <row r="351" spans="3:4">
      <c r="C351" t="str">
        <f>抵押物清单!E365</f>
        <v>B1045</v>
      </c>
      <c r="D351">
        <f>抵押物清单!F365</f>
        <v>29.05</v>
      </c>
    </row>
    <row r="352" spans="3:4">
      <c r="C352" t="str">
        <f>抵押物清单!E366</f>
        <v>B1046</v>
      </c>
      <c r="D352">
        <f>抵押物清单!F366</f>
        <v>29.05</v>
      </c>
    </row>
    <row r="353" spans="3:4">
      <c r="C353" t="str">
        <f>抵押物清单!E367</f>
        <v>B1047</v>
      </c>
      <c r="D353">
        <f>抵押物清单!F367</f>
        <v>29.05</v>
      </c>
    </row>
    <row r="354" spans="3:4">
      <c r="C354" t="str">
        <f>抵押物清单!E368</f>
        <v>B1048</v>
      </c>
      <c r="D354">
        <f>抵押物清单!F368</f>
        <v>29.05</v>
      </c>
    </row>
    <row r="355" spans="3:4">
      <c r="C355" t="str">
        <f>抵押物清单!E369</f>
        <v>B1049</v>
      </c>
      <c r="D355">
        <f>抵押物清单!F369</f>
        <v>29.05</v>
      </c>
    </row>
    <row r="356" spans="3:4">
      <c r="C356" t="str">
        <f>抵押物清单!E370</f>
        <v>B1050</v>
      </c>
      <c r="D356">
        <f>抵押物清单!F370</f>
        <v>29.05</v>
      </c>
    </row>
    <row r="357" spans="3:4">
      <c r="C357" t="str">
        <f>抵押物清单!E371</f>
        <v>B1051</v>
      </c>
      <c r="D357">
        <f>抵押物清单!F371</f>
        <v>29.05</v>
      </c>
    </row>
    <row r="358" spans="3:4">
      <c r="C358" t="str">
        <f>抵押物清单!E372</f>
        <v>B1052</v>
      </c>
      <c r="D358">
        <f>抵押物清单!F372</f>
        <v>29.05</v>
      </c>
    </row>
    <row r="359" spans="3:4">
      <c r="C359" t="str">
        <f>抵押物清单!E373</f>
        <v>B1053</v>
      </c>
      <c r="D359">
        <f>抵押物清单!F373</f>
        <v>29.05</v>
      </c>
    </row>
    <row r="360" spans="3:4">
      <c r="C360" t="str">
        <f>抵押物清单!E374</f>
        <v>B1054</v>
      </c>
      <c r="D360">
        <f>抵押物清单!F374</f>
        <v>29.05</v>
      </c>
    </row>
    <row r="361" spans="3:4">
      <c r="C361" t="str">
        <f>抵押物清单!E375</f>
        <v>B1055</v>
      </c>
      <c r="D361">
        <f>抵押物清单!F375</f>
        <v>29.05</v>
      </c>
    </row>
    <row r="362" spans="3:4">
      <c r="C362" t="str">
        <f>抵押物清单!E376</f>
        <v>B1056</v>
      </c>
      <c r="D362">
        <f>抵押物清单!F376</f>
        <v>29.05</v>
      </c>
    </row>
    <row r="363" spans="3:4">
      <c r="C363" t="str">
        <f>抵押物清单!E377</f>
        <v>B1057</v>
      </c>
      <c r="D363">
        <f>抵押物清单!F377</f>
        <v>29.05</v>
      </c>
    </row>
    <row r="364" spans="3:4">
      <c r="C364" t="str">
        <f>抵押物清单!E378</f>
        <v>B1058</v>
      </c>
      <c r="D364">
        <f>抵押物清单!F378</f>
        <v>29.05</v>
      </c>
    </row>
    <row r="365" spans="3:4">
      <c r="C365" t="str">
        <f>抵押物清单!E379</f>
        <v>B1059</v>
      </c>
      <c r="D365">
        <f>抵押物清单!F379</f>
        <v>29.05</v>
      </c>
    </row>
    <row r="366" spans="3:4">
      <c r="C366" t="str">
        <f>抵押物清单!E380</f>
        <v>B1060</v>
      </c>
      <c r="D366">
        <f>抵押物清单!F380</f>
        <v>29.05</v>
      </c>
    </row>
    <row r="367" spans="3:4">
      <c r="C367" t="str">
        <f>抵押物清单!E381</f>
        <v>B1061</v>
      </c>
      <c r="D367">
        <f>抵押物清单!F381</f>
        <v>29.05</v>
      </c>
    </row>
    <row r="368" spans="3:4">
      <c r="C368" t="str">
        <f>抵押物清单!E382</f>
        <v>B1062</v>
      </c>
      <c r="D368">
        <f>抵押物清单!F382</f>
        <v>29.05</v>
      </c>
    </row>
    <row r="369" spans="3:4">
      <c r="C369" t="str">
        <f>抵押物清单!E383</f>
        <v>B1063</v>
      </c>
      <c r="D369">
        <f>抵押物清单!F383</f>
        <v>29.05</v>
      </c>
    </row>
    <row r="370" spans="3:4">
      <c r="C370" t="str">
        <f>抵押物清单!E384</f>
        <v>B1064</v>
      </c>
      <c r="D370">
        <f>抵押物清单!F384</f>
        <v>29.05</v>
      </c>
    </row>
    <row r="371" spans="3:4">
      <c r="C371" t="str">
        <f>抵押物清单!E385</f>
        <v>B1065</v>
      </c>
      <c r="D371">
        <f>抵押物清单!F385</f>
        <v>29.05</v>
      </c>
    </row>
    <row r="372" spans="3:4">
      <c r="C372" t="str">
        <f>抵押物清单!E386</f>
        <v>B1066</v>
      </c>
      <c r="D372">
        <f>抵押物清单!F386</f>
        <v>29.05</v>
      </c>
    </row>
    <row r="373" spans="3:4">
      <c r="C373" t="str">
        <f>抵押物清单!E387</f>
        <v>B1067</v>
      </c>
      <c r="D373">
        <f>抵押物清单!F387</f>
        <v>29.05</v>
      </c>
    </row>
    <row r="374" spans="3:4">
      <c r="C374" t="str">
        <f>抵押物清单!E388</f>
        <v>B1068</v>
      </c>
      <c r="D374">
        <f>抵押物清单!F388</f>
        <v>29.05</v>
      </c>
    </row>
    <row r="375" spans="3:4">
      <c r="C375" t="str">
        <f>抵押物清单!E389</f>
        <v>B1069</v>
      </c>
      <c r="D375">
        <f>抵押物清单!F389</f>
        <v>29.05</v>
      </c>
    </row>
    <row r="376" spans="3:4">
      <c r="C376" t="str">
        <f>抵押物清单!E390</f>
        <v>B1070</v>
      </c>
      <c r="D376">
        <f>抵押物清单!F390</f>
        <v>29.05</v>
      </c>
    </row>
    <row r="377" spans="3:4">
      <c r="C377" t="str">
        <f>抵押物清单!E391</f>
        <v>B1071</v>
      </c>
      <c r="D377">
        <f>抵押物清单!F391</f>
        <v>29.05</v>
      </c>
    </row>
    <row r="378" spans="3:4">
      <c r="C378" t="str">
        <f>抵押物清单!E392</f>
        <v>B1072</v>
      </c>
      <c r="D378">
        <f>抵押物清单!F392</f>
        <v>29.05</v>
      </c>
    </row>
    <row r="379" spans="3:4">
      <c r="C379" t="str">
        <f>抵押物清单!E393</f>
        <v>B1073</v>
      </c>
      <c r="D379">
        <f>抵押物清单!F393</f>
        <v>29.05</v>
      </c>
    </row>
    <row r="380" spans="3:4">
      <c r="C380" t="str">
        <f>抵押物清单!E394</f>
        <v>B1074</v>
      </c>
      <c r="D380">
        <f>抵押物清单!F394</f>
        <v>29.05</v>
      </c>
    </row>
    <row r="381" spans="3:4">
      <c r="C381" t="str">
        <f>抵押物清单!E395</f>
        <v>B1075</v>
      </c>
      <c r="D381">
        <f>抵押物清单!F395</f>
        <v>29.05</v>
      </c>
    </row>
    <row r="382" spans="3:4">
      <c r="C382" t="str">
        <f>抵押物清单!E396</f>
        <v>B1076</v>
      </c>
      <c r="D382">
        <f>抵押物清单!F396</f>
        <v>29.05</v>
      </c>
    </row>
    <row r="383" spans="3:4">
      <c r="C383" t="str">
        <f>抵押物清单!E397</f>
        <v>B1077</v>
      </c>
      <c r="D383">
        <f>抵押物清单!F397</f>
        <v>29.05</v>
      </c>
    </row>
    <row r="384" spans="3:4">
      <c r="C384" t="str">
        <f>抵押物清单!E398</f>
        <v>B1078</v>
      </c>
      <c r="D384">
        <f>抵押物清单!F398</f>
        <v>29.05</v>
      </c>
    </row>
    <row r="385" spans="3:4">
      <c r="C385" t="str">
        <f>抵押物清单!E399</f>
        <v>B1079</v>
      </c>
      <c r="D385">
        <f>抵押物清单!F399</f>
        <v>29.05</v>
      </c>
    </row>
    <row r="386" spans="3:4">
      <c r="C386" t="str">
        <f>抵押物清单!E400</f>
        <v>B1080</v>
      </c>
      <c r="D386">
        <f>抵押物清单!F400</f>
        <v>29.05</v>
      </c>
    </row>
    <row r="387" spans="3:4">
      <c r="C387" t="str">
        <f>抵押物清单!E401</f>
        <v>B1081</v>
      </c>
      <c r="D387">
        <f>抵押物清单!F401</f>
        <v>29.05</v>
      </c>
    </row>
    <row r="388" spans="3:4">
      <c r="C388" t="str">
        <f>抵押物清单!E402</f>
        <v>B1082</v>
      </c>
      <c r="D388">
        <f>抵押物清单!F402</f>
        <v>29.05</v>
      </c>
    </row>
    <row r="389" spans="3:4">
      <c r="C389" t="str">
        <f>抵押物清单!E403</f>
        <v>B1083</v>
      </c>
      <c r="D389">
        <f>抵押物清单!F403</f>
        <v>29.05</v>
      </c>
    </row>
    <row r="390" spans="3:4">
      <c r="C390" t="str">
        <f>抵押物清单!E404</f>
        <v>B1084</v>
      </c>
      <c r="D390">
        <f>抵押物清单!F404</f>
        <v>29.05</v>
      </c>
    </row>
    <row r="391" spans="3:4">
      <c r="C391" t="str">
        <f>抵押物清单!E405</f>
        <v>B1085</v>
      </c>
      <c r="D391">
        <f>抵押物清单!F405</f>
        <v>29.05</v>
      </c>
    </row>
    <row r="392" spans="3:4">
      <c r="C392" t="str">
        <f>抵押物清单!E406</f>
        <v>B1086</v>
      </c>
      <c r="D392">
        <f>抵押物清单!F406</f>
        <v>29.05</v>
      </c>
    </row>
    <row r="393" spans="3:4">
      <c r="C393" t="str">
        <f>抵押物清单!E407</f>
        <v>B1087</v>
      </c>
      <c r="D393">
        <f>抵押物清单!F407</f>
        <v>29.05</v>
      </c>
    </row>
    <row r="394" spans="3:4">
      <c r="C394" t="str">
        <f>抵押物清单!E408</f>
        <v>B1088</v>
      </c>
      <c r="D394">
        <f>抵押物清单!F408</f>
        <v>29.05</v>
      </c>
    </row>
    <row r="395" spans="3:4">
      <c r="C395" t="str">
        <f>抵押物清单!E409</f>
        <v>B1089</v>
      </c>
      <c r="D395">
        <f>抵押物清单!F409</f>
        <v>29.05</v>
      </c>
    </row>
    <row r="396" spans="3:4">
      <c r="C396" t="str">
        <f>抵押物清单!E410</f>
        <v>B1090</v>
      </c>
      <c r="D396">
        <f>抵押物清单!F410</f>
        <v>29.05</v>
      </c>
    </row>
    <row r="397" spans="3:4">
      <c r="C397" t="str">
        <f>抵押物清单!E411</f>
        <v>B1091</v>
      </c>
      <c r="D397">
        <f>抵押物清单!F411</f>
        <v>29.05</v>
      </c>
    </row>
    <row r="398" spans="3:4">
      <c r="C398" t="str">
        <f>抵押物清单!E412</f>
        <v>B1092</v>
      </c>
      <c r="D398">
        <f>抵押物清单!F412</f>
        <v>29.05</v>
      </c>
    </row>
    <row r="399" spans="3:4">
      <c r="C399" t="str">
        <f>抵押物清单!E413</f>
        <v>B1093</v>
      </c>
      <c r="D399">
        <f>抵押物清单!F413</f>
        <v>29.05</v>
      </c>
    </row>
    <row r="400" spans="3:4">
      <c r="C400" t="str">
        <f>抵押物清单!E414</f>
        <v>B1094</v>
      </c>
      <c r="D400">
        <f>抵押物清单!F414</f>
        <v>29.05</v>
      </c>
    </row>
    <row r="401" spans="3:4">
      <c r="C401" t="str">
        <f>抵押物清单!E415</f>
        <v>B1095</v>
      </c>
      <c r="D401">
        <f>抵押物清单!F415</f>
        <v>29.05</v>
      </c>
    </row>
    <row r="402" spans="3:4">
      <c r="C402" t="str">
        <f>抵押物清单!E416</f>
        <v>B1096</v>
      </c>
      <c r="D402">
        <f>抵押物清单!F416</f>
        <v>44.78</v>
      </c>
    </row>
    <row r="403" spans="3:4">
      <c r="C403" t="str">
        <f>抵押物清单!E417</f>
        <v>B1097</v>
      </c>
      <c r="D403">
        <f>抵押物清单!F417</f>
        <v>29.05</v>
      </c>
    </row>
    <row r="404" spans="3:4">
      <c r="C404" t="str">
        <f>抵押物清单!E418</f>
        <v>B1098</v>
      </c>
      <c r="D404">
        <f>抵押物清单!F418</f>
        <v>29.05</v>
      </c>
    </row>
    <row r="405" spans="3:4">
      <c r="C405" t="str">
        <f>抵押物清单!E419</f>
        <v>B1099</v>
      </c>
      <c r="D405">
        <f>抵押物清单!F419</f>
        <v>29.05</v>
      </c>
    </row>
    <row r="406" spans="3:4">
      <c r="C406" t="str">
        <f>抵押物清单!E420</f>
        <v>B1100</v>
      </c>
      <c r="D406">
        <f>抵押物清单!F420</f>
        <v>29.05</v>
      </c>
    </row>
    <row r="407" spans="3:4">
      <c r="C407" t="str">
        <f>抵押物清单!E421</f>
        <v>B1101</v>
      </c>
      <c r="D407">
        <f>抵押物清单!F421</f>
        <v>21.6</v>
      </c>
    </row>
    <row r="408" spans="3:4">
      <c r="C408" t="str">
        <f>抵押物清单!E422</f>
        <v>B1102</v>
      </c>
      <c r="D408">
        <f>抵押物清单!F422</f>
        <v>21.6</v>
      </c>
    </row>
    <row r="409" spans="3:4">
      <c r="C409" t="str">
        <f>抵押物清单!E423</f>
        <v>B1103</v>
      </c>
      <c r="D409">
        <f>抵押物清单!F423</f>
        <v>21.6</v>
      </c>
    </row>
    <row r="410" spans="3:4">
      <c r="C410" t="str">
        <f>抵押物清单!E424</f>
        <v>B1104</v>
      </c>
      <c r="D410">
        <f>抵押物清单!F424</f>
        <v>29.05</v>
      </c>
    </row>
    <row r="411" spans="3:4">
      <c r="C411" t="str">
        <f>抵押物清单!E425</f>
        <v>B1105</v>
      </c>
      <c r="D411">
        <f>抵押物清单!F425</f>
        <v>29.05</v>
      </c>
    </row>
    <row r="412" spans="3:4">
      <c r="C412" t="str">
        <f>抵押物清单!E426</f>
        <v>B1106</v>
      </c>
      <c r="D412">
        <f>抵押物清单!F426</f>
        <v>29.05</v>
      </c>
    </row>
    <row r="413" spans="3:4">
      <c r="C413" t="str">
        <f>抵押物清单!E427</f>
        <v>B1107</v>
      </c>
      <c r="D413">
        <f>抵押物清单!F427</f>
        <v>29.05</v>
      </c>
    </row>
    <row r="414" spans="3:4">
      <c r="C414" t="str">
        <f>抵押物清单!E428</f>
        <v>B1108</v>
      </c>
      <c r="D414">
        <f>抵押物清单!F428</f>
        <v>29.05</v>
      </c>
    </row>
    <row r="415" spans="3:4">
      <c r="C415" t="str">
        <f>抵押物清单!E429</f>
        <v>B1109</v>
      </c>
      <c r="D415">
        <f>抵押物清单!F429</f>
        <v>29.05</v>
      </c>
    </row>
    <row r="416" spans="3:4">
      <c r="C416" t="str">
        <f>抵押物清单!E430</f>
        <v>B1110</v>
      </c>
      <c r="D416">
        <f>抵押物清单!F430</f>
        <v>29.05</v>
      </c>
    </row>
    <row r="417" spans="3:4">
      <c r="C417" t="str">
        <f>抵押物清单!E431</f>
        <v>B1111</v>
      </c>
      <c r="D417">
        <f>抵押物清单!F431</f>
        <v>29.05</v>
      </c>
    </row>
    <row r="418" spans="3:4">
      <c r="C418" t="str">
        <f>抵押物清单!E432</f>
        <v>B1112</v>
      </c>
      <c r="D418">
        <f>抵押物清单!F432</f>
        <v>29.05</v>
      </c>
    </row>
    <row r="419" spans="3:4">
      <c r="C419" t="str">
        <f>抵押物清单!E433</f>
        <v>B1113</v>
      </c>
      <c r="D419">
        <f>抵押物清单!F433</f>
        <v>29.05</v>
      </c>
    </row>
    <row r="420" spans="3:4">
      <c r="C420" t="str">
        <f>抵押物清单!E434</f>
        <v>B1114</v>
      </c>
      <c r="D420">
        <f>抵押物清单!F434</f>
        <v>29.05</v>
      </c>
    </row>
    <row r="421" spans="3:4">
      <c r="C421" t="str">
        <f>抵押物清单!E435</f>
        <v>B1115</v>
      </c>
      <c r="D421">
        <f>抵押物清单!F435</f>
        <v>29.05</v>
      </c>
    </row>
    <row r="422" spans="3:4">
      <c r="C422" t="str">
        <f>抵押物清单!E436</f>
        <v>B1116</v>
      </c>
      <c r="D422">
        <f>抵押物清单!F436</f>
        <v>29.05</v>
      </c>
    </row>
    <row r="423" spans="3:4">
      <c r="C423" t="str">
        <f>抵押物清单!E437</f>
        <v>B1117</v>
      </c>
      <c r="D423">
        <f>抵押物清单!F437</f>
        <v>29.05</v>
      </c>
    </row>
    <row r="424" spans="3:4">
      <c r="C424" t="str">
        <f>抵押物清单!E438</f>
        <v>B1118</v>
      </c>
      <c r="D424">
        <f>抵押物清单!F438</f>
        <v>29.05</v>
      </c>
    </row>
    <row r="425" spans="3:4">
      <c r="C425" t="str">
        <f>抵押物清单!E439</f>
        <v>B1119</v>
      </c>
      <c r="D425">
        <f>抵押物清单!F439</f>
        <v>29.05</v>
      </c>
    </row>
    <row r="426" spans="3:4">
      <c r="C426" t="str">
        <f>抵押物清单!E440</f>
        <v>B1120</v>
      </c>
      <c r="D426">
        <f>抵押物清单!F440</f>
        <v>29.05</v>
      </c>
    </row>
    <row r="427" spans="3:4">
      <c r="C427" t="str">
        <f>抵押物清单!E441</f>
        <v>B1121</v>
      </c>
      <c r="D427">
        <f>抵押物清单!F441</f>
        <v>50.65</v>
      </c>
    </row>
    <row r="428" spans="3:4">
      <c r="C428" t="str">
        <f>抵押物清单!E442</f>
        <v>B1122</v>
      </c>
      <c r="D428">
        <f>抵押物清单!F442</f>
        <v>50.65</v>
      </c>
    </row>
    <row r="429" spans="3:4">
      <c r="C429" t="str">
        <f>抵押物清单!E443</f>
        <v>B1123</v>
      </c>
      <c r="D429">
        <f>抵押物清单!F443</f>
        <v>29.05</v>
      </c>
    </row>
    <row r="430" spans="3:4">
      <c r="C430" t="str">
        <f>抵押物清单!E444</f>
        <v>B1125</v>
      </c>
      <c r="D430">
        <f>抵押物清单!F444</f>
        <v>29.05</v>
      </c>
    </row>
    <row r="431" spans="3:4">
      <c r="C431" t="str">
        <f>抵押物清单!E445</f>
        <v>B1126</v>
      </c>
      <c r="D431">
        <f>抵押物清单!F445</f>
        <v>29.05</v>
      </c>
    </row>
    <row r="432" spans="3:4">
      <c r="C432" t="str">
        <f>抵押物清单!E446</f>
        <v>B1127</v>
      </c>
      <c r="D432">
        <f>抵押物清单!F446</f>
        <v>29.05</v>
      </c>
    </row>
    <row r="433" spans="3:4">
      <c r="C433" t="str">
        <f>抵押物清单!E447</f>
        <v>B1128</v>
      </c>
      <c r="D433">
        <f>抵押物清单!F447</f>
        <v>29.05</v>
      </c>
    </row>
    <row r="434" spans="3:4">
      <c r="C434" t="str">
        <f>抵押物清单!E448</f>
        <v>B1129</v>
      </c>
      <c r="D434">
        <f>抵押物清单!F448</f>
        <v>29.05</v>
      </c>
    </row>
    <row r="435" spans="3:4">
      <c r="C435" t="str">
        <f>抵押物清单!E449</f>
        <v>B1130</v>
      </c>
      <c r="D435">
        <f>抵押物清单!F449</f>
        <v>44.78</v>
      </c>
    </row>
    <row r="436" spans="3:4">
      <c r="C436" t="str">
        <f>抵押物清单!E450</f>
        <v>B1131</v>
      </c>
      <c r="D436">
        <f>抵押物清单!F450</f>
        <v>29.05</v>
      </c>
    </row>
    <row r="437" spans="3:4">
      <c r="C437" t="str">
        <f>抵押物清单!E451</f>
        <v>B1132</v>
      </c>
      <c r="D437">
        <f>抵押物清单!F451</f>
        <v>29.05</v>
      </c>
    </row>
    <row r="438" spans="3:4">
      <c r="C438" t="str">
        <f>抵押物清单!E452</f>
        <v>B1133</v>
      </c>
      <c r="D438">
        <f>抵押物清单!F452</f>
        <v>44.78</v>
      </c>
    </row>
    <row r="439" spans="3:4">
      <c r="C439" t="str">
        <f>抵押物清单!E453</f>
        <v>B1134</v>
      </c>
      <c r="D439">
        <f>抵押物清单!F453</f>
        <v>29.05</v>
      </c>
    </row>
    <row r="440" spans="3:4">
      <c r="C440" t="str">
        <f>抵押物清单!E454</f>
        <v>B1135</v>
      </c>
      <c r="D440">
        <f>抵押物清单!F454</f>
        <v>29.05</v>
      </c>
    </row>
    <row r="441" spans="3:4">
      <c r="C441" t="str">
        <f>抵押物清单!E455</f>
        <v>B1137</v>
      </c>
      <c r="D441">
        <f>抵押物清单!F455</f>
        <v>29.05</v>
      </c>
    </row>
    <row r="442" spans="3:4">
      <c r="C442" t="str">
        <f>抵押物清单!E456</f>
        <v>B1138</v>
      </c>
      <c r="D442">
        <f>抵押物清单!F456</f>
        <v>29.05</v>
      </c>
    </row>
    <row r="443" spans="3:4">
      <c r="C443" t="str">
        <f>抵押物清单!E457</f>
        <v>B1139</v>
      </c>
      <c r="D443">
        <f>抵押物清单!F457</f>
        <v>29.05</v>
      </c>
    </row>
    <row r="444" spans="3:4">
      <c r="C444" t="str">
        <f>抵押物清单!E458</f>
        <v>B1140</v>
      </c>
      <c r="D444">
        <f>抵押物清单!F458</f>
        <v>29.05</v>
      </c>
    </row>
    <row r="445" spans="3:4">
      <c r="C445" t="str">
        <f>抵押物清单!E459</f>
        <v>B1141</v>
      </c>
      <c r="D445">
        <f>抵押物清单!F459</f>
        <v>29.05</v>
      </c>
    </row>
    <row r="446" spans="3:4">
      <c r="C446" t="str">
        <f>抵押物清单!E460</f>
        <v>B1142</v>
      </c>
      <c r="D446">
        <f>抵押物清单!F460</f>
        <v>29.05</v>
      </c>
    </row>
    <row r="447" spans="3:4">
      <c r="C447" t="str">
        <f>抵押物清单!E461</f>
        <v>B1143</v>
      </c>
      <c r="D447">
        <f>抵押物清单!F461</f>
        <v>29.05</v>
      </c>
    </row>
    <row r="448" spans="3:4">
      <c r="C448" t="str">
        <f>抵押物清单!E462</f>
        <v>B1144</v>
      </c>
      <c r="D448">
        <f>抵押物清单!F462</f>
        <v>29.05</v>
      </c>
    </row>
    <row r="449" spans="3:5">
      <c r="C449" t="str">
        <f>抵押物清单!E463</f>
        <v>B1145</v>
      </c>
      <c r="D449">
        <f>抵押物清单!F463</f>
        <v>29.05</v>
      </c>
    </row>
    <row r="450" spans="3:5">
      <c r="C450" t="str">
        <f>抵押物清单!E464</f>
        <v>B1146</v>
      </c>
      <c r="D450">
        <f>抵押物清单!F464</f>
        <v>29.05</v>
      </c>
    </row>
    <row r="451" spans="3:5">
      <c r="C451" t="str">
        <f>抵押物清单!E465</f>
        <v>B1147</v>
      </c>
      <c r="D451">
        <f>抵押物清单!F465</f>
        <v>29.05</v>
      </c>
    </row>
    <row r="452" spans="3:5">
      <c r="C452" t="str">
        <f>抵押物清单!E466</f>
        <v>B1148</v>
      </c>
      <c r="D452">
        <f>抵押物清单!F466</f>
        <v>29.05</v>
      </c>
    </row>
    <row r="453" spans="3:5">
      <c r="C453" t="str">
        <f>抵押物清单!E467</f>
        <v>B1149</v>
      </c>
      <c r="D453">
        <f>抵押物清单!F467</f>
        <v>29.05</v>
      </c>
    </row>
    <row r="454" spans="3:5">
      <c r="C454" t="str">
        <f>抵押物清单!E468</f>
        <v>B1150</v>
      </c>
      <c r="D454">
        <f>抵押物清单!F468</f>
        <v>29.05</v>
      </c>
    </row>
    <row r="455" spans="3:5">
      <c r="C455" t="str">
        <f>抵押物清单!E469</f>
        <v>B1151</v>
      </c>
      <c r="D455">
        <f>抵押物清单!F469</f>
        <v>29.05</v>
      </c>
    </row>
    <row r="456" spans="3:5">
      <c r="C456" t="str">
        <f>抵押物清单!E470</f>
        <v>B1152</v>
      </c>
      <c r="D456">
        <f>抵押物清单!F470</f>
        <v>21.6</v>
      </c>
    </row>
    <row r="457" spans="3:5">
      <c r="C457" t="str">
        <f>抵押物清单!E471</f>
        <v>B1153</v>
      </c>
      <c r="D457">
        <f>抵押物清单!F471</f>
        <v>29.05</v>
      </c>
    </row>
    <row r="458" spans="3:5">
      <c r="C458" t="str">
        <f>抵押物清单!E472</f>
        <v>B1154</v>
      </c>
      <c r="D458">
        <f>抵押物清单!F472</f>
        <v>29.05</v>
      </c>
    </row>
    <row r="459" spans="3:5">
      <c r="C459" t="str">
        <f>抵押物清单!E473</f>
        <v>B1155</v>
      </c>
      <c r="D459">
        <f>抵押物清单!F473</f>
        <v>29.05</v>
      </c>
    </row>
    <row r="460" spans="3:5">
      <c r="C460" t="str">
        <f>抵押物清单!E474</f>
        <v>B1156</v>
      </c>
      <c r="D460">
        <f>抵押物清单!F474</f>
        <v>44.78</v>
      </c>
    </row>
    <row r="461" spans="3:5">
      <c r="C461" t="str">
        <f>抵押物清单!E475</f>
        <v>B1157</v>
      </c>
      <c r="D461">
        <f>抵押物清单!F475</f>
        <v>21.6</v>
      </c>
    </row>
    <row r="462" spans="3:5">
      <c r="C462" t="str">
        <f>抵押物清单!E476</f>
        <v>B1158</v>
      </c>
      <c r="D462">
        <f>抵押物清单!F476</f>
        <v>50.65</v>
      </c>
    </row>
    <row r="463" spans="3:5">
      <c r="C463" t="str">
        <f>抵押物清单!E477</f>
        <v>B1159</v>
      </c>
      <c r="D463">
        <f>抵押物清单!F477</f>
        <v>60.29</v>
      </c>
      <c r="E463" s="3465" t="s">
        <v>4908</v>
      </c>
    </row>
    <row r="464" spans="3:5">
      <c r="C464" t="str">
        <f>抵押物清单!E478</f>
        <v>B1160</v>
      </c>
      <c r="D464">
        <f>抵押物清单!F478</f>
        <v>90.43</v>
      </c>
      <c r="E464" s="3465" t="s">
        <v>4908</v>
      </c>
    </row>
    <row r="465" spans="3:5">
      <c r="C465" t="str">
        <f>抵押物清单!E479</f>
        <v>B1161</v>
      </c>
      <c r="D465">
        <f>抵押物清单!F479</f>
        <v>90.43</v>
      </c>
      <c r="E465" s="3465" t="s">
        <v>4908</v>
      </c>
    </row>
    <row r="466" spans="3:5">
      <c r="C466" t="str">
        <f>抵押物清单!E480</f>
        <v>B1162</v>
      </c>
      <c r="D466">
        <f>抵押物清单!F480</f>
        <v>90.43</v>
      </c>
      <c r="E466" s="3465" t="s">
        <v>4908</v>
      </c>
    </row>
    <row r="467" spans="3:5">
      <c r="C467" t="str">
        <f>抵押物清单!E481</f>
        <v>B1163</v>
      </c>
      <c r="D467">
        <f>抵押物清单!F481</f>
        <v>90.43</v>
      </c>
      <c r="E467" s="3465" t="s">
        <v>4908</v>
      </c>
    </row>
    <row r="468" spans="3:5">
      <c r="C468" t="str">
        <f>抵押物清单!E482</f>
        <v>B1164</v>
      </c>
      <c r="D468">
        <f>抵押物清单!F482</f>
        <v>90.43</v>
      </c>
      <c r="E468" s="3465" t="s">
        <v>4908</v>
      </c>
    </row>
    <row r="469" spans="3:5">
      <c r="C469" t="str">
        <f>抵押物清单!E483</f>
        <v>B1165</v>
      </c>
      <c r="D469">
        <f>抵押物清单!F483</f>
        <v>119.66</v>
      </c>
      <c r="E469" s="3465" t="s">
        <v>4908</v>
      </c>
    </row>
    <row r="470" spans="3:5">
      <c r="C470" t="str">
        <f>抵押物清单!E484</f>
        <v>B1166</v>
      </c>
      <c r="D470">
        <f>抵押物清单!F484</f>
        <v>180.86</v>
      </c>
      <c r="E470" s="3465" t="s">
        <v>4908</v>
      </c>
    </row>
    <row r="471" spans="3:5">
      <c r="C471" t="str">
        <f>抵押物清单!E485</f>
        <v>B1167</v>
      </c>
      <c r="D471">
        <f>抵押物清单!F485</f>
        <v>180.86</v>
      </c>
      <c r="E471" s="3465" t="s">
        <v>4908</v>
      </c>
    </row>
    <row r="472" spans="3:5">
      <c r="C472" t="str">
        <f>抵押物清单!E486</f>
        <v>B1168</v>
      </c>
      <c r="D472">
        <f>抵押物清单!F486</f>
        <v>180.86</v>
      </c>
      <c r="E472" s="3465" t="s">
        <v>4908</v>
      </c>
    </row>
    <row r="473" spans="3:5">
      <c r="C473" t="str">
        <f>抵押物清单!E487</f>
        <v>B1169</v>
      </c>
      <c r="D473">
        <f>抵押物清单!F487</f>
        <v>180.86</v>
      </c>
      <c r="E473" s="3465" t="s">
        <v>4908</v>
      </c>
    </row>
    <row r="474" spans="3:5">
      <c r="C474" t="str">
        <f>抵押物清单!E488</f>
        <v>B1170</v>
      </c>
      <c r="D474">
        <f>抵押物清单!F488</f>
        <v>60.29</v>
      </c>
      <c r="E474" s="3465" t="s">
        <v>4908</v>
      </c>
    </row>
    <row r="475" spans="3:5">
      <c r="C475" t="str">
        <f>抵押物清单!E489</f>
        <v>B1171</v>
      </c>
      <c r="D475">
        <f>抵押物清单!F489</f>
        <v>120.58</v>
      </c>
      <c r="E475" s="3465" t="s">
        <v>4908</v>
      </c>
    </row>
    <row r="476" spans="3:5">
      <c r="C476" t="str">
        <f>抵押物清单!E490</f>
        <v>B1172</v>
      </c>
      <c r="D476">
        <f>抵押物清单!F490</f>
        <v>180.86</v>
      </c>
      <c r="E476" s="3465" t="s">
        <v>4908</v>
      </c>
    </row>
    <row r="477" spans="3:5">
      <c r="C477" t="str">
        <f>抵押物清单!E491</f>
        <v>B1173</v>
      </c>
      <c r="D477">
        <f>抵押物清单!F491</f>
        <v>180.86</v>
      </c>
      <c r="E477" s="3465" t="s">
        <v>4908</v>
      </c>
    </row>
    <row r="478" spans="3:5">
      <c r="C478" t="str">
        <f>抵押物清单!E492</f>
        <v>B1174</v>
      </c>
      <c r="D478">
        <f>抵押物清单!F492</f>
        <v>180.86</v>
      </c>
      <c r="E478" s="3465" t="s">
        <v>4908</v>
      </c>
    </row>
    <row r="479" spans="3:5">
      <c r="C479" t="str">
        <f>抵押物清单!E493</f>
        <v>B1175</v>
      </c>
      <c r="D479">
        <f>抵押物清单!F493</f>
        <v>180.86</v>
      </c>
      <c r="E479" s="3465" t="s">
        <v>4908</v>
      </c>
    </row>
    <row r="480" spans="3:5">
      <c r="C480" t="str">
        <f>抵押物清单!E494</f>
        <v>B1176</v>
      </c>
      <c r="D480">
        <f>抵押物清单!F494</f>
        <v>150.72</v>
      </c>
      <c r="E480" s="3465" t="s">
        <v>4908</v>
      </c>
    </row>
    <row r="481" spans="3:5">
      <c r="C481" t="str">
        <f>抵押物清单!E495</f>
        <v>B1177</v>
      </c>
      <c r="D481">
        <f>抵押物清单!F495</f>
        <v>60.29</v>
      </c>
      <c r="E481" s="3465" t="s">
        <v>4908</v>
      </c>
    </row>
    <row r="482" spans="3:5">
      <c r="C482" t="str">
        <f>抵押物清单!E496</f>
        <v>B1178</v>
      </c>
      <c r="D482">
        <f>抵押物清单!F496</f>
        <v>60.29</v>
      </c>
      <c r="E482" s="3465" t="s">
        <v>4908</v>
      </c>
    </row>
    <row r="483" spans="3:5">
      <c r="C483" t="str">
        <f>抵押物清单!E497</f>
        <v>B1179</v>
      </c>
      <c r="D483">
        <f>抵押物清单!F497</f>
        <v>60.29</v>
      </c>
      <c r="E483" s="3465" t="s">
        <v>4908</v>
      </c>
    </row>
    <row r="484" spans="3:5">
      <c r="C484" t="str">
        <f>抵押物清单!E498</f>
        <v>B1180</v>
      </c>
      <c r="D484">
        <f>抵押物清单!F498</f>
        <v>180.86</v>
      </c>
      <c r="E484" s="3465" t="s">
        <v>4908</v>
      </c>
    </row>
    <row r="485" spans="3:5">
      <c r="C485" t="str">
        <f>抵押物清单!E499</f>
        <v>B1181</v>
      </c>
      <c r="D485">
        <f>抵押物清单!F499</f>
        <v>180.86</v>
      </c>
      <c r="E485" s="3465" t="s">
        <v>4908</v>
      </c>
    </row>
    <row r="486" spans="3:5">
      <c r="C486" t="str">
        <f>抵押物清单!E500</f>
        <v>B1182</v>
      </c>
      <c r="D486">
        <f>抵押物清单!F500</f>
        <v>180.86</v>
      </c>
      <c r="E486" s="3465" t="s">
        <v>4908</v>
      </c>
    </row>
    <row r="487" spans="3:5">
      <c r="C487" t="str">
        <f>抵押物清单!E501</f>
        <v>B1183</v>
      </c>
      <c r="D487">
        <f>抵押物清单!F501</f>
        <v>180.86</v>
      </c>
      <c r="E487" s="3465" t="s">
        <v>4908</v>
      </c>
    </row>
    <row r="488" spans="3:5">
      <c r="C488" t="str">
        <f>抵押物清单!E502</f>
        <v>B1184</v>
      </c>
      <c r="D488">
        <f>抵押物清单!F502</f>
        <v>271.29000000000002</v>
      </c>
      <c r="E488" s="3465" t="s">
        <v>4908</v>
      </c>
    </row>
    <row r="489" spans="3:5">
      <c r="C489" t="str">
        <f>抵押物清单!E503</f>
        <v>B1185</v>
      </c>
      <c r="D489">
        <f>抵押物清单!F503</f>
        <v>271.29000000000002</v>
      </c>
      <c r="E489" s="3465" t="s">
        <v>4908</v>
      </c>
    </row>
    <row r="490" spans="3:5">
      <c r="C490" t="str">
        <f>抵押物清单!E504</f>
        <v>B1186</v>
      </c>
      <c r="D490">
        <f>抵押物清单!F504</f>
        <v>271.29000000000002</v>
      </c>
      <c r="E490" s="3465" t="s">
        <v>4908</v>
      </c>
    </row>
    <row r="491" spans="3:5">
      <c r="C491" t="str">
        <f>抵押物清单!E505</f>
        <v>B1187</v>
      </c>
      <c r="D491">
        <f>抵押物清单!F505</f>
        <v>271.29000000000002</v>
      </c>
      <c r="E491" s="3465" t="s">
        <v>4908</v>
      </c>
    </row>
    <row r="492" spans="3:5">
      <c r="C492" t="str">
        <f>抵押物清单!E506</f>
        <v>B1188</v>
      </c>
      <c r="D492">
        <f>抵押物清单!F506</f>
        <v>120.58</v>
      </c>
      <c r="E492" s="3465" t="s">
        <v>4908</v>
      </c>
    </row>
    <row r="493" spans="3:5">
      <c r="C493" t="str">
        <f>抵押物清单!E507</f>
        <v>抵押建筑面积小计</v>
      </c>
      <c r="D493">
        <f>抵押物清单!F507</f>
        <v>9084.79000000001</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100" zoomScaleSheetLayoutView="70" workbookViewId="0">
      <selection activeCell="J36" sqref="J3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76" t="s">
        <v>1131</v>
      </c>
      <c r="B2" s="3676"/>
      <c r="C2" s="3676"/>
      <c r="D2" s="796" t="s">
        <v>1107</v>
      </c>
      <c r="E2" s="1637" t="s">
        <v>1108</v>
      </c>
      <c r="F2" s="2654"/>
      <c r="G2" s="2645"/>
      <c r="H2" s="2646"/>
      <c r="I2" s="2320" t="s">
        <v>1132</v>
      </c>
      <c r="J2" s="2654"/>
      <c r="K2" s="2654"/>
      <c r="L2" s="2654"/>
      <c r="M2" s="2654"/>
      <c r="N2" s="2656"/>
      <c r="O2" s="2654"/>
      <c r="P2" s="2654"/>
    </row>
    <row r="3" spans="1:16" ht="15.75" thickBot="1">
      <c r="A3" s="3677" t="s">
        <v>1105</v>
      </c>
      <c r="B3" s="3677"/>
      <c r="C3" s="3677"/>
      <c r="D3" s="43">
        <f>'数据-基础表'!AY6</f>
        <v>0</v>
      </c>
      <c r="E3" s="43">
        <f>'数据-基础表'!AZ5</f>
        <v>176.25</v>
      </c>
      <c r="F3" s="2654"/>
      <c r="G3" s="1144"/>
      <c r="H3" s="1025" t="s">
        <v>1106</v>
      </c>
      <c r="I3" s="855" t="e">
        <f>ROUND('数据-基础表'!B3/'数据-基础表'!A3,2)</f>
        <v>#DIV/0!</v>
      </c>
      <c r="J3" s="2654"/>
      <c r="K3" s="2654"/>
      <c r="L3" s="2654"/>
      <c r="M3" s="2654"/>
      <c r="N3" s="2656"/>
      <c r="O3" s="2654"/>
      <c r="P3" s="2654"/>
    </row>
    <row r="4" spans="1:16" ht="15">
      <c r="A4" s="3678"/>
      <c r="B4" s="3679"/>
      <c r="C4" s="3680"/>
      <c r="D4" s="1639" t="s">
        <v>1107</v>
      </c>
      <c r="E4" s="1640" t="s">
        <v>1108</v>
      </c>
      <c r="F4" s="2654"/>
      <c r="G4" s="2647" t="s">
        <v>1133</v>
      </c>
      <c r="H4" s="1025" t="s">
        <v>1113</v>
      </c>
      <c r="I4" s="855" t="e">
        <f>ROUND(SUMIF('数据-基础表'!I9:AS9,"地上",'数据-基础表'!I5:AS5)/'数据-基础表'!A3,2)</f>
        <v>#DIV/0!</v>
      </c>
      <c r="J4" s="2654"/>
      <c r="K4" s="2654"/>
      <c r="L4" s="2654"/>
      <c r="M4" s="2654"/>
      <c r="N4" s="2656"/>
      <c r="O4" s="2654"/>
      <c r="P4" s="2654"/>
    </row>
    <row r="5" spans="1:16">
      <c r="A5" s="44" t="s">
        <v>1109</v>
      </c>
      <c r="B5" s="3681" t="s">
        <v>1110</v>
      </c>
      <c r="C5" s="3681"/>
      <c r="D5" s="45">
        <f>ROUND($D$3*E5/$E$3,2)</f>
        <v>0</v>
      </c>
      <c r="E5" s="46">
        <f>SUMIF('数据-基础表'!$11:$11,"住宅",'数据-基础表'!$5:$5)</f>
        <v>86.91</v>
      </c>
      <c r="F5" s="2654"/>
      <c r="G5" s="1144"/>
      <c r="H5" s="1025" t="s">
        <v>1106</v>
      </c>
      <c r="I5" s="855" t="e">
        <f>ROUND(E31/D31,2)</f>
        <v>#DIV/0!</v>
      </c>
      <c r="J5" s="2654"/>
      <c r="K5" s="2654"/>
      <c r="L5" s="2654"/>
      <c r="M5" s="2654"/>
      <c r="N5" s="2654"/>
      <c r="O5" s="2654"/>
      <c r="P5" s="2654"/>
    </row>
    <row r="6" spans="1:16" ht="15" thickBot="1">
      <c r="A6" s="1642"/>
      <c r="B6" s="3681" t="s">
        <v>1111</v>
      </c>
      <c r="C6" s="3681"/>
      <c r="D6" s="45">
        <f>ROUND($D$3*E6/$E$3,2)</f>
        <v>0</v>
      </c>
      <c r="E6" s="46">
        <f>E3-E5</f>
        <v>89.34</v>
      </c>
      <c r="F6" s="2654"/>
      <c r="G6" s="2648" t="s">
        <v>1112</v>
      </c>
      <c r="H6" s="1145" t="s">
        <v>1113</v>
      </c>
      <c r="I6" s="2649" t="e">
        <f>ROUND(F31/D31,2)</f>
        <v>#DIV/0!</v>
      </c>
      <c r="J6" s="2654"/>
      <c r="K6" s="2654"/>
      <c r="L6" s="2654"/>
      <c r="M6" s="2654"/>
      <c r="N6" s="2654"/>
      <c r="O6" s="2654"/>
      <c r="P6" s="2654"/>
    </row>
    <row r="7" spans="1:16" ht="15.75" thickBot="1">
      <c r="A7" s="3673"/>
      <c r="B7" s="3674"/>
      <c r="C7" s="3675"/>
      <c r="D7" s="1639" t="s">
        <v>1107</v>
      </c>
      <c r="E7" s="1643"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86.91</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89.34</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176.25</v>
      </c>
      <c r="F16" s="2654"/>
      <c r="G16" s="2655"/>
      <c r="H16" s="1646" t="s">
        <v>1135</v>
      </c>
      <c r="I16" s="1647"/>
      <c r="J16" s="1138"/>
      <c r="K16" s="3670" t="s">
        <v>1135</v>
      </c>
      <c r="L16" s="3671"/>
      <c r="M16" s="3671"/>
      <c r="N16" s="3671"/>
      <c r="O16" s="3671"/>
      <c r="P16" s="3672"/>
    </row>
    <row r="17" spans="1:19" ht="15">
      <c r="A17" s="1648" t="s">
        <v>1136</v>
      </c>
      <c r="B17" s="1649" t="s">
        <v>1137</v>
      </c>
      <c r="C17" s="1650" t="s">
        <v>1138</v>
      </c>
      <c r="D17" s="1651" t="s">
        <v>1126</v>
      </c>
      <c r="E17" s="1652" t="s">
        <v>1127</v>
      </c>
      <c r="F17" s="1653"/>
      <c r="G17" s="1654"/>
      <c r="H17" s="1655" t="s">
        <v>1139</v>
      </c>
      <c r="I17" s="1656" t="s">
        <v>1124</v>
      </c>
      <c r="J17" s="1138"/>
      <c r="K17" s="3667" t="s">
        <v>1140</v>
      </c>
      <c r="L17" s="3668"/>
      <c r="M17" s="3669"/>
      <c r="N17" s="3667" t="s">
        <v>1141</v>
      </c>
      <c r="O17" s="3668"/>
      <c r="P17" s="366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2" t="s">
        <v>3433</v>
      </c>
      <c r="D19" s="45">
        <f>ROUND($D$3*E19/$E$3,2)</f>
        <v>0</v>
      </c>
      <c r="E19" s="53">
        <f t="shared" ref="E19:E26" si="1">SUM(F19:G19)</f>
        <v>86.91</v>
      </c>
      <c r="F19" s="2790">
        <f>'数据-基础表'!I13</f>
        <v>86.91</v>
      </c>
      <c r="G19" s="2791"/>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86.91</v>
      </c>
    </row>
    <row r="20" spans="1:19">
      <c r="A20" s="1668"/>
      <c r="B20" s="47" t="s">
        <v>1153</v>
      </c>
      <c r="C20" s="3412" t="s">
        <v>3434</v>
      </c>
      <c r="D20" s="45">
        <f t="shared" ref="D20:D26" si="6">ROUND($D$3*E20/$E$3,2)</f>
        <v>0</v>
      </c>
      <c r="E20" s="53">
        <f t="shared" si="1"/>
        <v>29.05</v>
      </c>
      <c r="F20" s="2790"/>
      <c r="G20" s="2791">
        <f>'数据-基础表'!K13</f>
        <v>29.05</v>
      </c>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29.05</v>
      </c>
    </row>
    <row r="21" spans="1:19">
      <c r="A21" s="1668"/>
      <c r="B21" s="47" t="s">
        <v>1153</v>
      </c>
      <c r="C21" s="3412" t="s">
        <v>4907</v>
      </c>
      <c r="D21" s="45">
        <f t="shared" si="6"/>
        <v>0</v>
      </c>
      <c r="E21" s="53">
        <f t="shared" si="1"/>
        <v>60.29</v>
      </c>
      <c r="F21" s="2790"/>
      <c r="G21" s="2791">
        <f>'数据-基础表'!M13</f>
        <v>60.29</v>
      </c>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60.29</v>
      </c>
    </row>
    <row r="22" spans="1:19">
      <c r="A22" s="1668"/>
      <c r="B22" s="47" t="s">
        <v>1153</v>
      </c>
      <c r="C22" s="3413"/>
      <c r="D22" s="45">
        <f t="shared" si="6"/>
        <v>0</v>
      </c>
      <c r="E22" s="53">
        <f t="shared" si="1"/>
        <v>0</v>
      </c>
      <c r="F22" s="2792"/>
      <c r="G22" s="2793"/>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3"/>
      <c r="D23" s="45">
        <f>ROUND($D$3*E23/$E$3,2)</f>
        <v>0</v>
      </c>
      <c r="E23" s="53">
        <f>SUM(F23:G23)</f>
        <v>0</v>
      </c>
      <c r="F23" s="2792"/>
      <c r="G23" s="2793"/>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176.25</v>
      </c>
      <c r="F27" s="1139">
        <f>IF(SUM(F19:F26)=E8,SUM(F19:F26),"地上面积有误")</f>
        <v>86.91</v>
      </c>
      <c r="G27" s="1141">
        <f>SUM(G19:G26)</f>
        <v>89.34</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176.25</v>
      </c>
    </row>
    <row r="28" spans="1:19">
      <c r="A28" s="1668"/>
      <c r="B28" s="47" t="s">
        <v>1155</v>
      </c>
      <c r="C28" s="1037"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9">
        <f>SUM(D28:D29)</f>
        <v>0</v>
      </c>
      <c r="E30" s="1139">
        <f>SUM(E28:E29)</f>
        <v>0</v>
      </c>
      <c r="F30" s="1139">
        <f>SUM(F28:F29)</f>
        <v>0</v>
      </c>
      <c r="G30" s="1141">
        <f>SUM(G28:G29)</f>
        <v>0</v>
      </c>
      <c r="H30" s="2654"/>
      <c r="I30" s="2654"/>
      <c r="J30" s="2654"/>
      <c r="K30" s="2654"/>
      <c r="L30" s="2654"/>
      <c r="M30" s="2654"/>
      <c r="N30" s="2654"/>
      <c r="O30" s="2654"/>
      <c r="P30" s="2654"/>
    </row>
    <row r="31" spans="1:19" ht="15.75" thickBot="1">
      <c r="A31" s="1674"/>
      <c r="B31" s="1675"/>
      <c r="C31" s="835" t="s">
        <v>1158</v>
      </c>
      <c r="D31" s="676">
        <f>D27+D30</f>
        <v>0</v>
      </c>
      <c r="E31" s="676">
        <f>E27+E30</f>
        <v>176.25</v>
      </c>
      <c r="F31" s="677">
        <f>F27+F30</f>
        <v>86.91</v>
      </c>
      <c r="G31" s="678">
        <f>G27+G30</f>
        <v>89.34</v>
      </c>
      <c r="H31" s="2654"/>
      <c r="I31" s="2654"/>
      <c r="J31" s="2654"/>
      <c r="K31" s="2654"/>
      <c r="L31" s="2654"/>
      <c r="M31" s="2654"/>
      <c r="N31" s="2654"/>
      <c r="O31" s="2654"/>
      <c r="P31" s="2654"/>
    </row>
    <row r="32" spans="1:19">
      <c r="A32" s="1641"/>
      <c r="B32" s="1641" t="s">
        <v>1159</v>
      </c>
      <c r="C32" s="1641"/>
      <c r="D32" s="1641"/>
      <c r="E32" s="1052">
        <f>SUMIF(C19:C26,"*住宅*",E19:E26)</f>
        <v>86.91</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U24" sqref="U2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4">
        <f>项目基本情况!D3</f>
        <v>45126</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4901</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3379</v>
      </c>
      <c r="D6" s="858">
        <f>SUMIF(项目基本情况!C$12:I$12,C6,项目基本情况!C$14:I$14)</f>
        <v>70</v>
      </c>
      <c r="E6" s="857">
        <f>IF(B6="","",SUMIF(项目基本情况!C$12:I$12,C6,项目基本情况!C$13:I$13))</f>
        <v>69313</v>
      </c>
      <c r="F6" s="64">
        <f>SUMIF(项目基本情况!C$12:I$12,C6,项目基本情况!C$15:I$15)</f>
        <v>66.260000000000005</v>
      </c>
      <c r="G6" s="65">
        <f>IF(ISERROR(ROUND(POWER(1+H6,D6-F6)*(POWER(1+H6,F6)-1)/(POWER(1+H6,D6)-1),3)),0,ROUND(POWER(1+H6,D6-F6)*(POWER(1+H6,F6)-1)/(POWER(1+H6,D6)-1),3))</f>
        <v>0.99299999999999999</v>
      </c>
      <c r="H6" s="732">
        <v>0.05</v>
      </c>
      <c r="I6" s="732">
        <v>5.5E-2</v>
      </c>
      <c r="J6" s="66">
        <v>7.0000000000000007E-2</v>
      </c>
      <c r="K6" s="1029">
        <f>SUMIF('数据-汇总表'!C$19:C$33,A6,'数据-汇总表'!E$19:E$33)</f>
        <v>86.91</v>
      </c>
      <c r="L6" s="733">
        <v>4000</v>
      </c>
      <c r="M6" s="67">
        <f t="shared" ref="M6:M14" si="0">ROUND(K6*L6/10000,0)</f>
        <v>35</v>
      </c>
      <c r="N6" s="731">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3"/>
      <c r="V6" s="70"/>
      <c r="W6" s="70"/>
      <c r="X6" s="1039"/>
      <c r="Y6" s="71"/>
      <c r="Z6" s="72"/>
      <c r="AA6" s="66"/>
      <c r="AB6" s="66"/>
      <c r="AC6" s="1039"/>
      <c r="AD6" s="73"/>
      <c r="AE6" s="1040">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347640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地下车库</v>
      </c>
      <c r="B7" s="1711" t="str">
        <f t="shared" ref="B7:B13" si="1">IF(A7=0,"","经营性")</f>
        <v>经营性</v>
      </c>
      <c r="C7" s="1712" t="s">
        <v>3337</v>
      </c>
      <c r="D7" s="858">
        <f>SUMIF(项目基本情况!C$12:I$12,C7,项目基本情况!C$14:I$14)</f>
        <v>50</v>
      </c>
      <c r="E7" s="857">
        <f>IF(B7="","",SUMIF(项目基本情况!C$12:I$12,C7,项目基本情况!C$13:I$13))</f>
        <v>62008</v>
      </c>
      <c r="F7" s="64">
        <f>SUMIF(项目基本情况!C$12:I$12,C7,项目基本情况!C$15:I$15)</f>
        <v>46.25</v>
      </c>
      <c r="G7" s="65">
        <f t="shared" ref="G7:G11" si="2">IF(ISERROR(ROUND(POWER(1+H7,D7-F7)*(POWER(1+H7,F7)-1)/(POWER(1+H7,D7)-1),3)),0,ROUND(POWER(1+H7,D7-F7)*(POWER(1+H7,F7)-1)/(POWER(1+H7,D7)-1),3))</f>
        <v>0.98099999999999998</v>
      </c>
      <c r="H7" s="732">
        <v>0.05</v>
      </c>
      <c r="I7" s="732">
        <v>5.5E-2</v>
      </c>
      <c r="J7" s="66">
        <v>7.0000000000000007E-2</v>
      </c>
      <c r="K7" s="1029">
        <f>SUMIF('数据-汇总表'!C$19:C$33,A7,'数据-汇总表'!E$19:E$33)</f>
        <v>29.05</v>
      </c>
      <c r="L7" s="733">
        <v>3500</v>
      </c>
      <c r="M7" s="67">
        <f t="shared" si="0"/>
        <v>10</v>
      </c>
      <c r="N7" s="731">
        <v>1</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v>500</v>
      </c>
      <c r="V7" s="70">
        <v>2.5000000000000001E-2</v>
      </c>
      <c r="W7" s="70">
        <v>0.1</v>
      </c>
      <c r="X7" s="1039"/>
      <c r="Y7" s="71">
        <v>1</v>
      </c>
      <c r="Z7" s="72"/>
      <c r="AA7" s="66"/>
      <c r="AB7" s="66"/>
      <c r="AC7" s="1039"/>
      <c r="AD7" s="73"/>
      <c r="AE7" s="1040">
        <f t="shared" ref="AE7:AE13" ca="1" si="6">IF(AN7="",0,SUMIF(INDIRECT("'"&amp;AN7&amp;"'"&amp;"!E:E"),$AE$5,INDIRECT("'"&amp;AN7&amp;"'"&amp;"!F:F")))</f>
        <v>46.25</v>
      </c>
      <c r="AF7" s="1346"/>
      <c r="AG7" s="138">
        <f t="shared" ref="AG7:AG13" si="7">IF(AF7="",0,AE7-AF7)</f>
        <v>0</v>
      </c>
      <c r="AH7" s="74">
        <v>1</v>
      </c>
      <c r="AI7" s="76">
        <v>12</v>
      </c>
      <c r="AJ7" s="77"/>
      <c r="AK7" s="78">
        <v>0.01</v>
      </c>
      <c r="AL7" s="79">
        <v>1E-3</v>
      </c>
      <c r="AM7" s="80">
        <v>0.01</v>
      </c>
      <c r="AN7" s="1713" t="s">
        <v>4909</v>
      </c>
      <c r="AO7" s="52">
        <f t="shared" ref="AO7:AO13" ca="1" si="8">SUMIF(INDIRECT("'"&amp;AN7&amp;"'"&amp;"!A:A"),"总价",INDIRECT("'"&amp;AN7&amp;"'"&amp;"!B:B"))</f>
        <v>8.1356000000000002</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机械车库</v>
      </c>
      <c r="B8" s="1711" t="str">
        <f t="shared" si="1"/>
        <v>经营性</v>
      </c>
      <c r="C8" s="1712" t="s">
        <v>3337</v>
      </c>
      <c r="D8" s="858">
        <f>SUMIF(项目基本情况!C$12:I$12,C8,项目基本情况!C$14:I$14)</f>
        <v>50</v>
      </c>
      <c r="E8" s="857">
        <f>IF(B8="","",SUMIF(项目基本情况!C$12:I$12,C8,项目基本情况!C$13:I$13))</f>
        <v>62008</v>
      </c>
      <c r="F8" s="64">
        <f>SUMIF(项目基本情况!C$12:I$12,C8,项目基本情况!C$15:I$15)</f>
        <v>46.25</v>
      </c>
      <c r="G8" s="65">
        <f t="shared" si="2"/>
        <v>0.98099999999999998</v>
      </c>
      <c r="H8" s="732">
        <v>0.05</v>
      </c>
      <c r="I8" s="732">
        <v>5.5E-2</v>
      </c>
      <c r="J8" s="66">
        <v>7.0000000000000007E-2</v>
      </c>
      <c r="K8" s="1029">
        <f>SUMIF('数据-汇总表'!C$19:C$33,A8,'数据-汇总表'!E$19:E$33)</f>
        <v>60.29</v>
      </c>
      <c r="L8" s="733">
        <v>4000</v>
      </c>
      <c r="M8" s="67">
        <f>ROUND(K8*L8/10000,0)</f>
        <v>24</v>
      </c>
      <c r="N8" s="731">
        <v>1</v>
      </c>
      <c r="O8" s="67" t="str">
        <f t="shared" si="3"/>
        <v>——</v>
      </c>
      <c r="P8" s="68" t="str">
        <f t="shared" si="4"/>
        <v>——</v>
      </c>
      <c r="Q8" s="734">
        <v>0.1</v>
      </c>
      <c r="R8" s="69">
        <f ca="1">SUMIF('数据-汇总表'!C$19:C$33,A8,'数据-汇总表'!R$19:R$27)</f>
        <v>0</v>
      </c>
      <c r="S8" s="51">
        <f>IF('数据-汇总表'!$I$17="按面积比例",SUMIF('数据-汇总表'!C$19:C$33,A8,'数据-汇总表'!K$19:K$33),SUMIF('数据-汇总表'!C$19:C$33,A8,'数据-汇总表'!N$19:N$33))</f>
        <v>0</v>
      </c>
      <c r="T8" s="1171">
        <f t="shared" si="5"/>
        <v>0</v>
      </c>
      <c r="U8" s="3424">
        <v>1000</v>
      </c>
      <c r="V8" s="735">
        <v>2.5000000000000001E-2</v>
      </c>
      <c r="W8" s="735">
        <v>0.1</v>
      </c>
      <c r="X8" s="1039"/>
      <c r="Y8" s="71">
        <v>1</v>
      </c>
      <c r="Z8" s="72"/>
      <c r="AA8" s="66"/>
      <c r="AB8" s="66"/>
      <c r="AC8" s="1039"/>
      <c r="AD8" s="73"/>
      <c r="AE8" s="1040">
        <f t="shared" ca="1" si="6"/>
        <v>46.25</v>
      </c>
      <c r="AF8" s="1346"/>
      <c r="AG8" s="138">
        <f t="shared" si="7"/>
        <v>0</v>
      </c>
      <c r="AH8" s="736">
        <v>1</v>
      </c>
      <c r="AI8" s="76">
        <v>12</v>
      </c>
      <c r="AJ8" s="77"/>
      <c r="AK8" s="737">
        <v>0.01</v>
      </c>
      <c r="AL8" s="738">
        <v>1E-3</v>
      </c>
      <c r="AM8" s="739">
        <v>0.01</v>
      </c>
      <c r="AN8" s="1713" t="s">
        <v>4910</v>
      </c>
      <c r="AO8" s="52">
        <f t="shared" ca="1" si="8"/>
        <v>15.0589</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0.98699999999999999</v>
      </c>
      <c r="H16" s="90">
        <f>ROUND(SUMPRODUCT(H6:H13,K6:K13)/SUMPRODUCT((H6:H13&gt;0)*(K6:K13)),3)</f>
        <v>0.05</v>
      </c>
      <c r="I16" s="91"/>
      <c r="J16" s="91"/>
      <c r="K16" s="92">
        <f>SUM(K6:K15)</f>
        <v>176.25</v>
      </c>
      <c r="L16" s="93">
        <f>ROUND(M16*10000/SUM(K6:K14),0)</f>
        <v>3915</v>
      </c>
      <c r="M16" s="93">
        <f>SUM(M6:M14)</f>
        <v>69</v>
      </c>
      <c r="N16" s="94">
        <f>ROUND(SUMPRODUCT(M6:M14,N6:N14)/M16,3)</f>
        <v>1</v>
      </c>
      <c r="O16" s="93">
        <f>SUM(O6:O14)</f>
        <v>0</v>
      </c>
      <c r="P16" s="93">
        <f>SUM(P6:P14)</f>
        <v>0</v>
      </c>
      <c r="Q16" s="95">
        <f>ROUND(SUMPRODUCT(Q6:Q13,K6:K13)/SUMPRODUCT((Q6:Q13&gt;0)*(K6:K13)),2)</f>
        <v>0.12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5" t="s">
        <v>2301</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f>B20*N16</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3454" t="s">
        <v>3903</v>
      </c>
      <c r="M22" s="2666">
        <v>0.11</v>
      </c>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3454" t="s">
        <v>3904</v>
      </c>
      <c r="M23" s="2666">
        <v>2078.0700000000002</v>
      </c>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54" t="s">
        <v>3905</v>
      </c>
      <c r="M24" s="2666">
        <v>416.8</v>
      </c>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f>M22+M23+M24</f>
        <v>2494.9800000000005</v>
      </c>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2667"/>
      <c r="L26" s="2667"/>
      <c r="M26" s="2666">
        <f>M25*1.2</f>
        <v>2993.9760000000006</v>
      </c>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107">
        <v>150</v>
      </c>
      <c r="C27" s="2796" t="s">
        <v>2305</v>
      </c>
      <c r="D27" s="2674"/>
      <c r="E27" s="2656"/>
      <c r="F27" s="2656"/>
      <c r="G27" s="2668"/>
      <c r="H27" s="2668"/>
      <c r="I27" s="2668"/>
      <c r="J27" s="2668"/>
      <c r="K27" s="2667"/>
      <c r="L27" s="3454" t="s">
        <v>3906</v>
      </c>
      <c r="M27" s="2666">
        <v>1000</v>
      </c>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190</v>
      </c>
      <c r="C28" s="2675"/>
      <c r="D28" s="2674"/>
      <c r="E28" s="2656"/>
      <c r="F28" s="2656"/>
      <c r="G28" s="2668"/>
      <c r="H28" s="2668"/>
      <c r="I28" s="2668"/>
      <c r="J28" s="2668"/>
      <c r="K28" s="2667"/>
      <c r="L28" s="2667"/>
      <c r="M28" s="2666">
        <f>M26+M27</f>
        <v>3993.9760000000006</v>
      </c>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7">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6">
        <f>B42+B43</f>
        <v>0</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7"/>
      <c r="C42" s="2678">
        <f>IF(B2&lt;DATE(2016,5,1),0,B42)</f>
        <v>0</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8">
        <f>B42*(B44+B45+B46)+B47</f>
        <v>0</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9">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4"/>
  </cols>
  <sheetData>
    <row r="1" spans="1:29" s="2452" customFormat="1" ht="18.75" thickBot="1">
      <c r="A1" s="3682" t="s">
        <v>2284</v>
      </c>
      <c r="B1" s="3683"/>
      <c r="C1" s="3683"/>
      <c r="D1" s="3683"/>
      <c r="E1" s="3683"/>
      <c r="F1" s="3683"/>
      <c r="G1" s="3683"/>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2279</v>
      </c>
      <c r="D2" s="2456"/>
      <c r="E2" s="2453"/>
      <c r="F2" s="2457"/>
      <c r="G2" s="2455" t="s">
        <v>2280</v>
      </c>
      <c r="H2" s="799"/>
      <c r="I2" s="799"/>
      <c r="J2" s="799"/>
      <c r="K2" s="799"/>
      <c r="L2" s="799"/>
      <c r="M2" s="799"/>
      <c r="N2" s="799"/>
      <c r="O2" s="799"/>
      <c r="P2" s="799"/>
      <c r="Q2" s="799"/>
      <c r="R2" s="799"/>
    </row>
    <row r="3" spans="1:29" ht="48">
      <c r="A3" s="2436" t="s">
        <v>2281</v>
      </c>
      <c r="B3" s="2458" t="s">
        <v>2250</v>
      </c>
      <c r="C3" s="2459" t="s">
        <v>2282</v>
      </c>
      <c r="D3" s="2460"/>
      <c r="E3" s="2437" t="s">
        <v>2281</v>
      </c>
      <c r="F3" s="2461" t="s">
        <v>2251</v>
      </c>
      <c r="G3" s="2462" t="s">
        <v>2283</v>
      </c>
      <c r="H3" s="799"/>
      <c r="I3" s="799"/>
      <c r="J3" s="799"/>
      <c r="K3" s="799"/>
      <c r="L3" s="799"/>
      <c r="M3" s="799"/>
      <c r="N3" s="799"/>
      <c r="O3" s="799"/>
      <c r="P3" s="799"/>
      <c r="Q3" s="799"/>
      <c r="R3" s="799"/>
    </row>
    <row r="4" spans="1:29" ht="36.75">
      <c r="A4" s="2437"/>
      <c r="B4" s="323" t="s">
        <v>2252</v>
      </c>
      <c r="C4" s="2463" t="s">
        <v>2253</v>
      </c>
      <c r="D4" s="2460"/>
      <c r="E4" s="2464"/>
      <c r="F4" s="1371" t="s">
        <v>2254</v>
      </c>
      <c r="G4" s="2465" t="s">
        <v>2255</v>
      </c>
      <c r="H4" s="799"/>
      <c r="I4" s="799"/>
      <c r="J4" s="799"/>
      <c r="K4" s="799"/>
      <c r="L4" s="799"/>
      <c r="M4" s="799"/>
      <c r="N4" s="799"/>
      <c r="O4" s="799"/>
      <c r="P4" s="799"/>
      <c r="Q4" s="799"/>
      <c r="R4" s="799"/>
    </row>
    <row r="5" spans="1:29" ht="36.75">
      <c r="A5" s="2437"/>
      <c r="B5" s="323" t="s">
        <v>2256</v>
      </c>
      <c r="C5" s="2463" t="s">
        <v>2257</v>
      </c>
      <c r="D5" s="2460"/>
      <c r="E5" s="2464"/>
      <c r="F5" s="323" t="s">
        <v>2258</v>
      </c>
      <c r="G5" s="2465" t="s">
        <v>2259</v>
      </c>
      <c r="H5" s="799"/>
      <c r="I5" s="799"/>
      <c r="J5" s="799"/>
      <c r="K5" s="799"/>
      <c r="L5" s="799"/>
      <c r="M5" s="799"/>
      <c r="N5" s="799"/>
      <c r="O5" s="799"/>
      <c r="P5" s="799"/>
      <c r="Q5" s="799"/>
      <c r="R5" s="799"/>
    </row>
    <row r="6" spans="1:29" ht="36">
      <c r="A6" s="2437"/>
      <c r="B6" s="323" t="s">
        <v>2260</v>
      </c>
      <c r="C6" s="2465" t="s">
        <v>2255</v>
      </c>
      <c r="D6" s="2460"/>
      <c r="E6" s="2464"/>
      <c r="F6" s="323" t="s">
        <v>2261</v>
      </c>
      <c r="G6" s="2465" t="s">
        <v>2262</v>
      </c>
      <c r="H6" s="799"/>
      <c r="I6" s="799"/>
      <c r="J6" s="799"/>
      <c r="K6" s="799"/>
      <c r="L6" s="799"/>
      <c r="M6" s="799"/>
      <c r="N6" s="799"/>
      <c r="O6" s="799"/>
      <c r="P6" s="799"/>
      <c r="Q6" s="799"/>
      <c r="R6" s="799"/>
    </row>
    <row r="7" spans="1:29" ht="24.75" thickBot="1">
      <c r="A7" s="2437"/>
      <c r="B7" s="323" t="s">
        <v>2258</v>
      </c>
      <c r="C7" s="2465" t="s">
        <v>2259</v>
      </c>
      <c r="D7" s="2466"/>
      <c r="E7" s="2467"/>
      <c r="F7" s="2468" t="s">
        <v>2263</v>
      </c>
      <c r="G7" s="2469" t="s">
        <v>2264</v>
      </c>
      <c r="H7" s="799"/>
      <c r="I7" s="799"/>
      <c r="J7" s="799"/>
      <c r="K7" s="799"/>
      <c r="L7" s="799"/>
      <c r="M7" s="799"/>
      <c r="N7" s="799"/>
      <c r="O7" s="799"/>
      <c r="P7" s="799"/>
      <c r="Q7" s="799"/>
      <c r="R7" s="799"/>
    </row>
    <row r="8" spans="1:29">
      <c r="A8" s="2437"/>
      <c r="B8" s="323" t="s">
        <v>2261</v>
      </c>
      <c r="C8" s="2465" t="s">
        <v>2262</v>
      </c>
      <c r="D8" s="2466"/>
      <c r="E8" s="2466"/>
      <c r="F8" s="2470"/>
      <c r="G8" s="2470"/>
      <c r="H8" s="799"/>
      <c r="I8" s="799"/>
      <c r="J8" s="799"/>
      <c r="K8" s="799"/>
      <c r="L8" s="799"/>
      <c r="M8" s="799"/>
      <c r="N8" s="799"/>
      <c r="O8" s="799"/>
      <c r="P8" s="799"/>
      <c r="Q8" s="799"/>
      <c r="R8" s="799"/>
    </row>
    <row r="9" spans="1:29" ht="24">
      <c r="A9" s="2437"/>
      <c r="B9" s="323" t="s">
        <v>2265</v>
      </c>
      <c r="C9" s="2463" t="s">
        <v>2266</v>
      </c>
      <c r="D9" s="2460"/>
      <c r="E9" s="2466"/>
      <c r="F9" s="2470"/>
      <c r="G9" s="2470"/>
      <c r="H9" s="799"/>
      <c r="I9" s="799"/>
      <c r="J9" s="799"/>
      <c r="K9" s="799"/>
      <c r="L9" s="799"/>
      <c r="M9" s="799"/>
      <c r="N9" s="799"/>
      <c r="O9" s="799"/>
      <c r="P9" s="799"/>
      <c r="Q9" s="799"/>
      <c r="R9" s="799"/>
    </row>
    <row r="10" spans="1:29" s="2476" customFormat="1" ht="15" thickBot="1">
      <c r="A10" s="2438"/>
      <c r="B10" s="2471" t="s">
        <v>2267</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2285</v>
      </c>
      <c r="B13" s="2479"/>
      <c r="C13" s="2479"/>
      <c r="D13" s="2477"/>
      <c r="E13" s="2479"/>
      <c r="F13" s="2479"/>
      <c r="G13" s="2479"/>
    </row>
    <row r="14" spans="1:29" ht="15" thickBot="1">
      <c r="A14" s="2489"/>
      <c r="B14" s="2489"/>
      <c r="C14" s="2490" t="s">
        <v>2268</v>
      </c>
      <c r="D14" s="2460"/>
      <c r="E14" s="2491"/>
      <c r="F14" s="2491"/>
      <c r="G14" s="2455" t="s">
        <v>2269</v>
      </c>
    </row>
    <row r="15" spans="1:29" ht="51">
      <c r="A15" s="2439" t="s">
        <v>2270</v>
      </c>
      <c r="B15" s="2492" t="s">
        <v>2250</v>
      </c>
      <c r="C15" s="2493" t="str">
        <f>C3</f>
        <v>估价对象周边居住用地比例、居住小区规模和社区发展完善程度，综合评价居住社区成熟度一般</v>
      </c>
      <c r="D15" s="2460"/>
      <c r="E15" s="2440" t="s">
        <v>2271</v>
      </c>
      <c r="F15" s="2492" t="s">
        <v>2272</v>
      </c>
      <c r="G15" s="2494" t="str">
        <f>G3</f>
        <v>估价对象位于XX开发区，园区建设成熟度XX，产业集聚程度XX</v>
      </c>
    </row>
    <row r="16" spans="1:29" ht="38.25">
      <c r="A16" s="2441"/>
      <c r="B16" s="2495" t="s">
        <v>2252</v>
      </c>
      <c r="C16" s="2496" t="str">
        <f>C4</f>
        <v>估价对象位于XX商圈，周边商业氛围成熟，人流量大，商业繁华度好</v>
      </c>
      <c r="D16" s="2460"/>
      <c r="E16" s="2442"/>
      <c r="F16" s="2497" t="s">
        <v>2254</v>
      </c>
      <c r="G16" s="2498" t="str">
        <f>G4</f>
        <v>估价对象周边道路状况、公共交通通达情况、停车便捷程度，综合评价交通便捷度较好</v>
      </c>
    </row>
    <row r="17" spans="1:18" ht="38.25">
      <c r="A17" s="2441"/>
      <c r="B17" s="2495" t="s">
        <v>2256</v>
      </c>
      <c r="C17" s="2496" t="str">
        <f>C5</f>
        <v>估价对象位于XX商圈，周边办公楼项目较多，入驻率高，办公集聚程度较好</v>
      </c>
      <c r="D17" s="2466"/>
      <c r="E17" s="2442"/>
      <c r="F17" s="2497" t="s">
        <v>2273</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2274</v>
      </c>
      <c r="C19" s="2499"/>
      <c r="D19" s="2460"/>
      <c r="E19" s="2442"/>
      <c r="F19" s="323" t="s">
        <v>2258</v>
      </c>
      <c r="G19" s="2498" t="str">
        <f>G5</f>
        <v>估价对象所在区域公共配套设施齐备情况</v>
      </c>
    </row>
    <row r="20" spans="1:18" ht="25.5">
      <c r="A20" s="2441"/>
      <c r="B20" s="2497" t="s">
        <v>2275</v>
      </c>
      <c r="C20" s="2496" t="str">
        <f>C9</f>
        <v>区域自然环境：；人文环境；综合评价环境状况一般</v>
      </c>
      <c r="D20" s="2466"/>
      <c r="E20" s="2442"/>
      <c r="F20" s="323" t="s">
        <v>2261</v>
      </c>
      <c r="G20" s="2498" t="str">
        <f>G6</f>
        <v>估价对象所在区域基础设施水平</v>
      </c>
    </row>
    <row r="21" spans="1:18" ht="25.5">
      <c r="A21" s="2441"/>
      <c r="B21" s="323" t="s">
        <v>2258</v>
      </c>
      <c r="C21" s="2498" t="str">
        <f>C7</f>
        <v>估价对象所在区域公共配套设施齐备情况</v>
      </c>
      <c r="D21" s="2460"/>
      <c r="E21" s="2442"/>
      <c r="F21" s="2497" t="s">
        <v>2276</v>
      </c>
      <c r="G21" s="2500"/>
    </row>
    <row r="22" spans="1:18" ht="13.5" customHeight="1">
      <c r="A22" s="2441"/>
      <c r="B22" s="323" t="s">
        <v>2261</v>
      </c>
      <c r="C22" s="2498" t="str">
        <f>C8</f>
        <v>估价对象所在区域基础设施水平</v>
      </c>
      <c r="D22" s="2460"/>
      <c r="E22" s="2442"/>
      <c r="F22" s="2497" t="s">
        <v>2267</v>
      </c>
      <c r="G22" s="2499"/>
    </row>
    <row r="23" spans="1:18" s="799" customFormat="1" ht="15" thickBot="1">
      <c r="A23" s="2441"/>
      <c r="B23" s="2497" t="s">
        <v>2276</v>
      </c>
      <c r="C23" s="2500"/>
      <c r="D23" s="1739"/>
      <c r="E23" s="2443"/>
      <c r="F23" s="2501" t="s">
        <v>2277</v>
      </c>
      <c r="G23" s="2502"/>
      <c r="H23" s="2486"/>
      <c r="I23" s="2487"/>
      <c r="J23" s="2486"/>
      <c r="K23" s="2486"/>
      <c r="L23" s="2487"/>
      <c r="M23" s="2486"/>
      <c r="N23" s="2486"/>
      <c r="O23" s="2487"/>
      <c r="P23" s="2486"/>
      <c r="Q23" s="2486"/>
      <c r="R23" s="2488"/>
    </row>
    <row r="24" spans="1:18" s="799" customFormat="1" ht="15" thickBot="1">
      <c r="A24" s="2444"/>
      <c r="B24" s="2501" t="s">
        <v>2278</v>
      </c>
      <c r="C24" s="2503">
        <f>C10</f>
        <v>0</v>
      </c>
      <c r="D24" s="1739"/>
      <c r="E24" s="2434"/>
      <c r="F24" s="2434"/>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66" t="str">
        <f>项目基本情况!B1</f>
        <v>北京市房地产抵押价值预评估</v>
      </c>
      <c r="C37" s="3566"/>
      <c r="D37" s="3566"/>
      <c r="E37" s="3566"/>
      <c r="F37" s="3566"/>
      <c r="G37" s="3566"/>
      <c r="H37" s="3566"/>
      <c r="I37" s="3566"/>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26390.010000000006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45126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91449</v>
      </c>
      <c r="C5" s="2507" t="e">
        <f ca="1">IF(B5=D14,结果表!H102,ROUND(B5*10000/$B$1,0))</f>
        <v>#VALUE!</v>
      </c>
      <c r="D5" s="2507" t="e">
        <f ca="1">ROUND(B5*10000/$B$2,0)</f>
        <v>#DIV/0!</v>
      </c>
      <c r="E5" s="2681"/>
      <c r="F5" s="2682"/>
      <c r="G5" s="2682"/>
      <c r="H5" s="2683"/>
      <c r="I5" s="2683"/>
      <c r="J5" s="2683"/>
      <c r="K5" s="2683"/>
    </row>
    <row r="6" spans="1:11" ht="16.5">
      <c r="A6" s="2507" t="s">
        <v>656</v>
      </c>
      <c r="B6" s="2507">
        <f ca="1">SUM(G14:G23)</f>
        <v>91449</v>
      </c>
      <c r="C6" s="2507" t="e">
        <f ca="1">IF(B6=G14,结果表!H108,ROUND(B6*10000/$B$1,0))</f>
        <v>#VALUE!</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6"/>
      <c r="F10" s="3440" t="s">
        <v>3361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26390.010000000006</v>
      </c>
      <c r="C14" s="2513"/>
      <c r="D14" s="2513">
        <f ca="1">典型户型修正!B20</f>
        <v>91449</v>
      </c>
      <c r="E14" s="2513">
        <f ca="1">ROUND(D14*10000/B14,0)</f>
        <v>34653</v>
      </c>
      <c r="F14" s="2513" t="e">
        <f ca="1">ROUND(D14*10000/C14,0)</f>
        <v>#DIV/0!</v>
      </c>
      <c r="G14" s="2513">
        <f ca="1">D14</f>
        <v>91449</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9"/>
      <c r="H15" s="1329"/>
      <c r="I15" s="2514"/>
      <c r="J15" s="2682"/>
      <c r="K15" s="2683"/>
    </row>
    <row r="16" spans="1:11" ht="16.5">
      <c r="A16" s="2512" t="s">
        <v>648</v>
      </c>
      <c r="B16" s="2514"/>
      <c r="C16" s="2514"/>
      <c r="D16" s="2514"/>
      <c r="E16" s="2513" t="e">
        <f t="shared" si="0"/>
        <v>#DIV/0!</v>
      </c>
      <c r="F16" s="2513" t="e">
        <f t="shared" si="1"/>
        <v>#DIV/0!</v>
      </c>
      <c r="G16" s="1329"/>
      <c r="H16" s="1329"/>
      <c r="I16" s="2514"/>
      <c r="J16" s="2683"/>
      <c r="K16" s="2683"/>
    </row>
    <row r="17" spans="1:11" ht="16.5">
      <c r="A17" s="2512" t="s">
        <v>647</v>
      </c>
      <c r="B17" s="2514"/>
      <c r="C17" s="2514"/>
      <c r="D17" s="2514"/>
      <c r="E17" s="2513" t="e">
        <f t="shared" si="0"/>
        <v>#DIV/0!</v>
      </c>
      <c r="F17" s="2513" t="e">
        <f t="shared" si="1"/>
        <v>#DIV/0!</v>
      </c>
      <c r="G17" s="1329"/>
      <c r="H17" s="1329"/>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25" sqref="M25"/>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3379</v>
      </c>
      <c r="D1" s="1745"/>
      <c r="E1" s="1745"/>
      <c r="F1" s="1747" t="s">
        <v>1263</v>
      </c>
      <c r="G1" s="1559"/>
      <c r="H1" s="1748" t="str">
        <f>IF(G1="现房","——","估价对象范围")</f>
        <v>估价对象范围</v>
      </c>
      <c r="I1" s="1749"/>
    </row>
    <row r="2" spans="1:12" ht="21.75" customHeight="1" thickBot="1">
      <c r="A2" s="3718" t="str">
        <f>项目基本情况!S2</f>
        <v>北京市房地产</v>
      </c>
      <c r="B2" s="3719"/>
      <c r="C2" s="3719"/>
      <c r="D2" s="3719"/>
      <c r="E2" s="3719"/>
      <c r="F2" s="3719"/>
      <c r="G2" s="3719"/>
      <c r="H2" s="3719"/>
      <c r="I2" s="3720"/>
    </row>
    <row r="3" spans="1:12" ht="12.75">
      <c r="A3" s="3722" t="s">
        <v>1264</v>
      </c>
      <c r="B3" s="3723"/>
      <c r="C3" s="3723"/>
      <c r="D3" s="3723"/>
      <c r="E3" s="3723"/>
      <c r="F3" s="3723"/>
      <c r="G3" s="3723"/>
      <c r="H3" s="3723"/>
      <c r="I3" s="3723"/>
    </row>
    <row r="4" spans="1:12" ht="14.25">
      <c r="A4" s="1752" t="s">
        <v>1265</v>
      </c>
      <c r="B4" s="1753" t="s">
        <v>1266</v>
      </c>
      <c r="C4" s="1754" t="s">
        <v>3980</v>
      </c>
      <c r="D4" s="1754" t="s">
        <v>3979</v>
      </c>
      <c r="E4" s="3724" t="s">
        <v>1267</v>
      </c>
      <c r="F4" s="3725"/>
      <c r="G4" s="3725"/>
      <c r="H4" s="3725"/>
      <c r="I4" s="37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698" t="s">
        <v>1268</v>
      </c>
      <c r="B5" s="3685">
        <v>25</v>
      </c>
      <c r="C5" s="3701"/>
      <c r="D5" s="3721"/>
      <c r="E5" s="131" t="s">
        <v>1269</v>
      </c>
      <c r="F5" s="1755"/>
      <c r="G5" s="1755"/>
      <c r="H5" s="1755"/>
      <c r="I5" s="1371"/>
    </row>
    <row r="6" spans="1:12" ht="12.75">
      <c r="A6" s="3698"/>
      <c r="B6" s="3685"/>
      <c r="C6" s="3702"/>
      <c r="D6" s="3721"/>
      <c r="E6" s="131" t="s">
        <v>1270</v>
      </c>
      <c r="F6" s="1755"/>
      <c r="G6" s="1755"/>
      <c r="H6" s="1755"/>
      <c r="I6" s="1371"/>
    </row>
    <row r="7" spans="1:12" ht="12.75">
      <c r="A7" s="3698"/>
      <c r="B7" s="3685"/>
      <c r="C7" s="3703"/>
      <c r="D7" s="3721"/>
      <c r="E7" s="131" t="s">
        <v>1271</v>
      </c>
      <c r="F7" s="1755"/>
      <c r="G7" s="1755"/>
      <c r="H7" s="1755"/>
      <c r="I7" s="1371"/>
    </row>
    <row r="8" spans="1:12" ht="12.75">
      <c r="A8" s="3698" t="s">
        <v>1272</v>
      </c>
      <c r="B8" s="3685">
        <v>15</v>
      </c>
      <c r="C8" s="3701"/>
      <c r="D8" s="3721"/>
      <c r="E8" s="131" t="s">
        <v>1273</v>
      </c>
      <c r="F8" s="1755"/>
      <c r="G8" s="1755"/>
      <c r="H8" s="1755"/>
      <c r="I8" s="1371"/>
    </row>
    <row r="9" spans="1:12" ht="12.75">
      <c r="A9" s="3698"/>
      <c r="B9" s="3685"/>
      <c r="C9" s="3703"/>
      <c r="D9" s="3721"/>
      <c r="E9" s="131" t="s">
        <v>1274</v>
      </c>
      <c r="F9" s="1755"/>
      <c r="G9" s="1755"/>
      <c r="H9" s="1755"/>
      <c r="I9" s="1371"/>
    </row>
    <row r="10" spans="1:12" ht="12.75">
      <c r="A10" s="3698" t="s">
        <v>1275</v>
      </c>
      <c r="B10" s="3685">
        <v>15</v>
      </c>
      <c r="C10" s="3701"/>
      <c r="D10" s="3721"/>
      <c r="E10" s="131" t="s">
        <v>1276</v>
      </c>
      <c r="F10" s="1755"/>
      <c r="G10" s="1755"/>
      <c r="H10" s="1755"/>
      <c r="I10" s="1371"/>
    </row>
    <row r="11" spans="1:12" ht="12.75">
      <c r="A11" s="3698"/>
      <c r="B11" s="3685"/>
      <c r="C11" s="3703"/>
      <c r="D11" s="3721"/>
      <c r="E11" s="131" t="s">
        <v>1277</v>
      </c>
      <c r="F11" s="1755"/>
      <c r="G11" s="1755"/>
      <c r="H11" s="1755"/>
      <c r="I11" s="1371"/>
    </row>
    <row r="12" spans="1:12" ht="12.75">
      <c r="A12" s="3698" t="s">
        <v>1278</v>
      </c>
      <c r="B12" s="3685">
        <v>15</v>
      </c>
      <c r="C12" s="3701"/>
      <c r="D12" s="3721"/>
      <c r="E12" s="131" t="s">
        <v>1279</v>
      </c>
      <c r="F12" s="1755"/>
      <c r="G12" s="1755"/>
      <c r="H12" s="1755"/>
      <c r="I12" s="1371"/>
    </row>
    <row r="13" spans="1:12" ht="12.75">
      <c r="A13" s="3698"/>
      <c r="B13" s="3685"/>
      <c r="C13" s="3703"/>
      <c r="D13" s="3721"/>
      <c r="E13" s="131" t="s">
        <v>1280</v>
      </c>
      <c r="F13" s="1755"/>
      <c r="G13" s="1755"/>
      <c r="H13" s="1755"/>
      <c r="I13" s="1371"/>
    </row>
    <row r="14" spans="1:12" ht="12.75">
      <c r="A14" s="3698" t="s">
        <v>1281</v>
      </c>
      <c r="B14" s="3685">
        <v>30</v>
      </c>
      <c r="C14" s="3701">
        <v>5</v>
      </c>
      <c r="D14" s="3721">
        <v>5</v>
      </c>
      <c r="E14" s="131" t="s">
        <v>1282</v>
      </c>
      <c r="F14" s="1755"/>
      <c r="G14" s="1755"/>
      <c r="H14" s="1755"/>
      <c r="I14" s="1371"/>
    </row>
    <row r="15" spans="1:12" ht="12.75">
      <c r="A15" s="3698"/>
      <c r="B15" s="3685"/>
      <c r="C15" s="3702"/>
      <c r="D15" s="3721"/>
      <c r="E15" s="131" t="s">
        <v>1283</v>
      </c>
      <c r="F15" s="1755"/>
      <c r="G15" s="1755"/>
      <c r="H15" s="1755"/>
      <c r="I15" s="1371"/>
    </row>
    <row r="16" spans="1:12" ht="12.75">
      <c r="A16" s="3698"/>
      <c r="B16" s="3685"/>
      <c r="C16" s="3703"/>
      <c r="D16" s="3721"/>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708" t="s">
        <v>2129</v>
      </c>
      <c r="F18" s="3709"/>
      <c r="G18" s="3709"/>
      <c r="H18" s="3709"/>
      <c r="I18" s="3709"/>
      <c r="K18" s="302" t="s">
        <v>1289</v>
      </c>
      <c r="L18" s="302">
        <f>IF(C1="",'数据-汇总表'!E3,SUMIF(项目类型,C1,'数据-汇总表'!E17:E26)+SUMIF(项目类型,C1,'数据-汇总表'!I17:I26))</f>
        <v>86.91</v>
      </c>
      <c r="M18" s="302">
        <f>IF(C1="",'数据-汇总表'!E3,SUMIF(项目类型,C1,'数据-汇总表'!E17:E26))</f>
        <v>86.91</v>
      </c>
    </row>
    <row r="19" spans="1:36" ht="15">
      <c r="A19" s="1759" t="s">
        <v>1290</v>
      </c>
      <c r="B19" s="1760" t="s">
        <v>1291</v>
      </c>
      <c r="C19" s="134">
        <f ca="1">SUMIF(INDIRECT("'"&amp;C4&amp;"'"&amp;"!A:A"),结果表!B19,INDIRECT("'"&amp;C4&amp;"'"&amp;"!B:B"))</f>
        <v>321.089</v>
      </c>
      <c r="D19" s="135">
        <f ca="1">SUMIF(INDIRECT("'"&amp;D4&amp;"'"&amp;"!A:A"),结果表!B19,INDIRECT("'"&amp;D4&amp;"'"&amp;"!B:B"))</f>
        <v>281</v>
      </c>
      <c r="E19" s="1759" t="s">
        <v>1292</v>
      </c>
      <c r="F19" s="1760" t="s">
        <v>1291</v>
      </c>
      <c r="G19" s="136">
        <f ca="1">ROUND(C19*$C$18+D19*$D$18,0)</f>
        <v>301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36945</v>
      </c>
      <c r="D20" s="138">
        <f ca="1">SUMIF(INDIRECT("'"&amp;D4&amp;"'"&amp;"!A:A"),结果表!B20,INDIRECT("'"&amp;D4&amp;"'"&amp;"!B:B"))</f>
        <v>32332</v>
      </c>
      <c r="E20" s="1762"/>
      <c r="F20" s="1025" t="s">
        <v>1295</v>
      </c>
      <c r="G20" s="139">
        <f ca="1">ROUND(C20*$C$18+D20*$D$18,0)</f>
        <v>34639</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0.14266548042704619</v>
      </c>
      <c r="E22" s="129"/>
      <c r="F22" s="129"/>
      <c r="G22" s="129"/>
      <c r="H22" s="129"/>
      <c r="I22" s="129"/>
    </row>
    <row r="23" spans="1:36" ht="13.5" thickBot="1">
      <c r="A23" s="1745"/>
      <c r="B23" s="1745"/>
      <c r="C23" s="1745"/>
      <c r="D23" s="1745"/>
      <c r="E23" s="129"/>
      <c r="F23" s="129"/>
      <c r="G23" s="129"/>
      <c r="H23" s="129"/>
      <c r="I23" s="129"/>
    </row>
    <row r="24" spans="1:36" ht="14.25">
      <c r="A24" s="3692" t="s">
        <v>1299</v>
      </c>
      <c r="B24" s="1760" t="s">
        <v>1291</v>
      </c>
      <c r="C24" s="136">
        <f>IF(B30=0,0,D30)</f>
        <v>0</v>
      </c>
      <c r="D24" s="1767"/>
      <c r="E24" s="129"/>
      <c r="F24" s="129"/>
      <c r="G24" s="129"/>
      <c r="H24" s="129"/>
      <c r="I24" s="129"/>
    </row>
    <row r="25" spans="1:36" ht="14.25">
      <c r="A25" s="369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1" t="s">
        <v>1305</v>
      </c>
      <c r="B32" s="1772"/>
      <c r="C32" s="144">
        <f ca="1">IF(D32="总价",G19-C24,G20-C25)</f>
        <v>34639</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712" t="s">
        <v>1312</v>
      </c>
      <c r="B36" s="1785" t="s">
        <v>1313</v>
      </c>
      <c r="C36" s="145"/>
      <c r="D36" s="1786"/>
      <c r="E36" s="1787"/>
      <c r="F36" s="1788"/>
      <c r="G36" s="129"/>
      <c r="H36" s="129"/>
      <c r="I36" s="129"/>
    </row>
    <row r="37" spans="1:15" ht="15.75" thickBot="1">
      <c r="A37" s="3713"/>
      <c r="B37" s="1672" t="s">
        <v>1314</v>
      </c>
      <c r="C37" s="147"/>
      <c r="D37" s="1138"/>
      <c r="E37" s="1138"/>
      <c r="F37" s="1788"/>
      <c r="G37" s="129"/>
      <c r="H37" s="129"/>
      <c r="I37" s="129"/>
    </row>
    <row r="38" spans="1:15" ht="15.75" thickBot="1">
      <c r="A38" s="3714"/>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9" t="s">
        <v>1326</v>
      </c>
      <c r="B45" s="3690"/>
      <c r="C45" s="3691"/>
      <c r="D45" s="155" t="e">
        <f ca="1">ROUND(H101*F45,0)</f>
        <v>#REF!</v>
      </c>
      <c r="E45" s="156" t="s">
        <v>1327</v>
      </c>
      <c r="F45" s="157">
        <v>1</v>
      </c>
      <c r="G45" s="158" t="s">
        <v>1328</v>
      </c>
      <c r="H45" s="129"/>
      <c r="I45" s="129"/>
      <c r="J45" s="3767" t="s">
        <v>1329</v>
      </c>
      <c r="K45" s="3767"/>
      <c r="L45" s="3767"/>
      <c r="M45" s="3767"/>
      <c r="N45" s="3767"/>
      <c r="O45" s="3767"/>
    </row>
    <row r="46" spans="1:15" ht="14.25" customHeight="1">
      <c r="A46" s="3686" t="s">
        <v>1330</v>
      </c>
      <c r="B46" s="3687"/>
      <c r="C46" s="3687"/>
      <c r="D46" s="3687"/>
      <c r="E46" s="3687"/>
      <c r="F46" s="3687"/>
      <c r="G46" s="3688"/>
      <c r="H46" s="1804"/>
      <c r="I46" s="159"/>
      <c r="J46" s="2518">
        <v>1</v>
      </c>
      <c r="K46" s="3748" t="s">
        <v>1331</v>
      </c>
      <c r="L46" s="3748"/>
      <c r="M46" s="3768"/>
      <c r="N46" s="3768"/>
      <c r="O46" s="3768"/>
    </row>
    <row r="47" spans="1:15" ht="12" customHeight="1">
      <c r="A47" s="160" t="s">
        <v>1332</v>
      </c>
      <c r="B47" s="161"/>
      <c r="C47" s="162"/>
      <c r="D47" s="1086" t="s">
        <v>1333</v>
      </c>
      <c r="E47" s="302" t="s">
        <v>1334</v>
      </c>
      <c r="F47" s="163" t="s">
        <v>1335</v>
      </c>
      <c r="G47" s="2541" t="s">
        <v>1336</v>
      </c>
      <c r="H47" s="2542"/>
      <c r="I47" s="159"/>
      <c r="J47" s="2518">
        <v>2</v>
      </c>
      <c r="K47" s="3748" t="s">
        <v>1337</v>
      </c>
      <c r="L47" s="3748"/>
      <c r="M47" s="3769">
        <f>'数据-取费表'!B2</f>
        <v>45126</v>
      </c>
      <c r="N47" s="3769"/>
      <c r="O47" s="3769"/>
    </row>
    <row r="48" spans="1:15" ht="25.5">
      <c r="A48" s="3717" t="s">
        <v>1338</v>
      </c>
      <c r="B48" s="3700"/>
      <c r="C48" s="3700"/>
      <c r="D48" s="2319" t="b">
        <f>IF(H48="情况1",0,IF(H48="情况2",D52,IF(H48="情况3",D53,IF(H48="情况4",D54))))</f>
        <v>0</v>
      </c>
      <c r="E48" s="2329" t="str">
        <f>IF(H48="情况4","(销售额-原购置价)×税（费）率","销售额×税（费）率")</f>
        <v>销售额×税（费）率</v>
      </c>
      <c r="F48" s="2543">
        <f>IF(H48="情况1","免征",'数据-取费表'!B41)</f>
        <v>0</v>
      </c>
      <c r="G48" s="2544" t="s">
        <v>1339</v>
      </c>
      <c r="H48" s="2545"/>
      <c r="I48" s="1804"/>
      <c r="J48" s="2518">
        <v>3</v>
      </c>
      <c r="K48" s="3748" t="s">
        <v>1340</v>
      </c>
      <c r="L48" s="3748"/>
      <c r="M48" s="3770" t="e">
        <f ca="1">H101</f>
        <v>#REF!</v>
      </c>
      <c r="N48" s="3770"/>
      <c r="O48" s="3770"/>
    </row>
    <row r="49" spans="1:35" ht="25.5" customHeight="1">
      <c r="A49" s="2328" t="s">
        <v>1341</v>
      </c>
      <c r="B49" s="3684" t="s">
        <v>1342</v>
      </c>
      <c r="C49" s="3684"/>
      <c r="D49" s="1588">
        <v>0</v>
      </c>
      <c r="E49" s="324" t="s">
        <v>1343</v>
      </c>
      <c r="F49" s="2419" t="s">
        <v>28</v>
      </c>
      <c r="G49" s="3754"/>
      <c r="H49" s="2305" t="s">
        <v>2132</v>
      </c>
      <c r="I49" s="2306"/>
      <c r="J49" s="2518">
        <v>4</v>
      </c>
      <c r="K49" s="3748" t="str">
        <f>IF(项目基本情况!E8="房地产抵押价值","房地产抵押价值","抵押担保权已注销时的房地产抵押价值")</f>
        <v>房地产抵押价值</v>
      </c>
      <c r="L49" s="3748"/>
      <c r="M49" s="3770" t="str">
        <f ca="1">IF(项目基本情况!E8="房地产抵押价值",H107,H109)</f>
        <v>——</v>
      </c>
      <c r="N49" s="3770"/>
      <c r="O49" s="3770"/>
    </row>
    <row r="50" spans="1:35" ht="25.5" customHeight="1">
      <c r="A50" s="2546"/>
      <c r="B50" s="3684" t="s">
        <v>1344</v>
      </c>
      <c r="C50" s="3684"/>
      <c r="D50" s="2547"/>
      <c r="E50" s="332"/>
      <c r="F50" s="2419"/>
      <c r="G50" s="3755"/>
      <c r="H50" s="2307" t="s">
        <v>2133</v>
      </c>
      <c r="I50" s="2306"/>
      <c r="J50" s="3767" t="s">
        <v>1345</v>
      </c>
      <c r="K50" s="3767"/>
      <c r="L50" s="3767"/>
      <c r="M50" s="3767"/>
      <c r="N50" s="3767"/>
      <c r="O50" s="3767"/>
    </row>
    <row r="51" spans="1:35" ht="20.45" customHeight="1">
      <c r="A51" s="2548"/>
      <c r="B51" s="3684" t="s">
        <v>1346</v>
      </c>
      <c r="C51" s="3684"/>
      <c r="D51" s="1086"/>
      <c r="E51" s="327"/>
      <c r="F51" s="2419"/>
      <c r="G51" s="3756"/>
      <c r="H51" s="2307" t="s">
        <v>2134</v>
      </c>
      <c r="I51" s="2306"/>
      <c r="J51" s="2519" t="s">
        <v>1347</v>
      </c>
      <c r="K51" s="3748" t="s">
        <v>1348</v>
      </c>
      <c r="L51" s="3748"/>
      <c r="M51" s="2519" t="s">
        <v>1349</v>
      </c>
      <c r="N51" s="2519" t="s">
        <v>1350</v>
      </c>
      <c r="O51" s="2519" t="s">
        <v>1351</v>
      </c>
    </row>
    <row r="52" spans="1:35" ht="24" customHeight="1">
      <c r="A52" s="2330" t="s">
        <v>1352</v>
      </c>
      <c r="B52" s="3684" t="s">
        <v>1353</v>
      </c>
      <c r="C52" s="3684"/>
      <c r="D52" s="1086" t="e">
        <f ca="1">ROUND(D45*'数据-取费表'!B41/(1+'数据-取费表'!C42),0)</f>
        <v>#REF!</v>
      </c>
      <c r="E52" s="2329" t="s">
        <v>1354</v>
      </c>
      <c r="F52" s="2549">
        <f>'数据-取费表'!B41</f>
        <v>0</v>
      </c>
      <c r="G52" s="2550"/>
      <c r="H52" s="2539"/>
      <c r="I52" s="1805"/>
      <c r="J52" s="2518">
        <v>1</v>
      </c>
      <c r="K52" s="3749" t="s">
        <v>1355</v>
      </c>
      <c r="L52" s="3749"/>
      <c r="M52" s="2520" t="b">
        <f>D48</f>
        <v>0</v>
      </c>
      <c r="N52" s="2518" t="str">
        <f>E48</f>
        <v>销售额×税（费）率</v>
      </c>
      <c r="O52" s="2521">
        <f>F48</f>
        <v>0</v>
      </c>
    </row>
    <row r="53" spans="1:35" ht="12" customHeight="1">
      <c r="A53" s="2330" t="s">
        <v>1356</v>
      </c>
      <c r="B53" s="3710" t="s">
        <v>2289</v>
      </c>
      <c r="C53" s="3711"/>
      <c r="D53" s="1086" t="e">
        <f ca="1">ROUND(D45*'数据-取费表'!B41/(1+'数据-取费表'!C42),0)</f>
        <v>#REF!</v>
      </c>
      <c r="E53" s="2329" t="s">
        <v>1354</v>
      </c>
      <c r="F53" s="2549">
        <f>'数据-取费表'!B41</f>
        <v>0</v>
      </c>
      <c r="G53" s="2550"/>
      <c r="H53" s="2539"/>
      <c r="I53" s="1805"/>
      <c r="J53" s="2518">
        <v>2</v>
      </c>
      <c r="K53" s="3749" t="s">
        <v>1357</v>
      </c>
      <c r="L53" s="3749"/>
      <c r="M53" s="2520" t="e">
        <f t="shared" ref="M53:O54" ca="1" si="0">D55</f>
        <v>#REF!</v>
      </c>
      <c r="N53" s="2518" t="str">
        <f t="shared" si="0"/>
        <v>销售额×税（费）率</v>
      </c>
      <c r="O53" s="2521" t="str">
        <f t="shared" si="0"/>
        <v>免征</v>
      </c>
    </row>
    <row r="54" spans="1:35" ht="12" customHeight="1">
      <c r="A54" s="2330" t="s">
        <v>1358</v>
      </c>
      <c r="B54" s="3710" t="s">
        <v>2290</v>
      </c>
      <c r="C54" s="3711"/>
      <c r="D54" s="1086" t="e">
        <f ca="1">C68</f>
        <v>#REF!</v>
      </c>
      <c r="E54" s="327" t="s">
        <v>1359</v>
      </c>
      <c r="F54" s="2549">
        <f>'数据-取费表'!B41</f>
        <v>0</v>
      </c>
      <c r="G54" s="2550"/>
      <c r="H54" s="2551"/>
      <c r="I54" s="1805"/>
      <c r="J54" s="2518">
        <v>3</v>
      </c>
      <c r="K54" s="3749" t="s">
        <v>1360</v>
      </c>
      <c r="L54" s="3749"/>
      <c r="M54" s="2520" t="e">
        <f t="shared" ca="1" si="0"/>
        <v>#REF!</v>
      </c>
      <c r="N54" s="2518" t="str">
        <f t="shared" si="0"/>
        <v>增值额×税（费）率</v>
      </c>
      <c r="O54" s="2522" t="str">
        <f t="shared" si="0"/>
        <v>免征</v>
      </c>
    </row>
    <row r="55" spans="1:35" ht="24" customHeight="1">
      <c r="A55" s="3699" t="s">
        <v>1361</v>
      </c>
      <c r="B55" s="3700"/>
      <c r="C55" s="3700"/>
      <c r="D55" s="2319" t="e">
        <f ca="1">IF(H55="个人住宅",0,ROUND(D45*I55,0))</f>
        <v>#REF!</v>
      </c>
      <c r="E55" s="2329" t="s">
        <v>1362</v>
      </c>
      <c r="F55" s="2549" t="str">
        <f>IF(H55="正常",I55,"免征")</f>
        <v>免征</v>
      </c>
      <c r="G55" s="2550"/>
      <c r="H55" s="2545"/>
      <c r="I55" s="165">
        <f>'数据-取费表'!B49</f>
        <v>5.0000000000000001E-4</v>
      </c>
      <c r="J55" s="2518">
        <f>IF(H59="非个人房产","",4)</f>
        <v>4</v>
      </c>
      <c r="K55" s="3749" t="str">
        <f>IF(H59="非个人房产","——","个人所得税")</f>
        <v>个人所得税</v>
      </c>
      <c r="L55" s="3749"/>
      <c r="M55" s="2523" t="e">
        <f ca="1">D59</f>
        <v>#REF!</v>
      </c>
      <c r="N55" s="2035" t="str">
        <f>E59</f>
        <v>差额计税</v>
      </c>
      <c r="O55" s="2524">
        <f>F59</f>
        <v>0.01</v>
      </c>
    </row>
    <row r="56" spans="1:35" ht="24.75">
      <c r="A56" s="3699" t="s">
        <v>1363</v>
      </c>
      <c r="B56" s="3700"/>
      <c r="C56" s="3700"/>
      <c r="D56" s="2319" t="e">
        <f ca="1">IF(H56="个人住宅",D57,D58)</f>
        <v>#REF!</v>
      </c>
      <c r="E56" s="2329" t="s">
        <v>1364</v>
      </c>
      <c r="F56" s="2549" t="str">
        <f>IF(H56="正常",F58,"免征")</f>
        <v>免征</v>
      </c>
      <c r="G56" s="2552" t="s">
        <v>1365</v>
      </c>
      <c r="H56" s="2553"/>
      <c r="I56" s="1806"/>
      <c r="J56" s="2518" t="str">
        <f>IF(项目基本情况!K6="上海银行",IF(J55="",4,J55+1),"")</f>
        <v/>
      </c>
      <c r="K56" s="3772" t="str">
        <f>IF(项目基本情况!K6="上海银行","其他处置费用","")</f>
        <v/>
      </c>
      <c r="L56" s="3773"/>
      <c r="M56" s="2520" t="str">
        <f>IF(项目基本情况!K6="上海银行",M69,"")</f>
        <v/>
      </c>
      <c r="N56" s="3772" t="str">
        <f>IF(项目基本情况!K6="上海银行","包含处置中涉及的律师、诉讼、拍卖、评估等费用","")</f>
        <v/>
      </c>
      <c r="O56" s="3775"/>
    </row>
    <row r="57" spans="1:35" ht="12.75">
      <c r="A57" s="2330" t="s">
        <v>1341</v>
      </c>
      <c r="B57" s="3710" t="s">
        <v>1366</v>
      </c>
      <c r="C57" s="3711"/>
      <c r="D57" s="1588">
        <v>0</v>
      </c>
      <c r="E57" s="324" t="s">
        <v>1343</v>
      </c>
      <c r="F57" s="302"/>
      <c r="G57" s="2550"/>
      <c r="H57" s="2554"/>
      <c r="I57" s="1806"/>
      <c r="J57" s="3749">
        <f>IF(AND(J55="",J56=""),4,IF(项目基本情况!K6="上海银行",结果表!J56+1,结果表!J55+1))</f>
        <v>5</v>
      </c>
      <c r="K57" s="3749" t="s">
        <v>1367</v>
      </c>
      <c r="L57" s="2525" t="s">
        <v>1368</v>
      </c>
      <c r="M57" s="2526"/>
      <c r="N57" s="2527">
        <f ca="1">SUMIF(M52:M56,"&lt;9e307")</f>
        <v>0</v>
      </c>
      <c r="O57" s="2528"/>
      <c r="P57" s="2685" t="e">
        <f ca="1">N57/M49</f>
        <v>#VALUE!</v>
      </c>
    </row>
    <row r="58" spans="1:35" ht="24.75">
      <c r="A58" s="2330" t="s">
        <v>1352</v>
      </c>
      <c r="B58" s="3710" t="s">
        <v>1369</v>
      </c>
      <c r="C58" s="3684"/>
      <c r="D58" s="2319" t="e">
        <f ca="1">IF(H58="转让取得",C81,C97)</f>
        <v>#REF!</v>
      </c>
      <c r="E58" s="2329" t="s">
        <v>1364</v>
      </c>
      <c r="F58" s="302" t="s">
        <v>28</v>
      </c>
      <c r="G58" s="2550"/>
      <c r="H58" s="2553"/>
      <c r="I58" s="1806"/>
      <c r="J58" s="3749"/>
      <c r="K58" s="3749"/>
      <c r="L58" s="2525" t="s">
        <v>1370</v>
      </c>
      <c r="M58" s="2529"/>
      <c r="N58" s="2530" t="str">
        <f ca="1">NUMBERSTRING(INT(N57*10000),2)&amp;"元整"</f>
        <v>零元整</v>
      </c>
      <c r="O58" s="2531"/>
    </row>
    <row r="59" spans="1:35" ht="24.75" thickBot="1">
      <c r="A59" s="3752" t="s">
        <v>1371</v>
      </c>
      <c r="B59" s="3753"/>
      <c r="C59" s="375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2135</v>
      </c>
      <c r="J59" s="3750">
        <f>J57+1</f>
        <v>6</v>
      </c>
      <c r="K59" s="3749" t="s">
        <v>1372</v>
      </c>
      <c r="L59" s="2518" t="s">
        <v>1368</v>
      </c>
      <c r="M59" s="2532"/>
      <c r="N59" s="2533" t="e">
        <f ca="1">M49-N57</f>
        <v>#VALUE!</v>
      </c>
      <c r="O59" s="2534"/>
    </row>
    <row r="60" spans="1:35" ht="12" customHeight="1">
      <c r="A60" s="1807"/>
      <c r="B60" s="1745"/>
      <c r="C60" s="1745"/>
      <c r="D60" s="1745"/>
      <c r="E60" s="1576"/>
      <c r="F60" s="1806"/>
      <c r="G60" s="1806"/>
      <c r="H60" s="1808"/>
      <c r="I60" s="129"/>
      <c r="J60" s="3751"/>
      <c r="K60" s="3749"/>
      <c r="L60" s="2525" t="s">
        <v>1370</v>
      </c>
      <c r="M60" s="2529"/>
      <c r="N60" s="2530" t="e">
        <f ca="1">NUMBERSTRING(INT(N59*10000),2)&amp;"元整"</f>
        <v>#VALUE!</v>
      </c>
      <c r="O60" s="2531"/>
    </row>
    <row r="61" spans="1:35" ht="13.5" thickBot="1">
      <c r="A61" s="3697" t="s">
        <v>1373</v>
      </c>
      <c r="B61" s="3697"/>
      <c r="C61" s="3697"/>
      <c r="D61" s="3697"/>
      <c r="E61" s="3697"/>
      <c r="F61" s="1806"/>
      <c r="G61" s="1806"/>
      <c r="H61" s="1808"/>
      <c r="I61" s="129"/>
      <c r="J61" s="2518">
        <f>J59+1</f>
        <v>7</v>
      </c>
      <c r="K61" s="3749" t="s">
        <v>1374</v>
      </c>
      <c r="L61" s="3749"/>
      <c r="M61" s="2535"/>
      <c r="N61" s="2536" t="e">
        <f ca="1">ROUND(N59*10000/'数据-汇总表'!E3,0)</f>
        <v>#VALUE!</v>
      </c>
      <c r="O61" s="2537"/>
    </row>
    <row r="62" spans="1:35" ht="12.75">
      <c r="A62" s="3715" t="s">
        <v>1375</v>
      </c>
      <c r="B62" s="3716"/>
      <c r="C62" s="2016"/>
      <c r="D62" s="2016" t="s">
        <v>1376</v>
      </c>
      <c r="E62" s="166" t="s">
        <v>1377</v>
      </c>
      <c r="F62" s="1806"/>
      <c r="G62" s="1806"/>
      <c r="H62" s="1808"/>
      <c r="I62" s="129"/>
    </row>
    <row r="63" spans="1:35" ht="12.75">
      <c r="A63" s="173" t="s">
        <v>330</v>
      </c>
      <c r="B63" s="167" t="s">
        <v>1378</v>
      </c>
      <c r="C63" s="2559" t="e">
        <f ca="1">ROUND((C64+C65)/(1+'数据-取费表'!C42),0)</f>
        <v>#REF!</v>
      </c>
      <c r="D63" s="167"/>
      <c r="E63" s="168"/>
      <c r="F63" s="1806"/>
      <c r="G63" s="1806"/>
      <c r="H63" s="1808"/>
      <c r="I63" s="129"/>
      <c r="J63" s="3774" t="s">
        <v>1379</v>
      </c>
      <c r="K63" s="1330" t="s">
        <v>1380</v>
      </c>
      <c r="L63" s="1330"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1381</v>
      </c>
      <c r="C64" s="2560" t="e">
        <f ca="1">D45</f>
        <v>#REF!</v>
      </c>
      <c r="D64" s="170" t="s">
        <v>26</v>
      </c>
      <c r="E64" s="172"/>
      <c r="F64" s="1806"/>
      <c r="G64" s="1806"/>
      <c r="H64" s="1808"/>
      <c r="I64" s="129"/>
      <c r="J64" s="3774"/>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50"/>
      <c r="AI64" s="1751"/>
    </row>
    <row r="65" spans="1:35" ht="14.25" customHeight="1">
      <c r="A65" s="169" t="s">
        <v>326</v>
      </c>
      <c r="B65" s="170" t="s">
        <v>1384</v>
      </c>
      <c r="C65" s="2561"/>
      <c r="D65" s="170"/>
      <c r="E65" s="172"/>
      <c r="F65" s="1806"/>
      <c r="G65" s="1806"/>
      <c r="H65" s="1808"/>
      <c r="I65" s="129"/>
      <c r="J65" s="3774"/>
      <c r="K65" s="1330" t="s">
        <v>1385</v>
      </c>
      <c r="L65" s="1330" t="e">
        <f ca="1">IF(M49&gt;1000,M49*0.1%,IF(AND(M49&gt;500,M49&lt;=1000),M49*0.5%,IF(AND(M49&gt;50,M49&lt;=500),M49*1%,IF(AND(M49&gt;1,M49&lt;=50),M49*1.5%))))</f>
        <v>#VALUE!</v>
      </c>
      <c r="M65" s="302" t="e">
        <f t="shared" ca="1" si="1"/>
        <v>#VALUE!</v>
      </c>
      <c r="N65" s="2539" t="s">
        <v>1383</v>
      </c>
      <c r="Z65" s="1750"/>
      <c r="AI65" s="1751"/>
    </row>
    <row r="66" spans="1:35" ht="14.25" customHeight="1">
      <c r="A66" s="173" t="s">
        <v>327</v>
      </c>
      <c r="B66" s="174" t="s">
        <v>1386</v>
      </c>
      <c r="C66" s="2562"/>
      <c r="D66" s="174" t="s">
        <v>26</v>
      </c>
      <c r="E66" s="1336" t="s">
        <v>671</v>
      </c>
      <c r="F66" s="1806"/>
      <c r="G66" s="1806"/>
      <c r="H66" s="1808"/>
      <c r="I66" s="129"/>
      <c r="J66" s="3774"/>
      <c r="K66" s="1330" t="s">
        <v>1387</v>
      </c>
      <c r="L66" s="1330" t="e">
        <f ca="1">M49*0.5%</f>
        <v>#VALUE!</v>
      </c>
      <c r="M66" s="302" t="e">
        <f ca="1">IF(L66&gt;0.5,0.5,ROUND(L66,0))</f>
        <v>#VALUE!</v>
      </c>
      <c r="N66" s="2539" t="s">
        <v>1388</v>
      </c>
      <c r="Z66" s="1750"/>
      <c r="AI66" s="1751"/>
    </row>
    <row r="67" spans="1:35" ht="14.25" customHeight="1">
      <c r="A67" s="173" t="s">
        <v>328</v>
      </c>
      <c r="B67" s="174" t="s">
        <v>1389</v>
      </c>
      <c r="C67" s="2563" t="e">
        <f ca="1">C63-C66</f>
        <v>#REF!</v>
      </c>
      <c r="D67" s="170" t="s">
        <v>26</v>
      </c>
      <c r="E67" s="172"/>
      <c r="F67" s="1806"/>
      <c r="G67" s="1806"/>
      <c r="H67" s="1808"/>
      <c r="I67" s="129"/>
      <c r="J67" s="3774"/>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1391</v>
      </c>
      <c r="C68" s="2564" t="e">
        <f ca="1">IF(C67&lt;=0,0,ROUND(C67*D68,0))</f>
        <v>#REF!</v>
      </c>
      <c r="D68" s="2565">
        <f>'数据-取费表'!B41</f>
        <v>0</v>
      </c>
      <c r="E68" s="178"/>
      <c r="F68" s="1806"/>
      <c r="G68" s="1806"/>
      <c r="H68" s="1808"/>
      <c r="I68" s="129"/>
      <c r="J68" s="3774"/>
      <c r="K68" s="1330" t="s">
        <v>1392</v>
      </c>
      <c r="L68" s="1330"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774"/>
      <c r="K69" s="1330" t="s">
        <v>1393</v>
      </c>
      <c r="L69" s="1330"/>
      <c r="M69" s="302" t="e">
        <f ca="1">ROUND(SUM(M63:M68),0)</f>
        <v>#VALUE!</v>
      </c>
      <c r="N69" s="2540"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36" t="s">
        <v>1394</v>
      </c>
      <c r="B70" s="3737"/>
      <c r="C70" s="3737"/>
      <c r="D70" s="3737"/>
      <c r="E70" s="3737"/>
      <c r="F70" s="3737"/>
      <c r="G70" s="3737"/>
      <c r="H70" s="3737"/>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15" t="s">
        <v>1375</v>
      </c>
      <c r="B71" s="3716"/>
      <c r="C71" s="2016"/>
      <c r="D71" s="2016" t="s">
        <v>1376</v>
      </c>
      <c r="E71" s="179" t="s">
        <v>1377</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3" t="e">
        <f ca="1">ROUND(D45/(1+'数据-取费表'!C42),0)</f>
        <v>#REF!</v>
      </c>
      <c r="D72" s="170" t="s">
        <v>26</v>
      </c>
      <c r="E72" s="2326"/>
      <c r="F72" s="2325"/>
      <c r="G72" s="2325"/>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3" t="e">
        <f ca="1">C74+C78</f>
        <v>#REF!</v>
      </c>
      <c r="D73" s="170" t="s">
        <v>26</v>
      </c>
      <c r="E73" s="2326"/>
      <c r="F73" s="2325"/>
      <c r="G73" s="2325"/>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6"/>
      <c r="F74" s="2325"/>
      <c r="G74" s="2325"/>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6"/>
      <c r="D75" s="170" t="s">
        <v>26</v>
      </c>
      <c r="E75" s="184" t="s">
        <v>1399</v>
      </c>
      <c r="F75" s="2567"/>
      <c r="G75" s="184"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9">
        <v>0.05</v>
      </c>
      <c r="E76" s="3710" t="s">
        <v>1402</v>
      </c>
      <c r="F76" s="3684"/>
      <c r="G76" s="3684"/>
      <c r="H76" s="373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20"/>
      <c r="H77" s="2327"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1" t="e">
        <f ca="1">ROUND(D45*D78/(1+'数据-取费表'!C42),0)</f>
        <v>#REF!</v>
      </c>
      <c r="D78" s="2572">
        <f>'数据-取费表'!B43</f>
        <v>0</v>
      </c>
      <c r="E78" s="3694" t="s">
        <v>1406</v>
      </c>
      <c r="F78" s="3695"/>
      <c r="G78" s="3695"/>
      <c r="H78" s="370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3" t="e">
        <f ca="1">C72-C73</f>
        <v>#REF!</v>
      </c>
      <c r="D79" s="170" t="s">
        <v>26</v>
      </c>
      <c r="E79" s="2326"/>
      <c r="F79" s="2325"/>
      <c r="G79" s="2325"/>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3" t="e">
        <f ca="1">IF(C79&lt;=0,0,C79/C73)</f>
        <v>#REF!</v>
      </c>
      <c r="D80" s="170"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36" t="s">
        <v>1410</v>
      </c>
      <c r="B83" s="3737"/>
      <c r="C83" s="3737"/>
      <c r="D83" s="3737"/>
      <c r="E83" s="3737"/>
      <c r="F83" s="3737"/>
      <c r="G83" s="3737"/>
      <c r="H83" s="373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15" t="s">
        <v>1375</v>
      </c>
      <c r="B84" s="3716"/>
      <c r="C84" s="2016"/>
      <c r="D84" s="2016"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3" t="e">
        <f ca="1">ROUND(D45/(1+'数据-取费表'!C42),0)</f>
        <v>#REF!</v>
      </c>
      <c r="D85" s="170" t="s">
        <v>26</v>
      </c>
      <c r="E85" s="2326"/>
      <c r="F85" s="2325"/>
      <c r="G85" s="2325"/>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3" t="e">
        <f ca="1">IF(H88="仅含出让金",C87+C90+C91+C92+C93+C94,C87+C91+C92+C93+C94)</f>
        <v>#REF!</v>
      </c>
      <c r="D86" s="2576"/>
      <c r="E86" s="2326"/>
      <c r="F86" s="2325"/>
      <c r="G86" s="2325"/>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1">
        <f>C88+C89</f>
        <v>0</v>
      </c>
      <c r="D87" s="2572"/>
      <c r="E87" s="2321"/>
      <c r="F87" s="2322"/>
      <c r="G87" s="2322"/>
      <c r="H87" s="2323"/>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7"/>
      <c r="D88" s="2572"/>
      <c r="E88" s="193" t="s">
        <v>1413</v>
      </c>
      <c r="F88" s="2322"/>
      <c r="G88" s="194" t="s">
        <v>1414</v>
      </c>
      <c r="H88" s="1822"/>
      <c r="I88" s="1819"/>
      <c r="J88" s="2516"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1">
        <f>ROUND(C88*D89,0)</f>
        <v>0</v>
      </c>
      <c r="D89" s="2572">
        <f>'数据-取费表'!B48+'数据-取费表'!B49</f>
        <v>3.0499999999999999E-2</v>
      </c>
      <c r="E89" s="193" t="s">
        <v>1415</v>
      </c>
      <c r="F89" s="2322"/>
      <c r="G89" s="2322"/>
      <c r="H89" s="2323"/>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7"/>
      <c r="D90" s="2572"/>
      <c r="E90" s="193" t="str">
        <f>IF(H88="-","土地取得成本中已包含该笔费用"," ")</f>
        <v xml:space="preserve"> </v>
      </c>
      <c r="F90" s="2322"/>
      <c r="G90" s="3776" t="s">
        <v>2127</v>
      </c>
      <c r="H90" s="3777"/>
      <c r="I90" s="1819"/>
      <c r="J90" s="2516"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1">
        <f>IF(H91="——",成本法!C33,I91)</f>
        <v>0</v>
      </c>
      <c r="D91" s="2572"/>
      <c r="E91" s="3694" t="s">
        <v>1419</v>
      </c>
      <c r="F91" s="3695"/>
      <c r="G91" s="369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1">
        <f>ROUND((C87+C90+C91)*D92,0)</f>
        <v>0</v>
      </c>
      <c r="D92" s="2578"/>
      <c r="E92" s="3694" t="s">
        <v>1422</v>
      </c>
      <c r="F92" s="3695"/>
      <c r="G92" s="3695"/>
      <c r="H92" s="3704"/>
      <c r="I92" s="1819"/>
      <c r="J92" s="2517"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1" t="e">
        <f ca="1">ROUND(D45*D93/(1+'数据-取费表'!C42),0)</f>
        <v>#REF!</v>
      </c>
      <c r="D93" s="2572">
        <f>'数据-取费表'!B43</f>
        <v>0</v>
      </c>
      <c r="E93" s="3694" t="s">
        <v>1406</v>
      </c>
      <c r="F93" s="3695"/>
      <c r="G93" s="3695"/>
      <c r="H93" s="370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7">
        <f>ROUND((C87+C90+C91)*D94,0)</f>
        <v>0</v>
      </c>
      <c r="D94" s="2572">
        <v>0.2</v>
      </c>
      <c r="E94" s="3705" t="s">
        <v>1426</v>
      </c>
      <c r="F94" s="3706"/>
      <c r="G94" s="3706"/>
      <c r="H94" s="370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3" t="e">
        <f ca="1">ROUND(C85-C86,0)</f>
        <v>#REF!</v>
      </c>
      <c r="D95" s="170" t="s">
        <v>26</v>
      </c>
      <c r="E95" s="2326"/>
      <c r="F95" s="2325"/>
      <c r="G95" s="2325"/>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3" t="e">
        <f ca="1">IF(C95&lt;=0,0,C95/C86)</f>
        <v>#REF!</v>
      </c>
      <c r="D96" s="170"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78" t="s">
        <v>1428</v>
      </c>
      <c r="B100" s="3679"/>
      <c r="C100" s="3679"/>
      <c r="D100" s="3696"/>
      <c r="E100" s="3679" t="s">
        <v>1429</v>
      </c>
      <c r="F100" s="3679"/>
      <c r="G100" s="3679"/>
      <c r="H100" s="3696"/>
      <c r="I100" s="129"/>
    </row>
    <row r="101" spans="1:35" ht="18.75" customHeight="1">
      <c r="A101" s="3757" t="s">
        <v>1430</v>
      </c>
      <c r="B101" s="3758"/>
      <c r="C101" s="2580" t="str">
        <f>C4</f>
        <v>比较法-住宅</v>
      </c>
      <c r="D101" s="2581" t="str">
        <f>D4</f>
        <v>成本法</v>
      </c>
      <c r="E101" s="3771" t="s">
        <v>1431</v>
      </c>
      <c r="F101" s="3728"/>
      <c r="G101" s="1825" t="s">
        <v>1432</v>
      </c>
      <c r="H101" s="2590" t="e">
        <f ca="1">H118</f>
        <v>#REF!</v>
      </c>
      <c r="I101" s="129"/>
    </row>
    <row r="102" spans="1:35" ht="18.75" customHeight="1">
      <c r="A102" s="3730" t="s">
        <v>1433</v>
      </c>
      <c r="B102" s="2579" t="s">
        <v>1432</v>
      </c>
      <c r="C102" s="2580">
        <f ca="1">IF(D32="楼面单价",ROUND(C19,0),C19)</f>
        <v>321.089</v>
      </c>
      <c r="D102" s="2581">
        <f ca="1">IF(D32="楼面单价",ROUND(D19,0),D19)</f>
        <v>281</v>
      </c>
      <c r="E102" s="3771"/>
      <c r="F102" s="3728"/>
      <c r="G102" s="1825" t="s">
        <v>1434</v>
      </c>
      <c r="H102" s="2550" t="e">
        <f ca="1">I118</f>
        <v>#REF!</v>
      </c>
      <c r="I102" s="129"/>
    </row>
    <row r="103" spans="1:35" ht="42.75" customHeight="1">
      <c r="A103" s="3730"/>
      <c r="B103" s="2579" t="s">
        <v>1434</v>
      </c>
      <c r="C103" s="2582">
        <f ca="1">C20</f>
        <v>36945</v>
      </c>
      <c r="D103" s="2583">
        <f ca="1">D20</f>
        <v>32332</v>
      </c>
      <c r="E103" s="3765" t="s">
        <v>1435</v>
      </c>
      <c r="F103" s="3766"/>
      <c r="G103" s="1826" t="s">
        <v>1436</v>
      </c>
      <c r="H103" s="2590">
        <f>IF(D36="正常操作",H104+H105+H106,H105+H106)</f>
        <v>0</v>
      </c>
      <c r="I103" s="129"/>
    </row>
    <row r="104" spans="1:35" ht="18.75" customHeight="1">
      <c r="A104" s="3730" t="s">
        <v>1437</v>
      </c>
      <c r="B104" s="2584" t="s">
        <v>1432</v>
      </c>
      <c r="C104" s="2585" t="e">
        <f ca="1">H118</f>
        <v>#REF!</v>
      </c>
      <c r="D104" s="2586"/>
      <c r="E104" s="1672" t="s">
        <v>1438</v>
      </c>
      <c r="F104" s="1664"/>
      <c r="G104" s="1826" t="s">
        <v>1436</v>
      </c>
      <c r="H104" s="2591">
        <f>IF(D36="同一抵押权人同一抵押物续贷",C36&amp;"（续贷，未扣减，详见特别提示）",C36)</f>
        <v>0</v>
      </c>
      <c r="I104" s="129"/>
    </row>
    <row r="105" spans="1:35" ht="18.75" customHeight="1" thickBot="1">
      <c r="A105" s="3731"/>
      <c r="B105" s="2587" t="s">
        <v>1434</v>
      </c>
      <c r="C105" s="2588" t="e">
        <f ca="1">I118</f>
        <v>#REF!</v>
      </c>
      <c r="D105" s="2589"/>
      <c r="E105" s="1672" t="s">
        <v>1439</v>
      </c>
      <c r="F105" s="1664"/>
      <c r="G105" s="1826" t="s">
        <v>1436</v>
      </c>
      <c r="H105" s="2592">
        <f>C37</f>
        <v>0</v>
      </c>
      <c r="I105" s="129"/>
    </row>
    <row r="106" spans="1:35" ht="18.75" customHeight="1">
      <c r="A106" s="1745" t="s">
        <v>1440</v>
      </c>
      <c r="B106" s="1745"/>
      <c r="C106" s="1745"/>
      <c r="D106" s="1745"/>
      <c r="E106" s="1827" t="s">
        <v>1441</v>
      </c>
      <c r="F106" s="1664"/>
      <c r="G106" s="1826" t="s">
        <v>1436</v>
      </c>
      <c r="H106" s="2592">
        <f>C38</f>
        <v>0</v>
      </c>
      <c r="I106" s="129"/>
    </row>
    <row r="107" spans="1:35" ht="18.75" customHeight="1">
      <c r="A107" s="129"/>
      <c r="B107" s="129"/>
      <c r="C107" s="129"/>
      <c r="D107" s="129"/>
      <c r="E107" s="3727" t="str">
        <f>IF(项目基本情况!E8="已注销","——","3.房地产抵押价值")</f>
        <v>3.房地产抵押价值</v>
      </c>
      <c r="F107" s="3728"/>
      <c r="G107" s="1825" t="s">
        <v>1432</v>
      </c>
      <c r="H107" s="2590" t="e">
        <f ca="1">IF(E107="——","——",H101-H103)</f>
        <v>#REF!</v>
      </c>
      <c r="I107" s="129"/>
    </row>
    <row r="108" spans="1:35" ht="18.75" customHeight="1">
      <c r="A108" s="129"/>
      <c r="B108" s="129"/>
      <c r="C108" s="129"/>
      <c r="D108" s="129"/>
      <c r="E108" s="3727"/>
      <c r="F108" s="3728"/>
      <c r="G108" s="1825" t="s">
        <v>1434</v>
      </c>
      <c r="H108" s="2550">
        <f ca="1">IF(H107=H101,H102,ROUND(H107*10000/'数据-汇总表'!E3,0))</f>
        <v>0</v>
      </c>
      <c r="I108" s="129"/>
    </row>
    <row r="109" spans="1:35" ht="18.75" customHeight="1">
      <c r="A109" s="129"/>
      <c r="B109" s="129"/>
      <c r="C109" s="129"/>
      <c r="D109" s="129"/>
      <c r="E109" s="3727" t="str">
        <f>IF(项目基本情况!E8="已注销及未注销","4.抵押担保权已注销时的房地产抵押价值",IF(项目基本情况!E8="已注销","3.抵押担保权已注销时的房地产抵押价值","——"))</f>
        <v>——</v>
      </c>
      <c r="F109" s="3728"/>
      <c r="G109" s="1825" t="s">
        <v>1432</v>
      </c>
      <c r="H109" s="2593" t="str">
        <f>IF(E109="——","——",H101-H105-H106)</f>
        <v>——</v>
      </c>
      <c r="I109" s="129"/>
    </row>
    <row r="110" spans="1:35" ht="18.75" customHeight="1">
      <c r="A110" s="129"/>
      <c r="B110" s="129"/>
      <c r="C110" s="129"/>
      <c r="D110" s="129"/>
      <c r="E110" s="3727"/>
      <c r="F110" s="3728"/>
      <c r="G110" s="1825" t="s">
        <v>1434</v>
      </c>
      <c r="H110" s="2550" t="str">
        <f>IF(H109="——","——",ROUND(H109*10000/'数据-汇总表'!E3,0))</f>
        <v>——</v>
      </c>
      <c r="I110" s="129"/>
    </row>
    <row r="111" spans="1:35" ht="18.75" customHeight="1">
      <c r="A111" s="129"/>
      <c r="B111" s="129"/>
      <c r="C111" s="129"/>
      <c r="D111" s="129"/>
      <c r="E111" s="3759" t="str">
        <f>IF(项目基本情况!E9="抵押净值",IF(OR(项目基本情况!E8="已注销",项目基本情况!E8="房地产抵押价值"),"4.抵押净值","5.抵押净值"),"——")</f>
        <v>——</v>
      </c>
      <c r="F111" s="3729"/>
      <c r="G111" s="1825" t="s">
        <v>1432</v>
      </c>
      <c r="H111" s="2590" t="str">
        <f>IF(E111="——","——",N59)</f>
        <v>——</v>
      </c>
      <c r="I111" s="129"/>
    </row>
    <row r="112" spans="1:35" ht="18.75" customHeight="1" thickBot="1">
      <c r="A112" s="129"/>
      <c r="B112" s="129"/>
      <c r="C112" s="129"/>
      <c r="D112" s="129"/>
      <c r="E112" s="3760"/>
      <c r="F112" s="3761"/>
      <c r="G112" s="1828" t="s">
        <v>1434</v>
      </c>
      <c r="H112" s="2594" t="str">
        <f>IF(E111="——","——",N61)</f>
        <v>——</v>
      </c>
      <c r="I112" s="129"/>
    </row>
    <row r="113" spans="1:27" ht="18.75" customHeight="1">
      <c r="A113" s="129"/>
      <c r="B113" s="129"/>
      <c r="C113" s="129"/>
      <c r="D113" s="129"/>
      <c r="E113" s="3732" t="s">
        <v>1440</v>
      </c>
      <c r="F113" s="3732"/>
      <c r="G113" s="3732"/>
      <c r="H113" s="3732"/>
      <c r="I113" s="129"/>
    </row>
    <row r="114" spans="1:27" ht="3.75" customHeight="1">
      <c r="A114" s="1745"/>
      <c r="B114" s="1745"/>
      <c r="C114" s="1745"/>
      <c r="D114" s="1745"/>
      <c r="E114" s="1807"/>
      <c r="F114" s="1807"/>
      <c r="G114" s="1807"/>
      <c r="H114" s="1807"/>
      <c r="I114" s="1745"/>
    </row>
    <row r="115" spans="1:27" ht="18.75" customHeight="1">
      <c r="A115" s="3742" t="s">
        <v>1442</v>
      </c>
      <c r="B115" s="3743"/>
      <c r="C115" s="3743"/>
      <c r="D115" s="3743"/>
      <c r="E115" s="3743"/>
      <c r="F115" s="3743"/>
      <c r="G115" s="3743"/>
      <c r="H115" s="3743"/>
      <c r="I115" s="3744"/>
    </row>
    <row r="116" spans="1:27" ht="27" customHeight="1">
      <c r="A116" s="3698" t="s">
        <v>1443</v>
      </c>
      <c r="B116" s="3733" t="s">
        <v>1444</v>
      </c>
      <c r="C116" s="3733" t="s">
        <v>1445</v>
      </c>
      <c r="D116" s="3746" t="s">
        <v>1446</v>
      </c>
      <c r="E116" s="3747"/>
      <c r="F116" s="3741" t="s">
        <v>1447</v>
      </c>
      <c r="G116" s="3741"/>
      <c r="H116" s="3698" t="s">
        <v>1448</v>
      </c>
      <c r="I116" s="3698"/>
    </row>
    <row r="117" spans="1:27" ht="18.75" customHeight="1">
      <c r="A117" s="3698"/>
      <c r="B117" s="3734"/>
      <c r="C117" s="3734"/>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86.91</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98" t="s">
        <v>1452</v>
      </c>
      <c r="B119" s="3698"/>
      <c r="C119" s="3698"/>
      <c r="D119" s="3738" t="e">
        <f ca="1">NUMBERSTRING(INT(D118*10000),2)&amp;"元整"</f>
        <v>#REF!</v>
      </c>
      <c r="E119" s="3740"/>
      <c r="F119" s="3738" t="e">
        <f ca="1">NUMBERSTRING(INT(F118*10000),2)&amp;"元整"</f>
        <v>#REF!</v>
      </c>
      <c r="G119" s="3740"/>
      <c r="H119" s="3738" t="e">
        <f ca="1">NUMBERSTRING(INT(H118*10000),2)&amp;"元整"</f>
        <v>#REF!</v>
      </c>
      <c r="I119" s="3740"/>
    </row>
    <row r="120" spans="1:27" ht="18.75" customHeight="1">
      <c r="A120" s="3762" t="str">
        <f>IF(项目基本情况!B9="房地产市场价值","",MID(E103,3,LEN(E103)-2))</f>
        <v>估价师知悉的法定优先受偿款</v>
      </c>
      <c r="B120" s="3763"/>
      <c r="C120" s="3764"/>
      <c r="D120" s="3762">
        <f>H103</f>
        <v>0</v>
      </c>
      <c r="E120" s="3763"/>
      <c r="F120" s="3763"/>
      <c r="G120" s="3763"/>
      <c r="H120" s="3763"/>
      <c r="I120" s="376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38" t="s">
        <v>1452</v>
      </c>
      <c r="B121" s="3739"/>
      <c r="C121" s="3740"/>
      <c r="D121" s="3738" t="str">
        <f>IF(D120=0,"零元整",NUMBERSTRING(INT(D120*10000),2)&amp;"元整")</f>
        <v>零元整</v>
      </c>
      <c r="E121" s="3739"/>
      <c r="F121" s="3739"/>
      <c r="G121" s="3739"/>
      <c r="H121" s="3739"/>
      <c r="I121" s="3740"/>
      <c r="AA121" s="725"/>
    </row>
    <row r="122" spans="1:27" ht="18.75" customHeight="1">
      <c r="A122" s="3729" t="str">
        <f>IF(项目基本情况!B9="房地产市场价值","",MID(E107,3,LEN(E107)-2))</f>
        <v>房地产抵押价值</v>
      </c>
      <c r="B122" s="3729"/>
      <c r="C122" s="3729"/>
      <c r="D122" s="3762" t="e">
        <f ca="1">H107</f>
        <v>#REF!</v>
      </c>
      <c r="E122" s="3763"/>
      <c r="F122" s="3763"/>
      <c r="G122" s="3763"/>
      <c r="H122" s="3763"/>
      <c r="I122" s="3764"/>
      <c r="AA122" s="725"/>
    </row>
    <row r="123" spans="1:27" ht="18.75" customHeight="1">
      <c r="A123" s="3698" t="s">
        <v>1452</v>
      </c>
      <c r="B123" s="3698"/>
      <c r="C123" s="3698"/>
      <c r="D123" s="3738" t="e">
        <f ca="1">NUMBERSTRING(INT(D122*10000),2)&amp;"元整"</f>
        <v>#REF!</v>
      </c>
      <c r="E123" s="3739"/>
      <c r="F123" s="3739"/>
      <c r="G123" s="3739"/>
      <c r="H123" s="3739"/>
      <c r="I123" s="3740"/>
      <c r="AA123" s="725"/>
    </row>
    <row r="124" spans="1:27" ht="18.75" customHeight="1">
      <c r="A124" s="3729" t="str">
        <f>IF(项目基本情况!B9="房地产市场价值","",MID(E109,3,LEN(E109)-2))</f>
        <v/>
      </c>
      <c r="B124" s="3729"/>
      <c r="C124" s="3729"/>
      <c r="D124" s="3762" t="str">
        <f>H109</f>
        <v>——</v>
      </c>
      <c r="E124" s="3763"/>
      <c r="F124" s="3763"/>
      <c r="G124" s="3763"/>
      <c r="H124" s="3763"/>
      <c r="I124" s="3764"/>
      <c r="AA124" s="725"/>
    </row>
    <row r="125" spans="1:27" ht="18.75" customHeight="1">
      <c r="A125" s="3698" t="s">
        <v>1452</v>
      </c>
      <c r="B125" s="3698"/>
      <c r="C125" s="3698"/>
      <c r="D125" s="3738" t="e">
        <f>NUMBERSTRING(INT(D124*10000),2)&amp;"元整"</f>
        <v>#VALUE!</v>
      </c>
      <c r="E125" s="3739"/>
      <c r="F125" s="3739"/>
      <c r="G125" s="3739"/>
      <c r="H125" s="3739"/>
      <c r="I125" s="3740"/>
      <c r="AA125" s="725"/>
    </row>
    <row r="126" spans="1:27" ht="18.75" customHeight="1">
      <c r="A126" s="3729" t="str">
        <f>IF(项目基本情况!B9="房地产市场价值","",MID(E111,3,LEN(E111)-2))</f>
        <v/>
      </c>
      <c r="B126" s="3729"/>
      <c r="C126" s="3729"/>
      <c r="D126" s="3762" t="str">
        <f>H111</f>
        <v>——</v>
      </c>
      <c r="E126" s="3763"/>
      <c r="F126" s="3763"/>
      <c r="G126" s="3763"/>
      <c r="H126" s="3763"/>
      <c r="I126" s="3764"/>
      <c r="AA126" s="725"/>
    </row>
    <row r="127" spans="1:27" ht="18.75" customHeight="1">
      <c r="A127" s="3698" t="s">
        <v>1452</v>
      </c>
      <c r="B127" s="3698"/>
      <c r="C127" s="3698"/>
      <c r="D127" s="3738" t="e">
        <f>NUMBERSTRING(INT(D126*10000),2)&amp;"元整"</f>
        <v>#VALUE!</v>
      </c>
      <c r="E127" s="3739"/>
      <c r="F127" s="3739"/>
      <c r="G127" s="3739"/>
      <c r="H127" s="3739"/>
      <c r="I127" s="3740"/>
      <c r="AA127" s="725"/>
    </row>
    <row r="128" spans="1:27" ht="21.75" customHeight="1">
      <c r="A128" s="3745" t="s">
        <v>1453</v>
      </c>
      <c r="B128" s="3745"/>
      <c r="C128" s="3745"/>
      <c r="D128" s="3745"/>
      <c r="E128" s="3745"/>
      <c r="F128" s="3745"/>
      <c r="G128" s="3745"/>
      <c r="H128" s="3745"/>
      <c r="I128" s="374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70" zoomScaleNormal="60" zoomScaleSheetLayoutView="70" workbookViewId="0">
      <selection activeCell="M36" sqref="M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t="s">
        <v>3379</v>
      </c>
      <c r="E1" s="3421" t="s">
        <v>4904</v>
      </c>
      <c r="F1" s="1877" t="s">
        <v>3921</v>
      </c>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f>IF(E1="项目模式",IF(C2="——",ROUND(C49*D3/10000,0),ROUND(C49*D3/10000,0)-D2),IF(E1="单套模式",IF(C2="——",ROUND(C49*D3/10000,4),ROUND(C49*D3/10000,4)-D2)))</f>
        <v>321.089</v>
      </c>
      <c r="C2" s="1879" t="s">
        <v>43</v>
      </c>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36945</v>
      </c>
      <c r="C3" s="354" t="s">
        <v>1665</v>
      </c>
      <c r="D3" s="353">
        <f>IF(D1="",'数据-汇总表'!E3,SUMIF('数据-汇总表'!$C19:$C33,D1,'数据-汇总表'!$E19:$E33))</f>
        <v>86.91</v>
      </c>
      <c r="E3" s="907"/>
      <c r="F3" s="1886"/>
      <c r="G3" s="907"/>
      <c r="H3" s="907"/>
      <c r="I3" s="907"/>
      <c r="J3" s="907"/>
      <c r="K3" s="1882"/>
      <c r="L3" s="2708"/>
      <c r="M3" s="2709"/>
      <c r="N3" s="2709"/>
      <c r="O3" s="2709"/>
      <c r="P3" s="1883"/>
      <c r="Q3" s="1884"/>
      <c r="R3" s="1884"/>
      <c r="S3" s="1884"/>
      <c r="T3" s="1884"/>
      <c r="U3" s="1884"/>
      <c r="V3" s="1884"/>
      <c r="W3" s="1884"/>
      <c r="X3" s="1884"/>
      <c r="Y3" s="1884"/>
      <c r="Z3" s="1884"/>
      <c r="AA3" s="1884"/>
      <c r="AB3" s="1884"/>
      <c r="AC3" s="1060"/>
    </row>
    <row r="4" spans="1:29" ht="15">
      <c r="A4" s="355" t="s">
        <v>1666</v>
      </c>
      <c r="B4" s="356"/>
      <c r="C4" s="3796" t="s">
        <v>1667</v>
      </c>
      <c r="D4" s="3797"/>
      <c r="E4" s="3798" t="s">
        <v>1668</v>
      </c>
      <c r="F4" s="3799"/>
      <c r="G4" s="3796" t="s">
        <v>1669</v>
      </c>
      <c r="H4" s="3797"/>
      <c r="I4" s="3796" t="s">
        <v>1670</v>
      </c>
      <c r="J4" s="3797"/>
      <c r="K4" s="1887" t="s">
        <v>1671</v>
      </c>
      <c r="L4" s="2710"/>
      <c r="M4" s="2711"/>
      <c r="N4" s="2711"/>
      <c r="O4" s="2711"/>
      <c r="P4" s="3800" t="s">
        <v>1672</v>
      </c>
      <c r="Q4" s="3801"/>
      <c r="R4" s="3806" t="s">
        <v>1668</v>
      </c>
      <c r="S4" s="3807"/>
      <c r="T4" s="3806" t="s">
        <v>1669</v>
      </c>
      <c r="U4" s="3807"/>
      <c r="V4" s="3812" t="s">
        <v>1670</v>
      </c>
      <c r="W4" s="3812"/>
      <c r="X4" s="1353"/>
      <c r="Y4" s="3806" t="s">
        <v>1672</v>
      </c>
      <c r="Z4" s="3807"/>
      <c r="AA4" s="3793" t="s">
        <v>1668</v>
      </c>
      <c r="AB4" s="3793" t="s">
        <v>1669</v>
      </c>
      <c r="AC4" s="3793" t="s">
        <v>1670</v>
      </c>
    </row>
    <row r="5" spans="1:29" ht="15">
      <c r="A5" s="358"/>
      <c r="B5" s="359"/>
      <c r="C5" s="3815" t="s">
        <v>1673</v>
      </c>
      <c r="D5" s="3816"/>
      <c r="E5" s="3822" t="str">
        <f>住宅案例!$A$1</f>
        <v>中海云筑</v>
      </c>
      <c r="F5" s="3823"/>
      <c r="G5" s="3815" t="str">
        <f>住宅案例!$A$54</f>
        <v>大兴金茂悦</v>
      </c>
      <c r="H5" s="3816"/>
      <c r="I5" s="3815" t="str">
        <f>住宅案例!$A$102</f>
        <v>中海云熙</v>
      </c>
      <c r="J5" s="3816"/>
      <c r="K5" s="1888"/>
      <c r="L5" s="2710"/>
      <c r="M5" s="2711"/>
      <c r="N5" s="2711"/>
      <c r="O5" s="2711"/>
      <c r="P5" s="3802"/>
      <c r="Q5" s="3803"/>
      <c r="R5" s="3808"/>
      <c r="S5" s="3809"/>
      <c r="T5" s="3808"/>
      <c r="U5" s="3809"/>
      <c r="V5" s="3812"/>
      <c r="W5" s="3812"/>
      <c r="X5" s="1353"/>
      <c r="Y5" s="3808"/>
      <c r="Z5" s="3809"/>
      <c r="AA5" s="3794"/>
      <c r="AB5" s="3794"/>
      <c r="AC5" s="3794"/>
    </row>
    <row r="6" spans="1:29" ht="15.75" thickBot="1">
      <c r="A6" s="360"/>
      <c r="B6" s="361"/>
      <c r="C6" s="3813" t="s">
        <v>1677</v>
      </c>
      <c r="D6" s="3814"/>
      <c r="E6" s="3820" t="s">
        <v>1677</v>
      </c>
      <c r="F6" s="3821"/>
      <c r="G6" s="3813" t="s">
        <v>1677</v>
      </c>
      <c r="H6" s="3814"/>
      <c r="I6" s="3813" t="s">
        <v>1677</v>
      </c>
      <c r="J6" s="3814"/>
      <c r="K6" s="1888" t="s">
        <v>1678</v>
      </c>
      <c r="L6" s="2710"/>
      <c r="M6" s="2711"/>
      <c r="N6" s="2711"/>
      <c r="O6" s="2711"/>
      <c r="P6" s="3804"/>
      <c r="Q6" s="3805"/>
      <c r="R6" s="3808"/>
      <c r="S6" s="3809"/>
      <c r="T6" s="3810"/>
      <c r="U6" s="3811"/>
      <c r="V6" s="3812"/>
      <c r="W6" s="3812"/>
      <c r="X6" s="1353"/>
      <c r="Y6" s="3810"/>
      <c r="Z6" s="3811"/>
      <c r="AA6" s="3795"/>
      <c r="AB6" s="3795"/>
      <c r="AC6" s="3795"/>
    </row>
    <row r="7" spans="1:29" s="108" customFormat="1" ht="15.75" thickBot="1">
      <c r="A7" s="362" t="s">
        <v>1679</v>
      </c>
      <c r="B7" s="363"/>
      <c r="C7" s="364">
        <f>'数据-取费表'!B2</f>
        <v>45126</v>
      </c>
      <c r="D7" s="365">
        <v>100</v>
      </c>
      <c r="E7" s="366">
        <f>C7</f>
        <v>45126</v>
      </c>
      <c r="F7" s="367">
        <f>SUMIF(58:58,YEAR(E7)&amp;"-"&amp;MONTH(E7),59:59)</f>
        <v>100</v>
      </c>
      <c r="G7" s="366">
        <f>C7</f>
        <v>45126</v>
      </c>
      <c r="H7" s="365">
        <f>SUMIF(58:58,YEAR(G7)&amp;"-"&amp;MONTH(G7),59:59)</f>
        <v>100</v>
      </c>
      <c r="I7" s="366">
        <f>C7</f>
        <v>45126</v>
      </c>
      <c r="J7" s="365">
        <f>SUMIF(58:58,YEAR(I7)&amp;"-"&amp;MONTH(I7),59:59)</f>
        <v>100</v>
      </c>
      <c r="K7" s="1889"/>
      <c r="L7" s="2712"/>
      <c r="M7" s="2713"/>
      <c r="N7" s="2713"/>
      <c r="O7" s="2713"/>
      <c r="P7" s="3817" t="s">
        <v>1680</v>
      </c>
      <c r="Q7" s="3819"/>
      <c r="R7" s="701" t="s">
        <v>20</v>
      </c>
      <c r="S7" s="702">
        <f t="shared" ref="S7:S15" si="0">F7</f>
        <v>100</v>
      </c>
      <c r="T7" s="701" t="s">
        <v>20</v>
      </c>
      <c r="U7" s="702">
        <f t="shared" ref="U7:U15" si="1">H7</f>
        <v>100</v>
      </c>
      <c r="V7" s="701" t="s">
        <v>20</v>
      </c>
      <c r="W7" s="702">
        <f t="shared" ref="W7:W15" si="2">J7</f>
        <v>100</v>
      </c>
      <c r="X7" s="703"/>
      <c r="Y7" s="3817" t="s">
        <v>1680</v>
      </c>
      <c r="Z7" s="3818"/>
      <c r="AA7" s="704">
        <f>D7/F7</f>
        <v>1</v>
      </c>
      <c r="AB7" s="704">
        <f>D7/H7</f>
        <v>1</v>
      </c>
      <c r="AC7" s="704">
        <f>D7/J7</f>
        <v>1</v>
      </c>
    </row>
    <row r="8" spans="1:29" s="108" customFormat="1" ht="15.75" thickBot="1">
      <c r="A8" s="362" t="s">
        <v>1681</v>
      </c>
      <c r="B8" s="363"/>
      <c r="C8" s="3466" t="s">
        <v>3962</v>
      </c>
      <c r="D8" s="365">
        <v>100</v>
      </c>
      <c r="E8" s="3467" t="s">
        <v>3962</v>
      </c>
      <c r="F8" s="367">
        <f>SUMIF(61:61,E8,62:62)-SUMIF(61:61,C8,62:62)+100</f>
        <v>100</v>
      </c>
      <c r="G8" s="3466" t="s">
        <v>3962</v>
      </c>
      <c r="H8" s="365">
        <f>SUMIF(61:61,G8,62:62)-SUMIF(61:61,C8,62:62)+100</f>
        <v>100</v>
      </c>
      <c r="I8" s="3467" t="s">
        <v>3963</v>
      </c>
      <c r="J8" s="365">
        <f>SUMIF(61:61,I8,62:62)-SUMIF(61:61,C8,62:62)+100</f>
        <v>100</v>
      </c>
      <c r="K8" s="1889"/>
      <c r="L8" s="2712"/>
      <c r="M8" s="2713"/>
      <c r="N8" s="2713"/>
      <c r="O8" s="2713"/>
      <c r="P8" s="3817" t="s">
        <v>1683</v>
      </c>
      <c r="Q8" s="3818"/>
      <c r="R8" s="701" t="s">
        <v>20</v>
      </c>
      <c r="S8" s="702">
        <f t="shared" si="0"/>
        <v>100</v>
      </c>
      <c r="T8" s="701" t="s">
        <v>20</v>
      </c>
      <c r="U8" s="702">
        <f t="shared" si="1"/>
        <v>100</v>
      </c>
      <c r="V8" s="701" t="s">
        <v>20</v>
      </c>
      <c r="W8" s="702">
        <f t="shared" si="2"/>
        <v>100</v>
      </c>
      <c r="X8" s="703"/>
      <c r="Y8" s="3817" t="s">
        <v>1683</v>
      </c>
      <c r="Z8" s="3818"/>
      <c r="AA8" s="704">
        <f t="shared" ref="AA8:AA19" si="3">D8/F8</f>
        <v>1</v>
      </c>
      <c r="AB8" s="704">
        <f t="shared" ref="AB8:AB19" si="4">D8/H8</f>
        <v>1</v>
      </c>
      <c r="AC8" s="704">
        <f t="shared" ref="AC8:AC19" si="5">D8/J8</f>
        <v>1</v>
      </c>
    </row>
    <row r="9" spans="1:29" s="108" customFormat="1">
      <c r="A9" s="369" t="s">
        <v>1684</v>
      </c>
      <c r="B9" s="63" t="s">
        <v>1685</v>
      </c>
      <c r="C9" s="3468" t="s">
        <v>3964</v>
      </c>
      <c r="D9" s="126">
        <v>100</v>
      </c>
      <c r="E9" s="3469" t="s">
        <v>3964</v>
      </c>
      <c r="F9" s="372">
        <f>SUMIF(63:63,E9,64:64)-SUMIF(63:63,C9,64:64)+100</f>
        <v>100</v>
      </c>
      <c r="G9" s="3470" t="s">
        <v>3964</v>
      </c>
      <c r="H9" s="126">
        <f>SUMIF(63:63,G9,64:64)-SUMIF(63:63,C9,64:64)+100</f>
        <v>100</v>
      </c>
      <c r="I9" s="3470" t="s">
        <v>3964</v>
      </c>
      <c r="J9" s="126">
        <f>SUMIF(63:63,I9,64:64)-SUMIF(63:63,C9,64:64)+100</f>
        <v>100</v>
      </c>
      <c r="K9" s="1889"/>
      <c r="L9" s="2712"/>
      <c r="M9" s="2713"/>
      <c r="N9" s="2713"/>
      <c r="O9" s="2713"/>
      <c r="P9" s="3792" t="s">
        <v>1686</v>
      </c>
      <c r="Q9" s="1341"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9"/>
      <c r="L10" s="2714"/>
      <c r="M10" s="2715"/>
      <c r="N10" s="2715"/>
      <c r="O10" s="2715"/>
      <c r="P10" s="3792"/>
      <c r="Q10" s="1341"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v>1.85</v>
      </c>
      <c r="D11" s="127">
        <v>100</v>
      </c>
      <c r="E11" s="381">
        <v>1.6</v>
      </c>
      <c r="F11" s="376">
        <f>LOOKUP(E11,68:68,69:69)-LOOKUP(C11,68:68,69:69)+100</f>
        <v>100</v>
      </c>
      <c r="G11" s="380">
        <v>2.2000000000000002</v>
      </c>
      <c r="H11" s="127">
        <f>LOOKUP(G11,68:68,69:69)-LOOKUP(C11,68:68,69:69)+100</f>
        <v>98</v>
      </c>
      <c r="I11" s="380">
        <v>2</v>
      </c>
      <c r="J11" s="127">
        <f>LOOKUP(I11,68:68,69:69)-LOOKUP(C11,68:68,69:69)+100</f>
        <v>98</v>
      </c>
      <c r="K11" s="377">
        <v>2</v>
      </c>
      <c r="L11" s="2716"/>
      <c r="M11" s="2711"/>
      <c r="N11" s="2711"/>
      <c r="O11" s="2711"/>
      <c r="P11" s="3792"/>
      <c r="Q11" s="1341" t="str">
        <f t="shared" si="6"/>
        <v>容积率</v>
      </c>
      <c r="R11" s="701" t="s">
        <v>18</v>
      </c>
      <c r="S11" s="702">
        <f t="shared" si="0"/>
        <v>100</v>
      </c>
      <c r="T11" s="701" t="s">
        <v>18</v>
      </c>
      <c r="U11" s="702">
        <f t="shared" si="1"/>
        <v>98</v>
      </c>
      <c r="V11" s="701" t="s">
        <v>18</v>
      </c>
      <c r="W11" s="702">
        <f t="shared" si="2"/>
        <v>98</v>
      </c>
      <c r="X11" s="703"/>
      <c r="Y11" s="3685"/>
      <c r="Z11" s="52" t="str">
        <f t="shared" si="7"/>
        <v>容积率</v>
      </c>
      <c r="AA11" s="704">
        <f t="shared" si="3"/>
        <v>1</v>
      </c>
      <c r="AB11" s="704">
        <f t="shared" si="4"/>
        <v>1.0204081632653061</v>
      </c>
      <c r="AC11" s="704">
        <f t="shared" si="5"/>
        <v>1.0204081632653061</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92"/>
      <c r="Q12" s="1341">
        <f t="shared" si="6"/>
        <v>111</v>
      </c>
      <c r="R12" s="701" t="s">
        <v>18</v>
      </c>
      <c r="S12" s="702">
        <f t="shared" si="0"/>
        <v>100</v>
      </c>
      <c r="T12" s="701" t="s">
        <v>18</v>
      </c>
      <c r="U12" s="702">
        <f t="shared" si="1"/>
        <v>100</v>
      </c>
      <c r="V12" s="701" t="s">
        <v>18</v>
      </c>
      <c r="W12" s="702">
        <f t="shared" si="2"/>
        <v>100</v>
      </c>
      <c r="X12" s="703"/>
      <c r="Y12" s="368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92"/>
      <c r="Q13" s="1341">
        <f t="shared" si="6"/>
        <v>111</v>
      </c>
      <c r="R13" s="701" t="s">
        <v>18</v>
      </c>
      <c r="S13" s="702">
        <f t="shared" si="0"/>
        <v>100</v>
      </c>
      <c r="T13" s="701" t="s">
        <v>18</v>
      </c>
      <c r="U13" s="702">
        <f t="shared" si="1"/>
        <v>100</v>
      </c>
      <c r="V13" s="701" t="s">
        <v>18</v>
      </c>
      <c r="W13" s="702">
        <f t="shared" si="2"/>
        <v>100</v>
      </c>
      <c r="X13" s="703"/>
      <c r="Y13" s="3685"/>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92"/>
      <c r="Q14" s="1341">
        <f t="shared" si="6"/>
        <v>111</v>
      </c>
      <c r="R14" s="701" t="s">
        <v>18</v>
      </c>
      <c r="S14" s="702">
        <f t="shared" si="0"/>
        <v>100</v>
      </c>
      <c r="T14" s="701" t="s">
        <v>18</v>
      </c>
      <c r="U14" s="702">
        <f t="shared" si="1"/>
        <v>100</v>
      </c>
      <c r="V14" s="701" t="s">
        <v>18</v>
      </c>
      <c r="W14" s="702">
        <f t="shared" si="2"/>
        <v>100</v>
      </c>
      <c r="X14" s="703"/>
      <c r="Y14" s="3685"/>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90" t="s">
        <v>1691</v>
      </c>
      <c r="Q15" s="1350" t="str">
        <f t="shared" si="6"/>
        <v>居住社区成熟度</v>
      </c>
      <c r="R15" s="705" t="s">
        <v>18</v>
      </c>
      <c r="S15" s="706">
        <f t="shared" si="0"/>
        <v>100</v>
      </c>
      <c r="T15" s="705" t="s">
        <v>18</v>
      </c>
      <c r="U15" s="706">
        <f t="shared" si="1"/>
        <v>100</v>
      </c>
      <c r="V15" s="705" t="s">
        <v>18</v>
      </c>
      <c r="W15" s="706">
        <f t="shared" si="2"/>
        <v>100</v>
      </c>
      <c r="X15" s="1353"/>
      <c r="Y15" s="3783" t="s">
        <v>1691</v>
      </c>
      <c r="Z15" s="1354" t="str">
        <f t="shared" si="7"/>
        <v>居住社区成熟度</v>
      </c>
      <c r="AA15" s="1351">
        <f t="shared" si="3"/>
        <v>1</v>
      </c>
      <c r="AB15" s="1351">
        <f t="shared" si="4"/>
        <v>1</v>
      </c>
      <c r="AC15" s="1351">
        <f t="shared" si="5"/>
        <v>1</v>
      </c>
    </row>
    <row r="16" spans="1:29" ht="15">
      <c r="A16" s="379"/>
      <c r="B16" s="397"/>
      <c r="C16" s="3455" t="s">
        <v>4903</v>
      </c>
      <c r="D16" s="399"/>
      <c r="E16" s="3457" t="s">
        <v>4903</v>
      </c>
      <c r="F16" s="399"/>
      <c r="G16" s="3456" t="s">
        <v>4903</v>
      </c>
      <c r="H16" s="401"/>
      <c r="I16" s="3456" t="s">
        <v>4903</v>
      </c>
      <c r="J16" s="399"/>
      <c r="K16" s="1896"/>
      <c r="L16" s="2717"/>
      <c r="M16" s="2711"/>
      <c r="N16" s="2711"/>
      <c r="O16" s="2711"/>
      <c r="P16" s="3791"/>
      <c r="Q16" s="1350"/>
      <c r="R16" s="705"/>
      <c r="S16" s="706"/>
      <c r="T16" s="705"/>
      <c r="U16" s="706"/>
      <c r="V16" s="705"/>
      <c r="W16" s="706"/>
      <c r="X16" s="1353"/>
      <c r="Y16" s="3784"/>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91"/>
      <c r="Q17" s="1350" t="str">
        <f>B17</f>
        <v>交通便捷度</v>
      </c>
      <c r="R17" s="705" t="s">
        <v>18</v>
      </c>
      <c r="S17" s="706">
        <f>F17</f>
        <v>100</v>
      </c>
      <c r="T17" s="705" t="s">
        <v>18</v>
      </c>
      <c r="U17" s="706">
        <f>H17</f>
        <v>100</v>
      </c>
      <c r="V17" s="705" t="s">
        <v>18</v>
      </c>
      <c r="W17" s="706">
        <f>J17</f>
        <v>100</v>
      </c>
      <c r="X17" s="1353"/>
      <c r="Y17" s="3784"/>
      <c r="Z17" s="1354" t="str">
        <f>Q17</f>
        <v>交通便捷度</v>
      </c>
      <c r="AA17" s="1351">
        <f t="shared" si="3"/>
        <v>1</v>
      </c>
      <c r="AB17" s="1351">
        <f t="shared" si="4"/>
        <v>1</v>
      </c>
      <c r="AC17" s="1351">
        <f t="shared" si="5"/>
        <v>1</v>
      </c>
    </row>
    <row r="18" spans="1:29" ht="15">
      <c r="A18" s="379"/>
      <c r="B18" s="407"/>
      <c r="C18" s="3471" t="s">
        <v>4903</v>
      </c>
      <c r="D18" s="401"/>
      <c r="E18" s="3472" t="s">
        <v>4903</v>
      </c>
      <c r="F18" s="401"/>
      <c r="G18" s="3473" t="s">
        <v>4903</v>
      </c>
      <c r="H18" s="399"/>
      <c r="I18" s="3473" t="s">
        <v>4903</v>
      </c>
      <c r="J18" s="399"/>
      <c r="K18" s="1896"/>
      <c r="L18" s="2717"/>
      <c r="M18" s="2711"/>
      <c r="N18" s="2711"/>
      <c r="O18" s="2711"/>
      <c r="P18" s="3791"/>
      <c r="Q18" s="1350"/>
      <c r="R18" s="705"/>
      <c r="S18" s="706"/>
      <c r="T18" s="705"/>
      <c r="U18" s="706"/>
      <c r="V18" s="705"/>
      <c r="W18" s="706"/>
      <c r="X18" s="1353"/>
      <c r="Y18" s="3784"/>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91"/>
      <c r="Q19" s="1350" t="str">
        <f>B19</f>
        <v>公共配套设施</v>
      </c>
      <c r="R19" s="705" t="s">
        <v>18</v>
      </c>
      <c r="S19" s="706">
        <f>F19</f>
        <v>100</v>
      </c>
      <c r="T19" s="705" t="s">
        <v>18</v>
      </c>
      <c r="U19" s="706">
        <f>H19</f>
        <v>100</v>
      </c>
      <c r="V19" s="705" t="s">
        <v>18</v>
      </c>
      <c r="W19" s="706">
        <f>J19</f>
        <v>100</v>
      </c>
      <c r="X19" s="1353"/>
      <c r="Y19" s="3784"/>
      <c r="Z19" s="1354" t="str">
        <f>Q19</f>
        <v>公共配套设施</v>
      </c>
      <c r="AA19" s="1351">
        <f t="shared" si="3"/>
        <v>1</v>
      </c>
      <c r="AB19" s="1351">
        <f t="shared" si="4"/>
        <v>1</v>
      </c>
      <c r="AC19" s="1351">
        <f t="shared" si="5"/>
        <v>1</v>
      </c>
    </row>
    <row r="20" spans="1:29" ht="15">
      <c r="A20" s="379"/>
      <c r="B20" s="407"/>
      <c r="C20" s="3455" t="s">
        <v>3965</v>
      </c>
      <c r="D20" s="399"/>
      <c r="E20" s="3457" t="s">
        <v>3965</v>
      </c>
      <c r="F20" s="399"/>
      <c r="G20" s="3456" t="s">
        <v>3965</v>
      </c>
      <c r="H20" s="399"/>
      <c r="I20" s="3456" t="s">
        <v>3965</v>
      </c>
      <c r="J20" s="399"/>
      <c r="K20" s="1896"/>
      <c r="L20" s="2717"/>
      <c r="M20" s="2711"/>
      <c r="N20" s="2711"/>
      <c r="O20" s="2711"/>
      <c r="P20" s="3791"/>
      <c r="Q20" s="1350"/>
      <c r="R20" s="705"/>
      <c r="S20" s="706"/>
      <c r="T20" s="705"/>
      <c r="U20" s="706"/>
      <c r="V20" s="705"/>
      <c r="W20" s="706"/>
      <c r="X20" s="1353"/>
      <c r="Y20" s="3784"/>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7"/>
      <c r="M21" s="2711"/>
      <c r="N21" s="2711"/>
      <c r="O21" s="2711"/>
      <c r="P21" s="3791"/>
      <c r="Q21" s="1350" t="str">
        <f>B21</f>
        <v>基础设施水平</v>
      </c>
      <c r="R21" s="705" t="s">
        <v>14</v>
      </c>
      <c r="S21" s="706">
        <f>F21</f>
        <v>100</v>
      </c>
      <c r="T21" s="705" t="s">
        <v>14</v>
      </c>
      <c r="U21" s="706">
        <f>H21</f>
        <v>100</v>
      </c>
      <c r="V21" s="705" t="s">
        <v>14</v>
      </c>
      <c r="W21" s="706">
        <f>J21</f>
        <v>100</v>
      </c>
      <c r="X21" s="1353"/>
      <c r="Y21" s="3784"/>
      <c r="Z21" s="1354" t="str">
        <f>Q21</f>
        <v>基础设施水平</v>
      </c>
      <c r="AA21" s="1351">
        <f t="shared" ref="AA21" si="8">D21/F21</f>
        <v>1</v>
      </c>
      <c r="AB21" s="1351">
        <f t="shared" ref="AB21" si="9">D21/H21</f>
        <v>1</v>
      </c>
      <c r="AC21" s="1351">
        <f t="shared" ref="AC21" si="10">D21/J21</f>
        <v>1</v>
      </c>
    </row>
    <row r="22" spans="1:29" ht="15">
      <c r="A22" s="379"/>
      <c r="B22" s="1130"/>
      <c r="C22" s="3471" t="s">
        <v>3966</v>
      </c>
      <c r="D22" s="399"/>
      <c r="E22" s="3455" t="s">
        <v>3966</v>
      </c>
      <c r="F22" s="399"/>
      <c r="G22" s="3461" t="s">
        <v>3967</v>
      </c>
      <c r="H22" s="399"/>
      <c r="I22" s="3455" t="s">
        <v>3967</v>
      </c>
      <c r="J22" s="399"/>
      <c r="K22" s="1902"/>
      <c r="L22" s="2717"/>
      <c r="M22" s="2711"/>
      <c r="N22" s="2711"/>
      <c r="O22" s="2711"/>
      <c r="P22" s="3791"/>
      <c r="Q22" s="1350"/>
      <c r="R22" s="705"/>
      <c r="S22" s="706"/>
      <c r="T22" s="705"/>
      <c r="U22" s="706"/>
      <c r="V22" s="705"/>
      <c r="W22" s="706"/>
      <c r="X22" s="1353"/>
      <c r="Y22" s="3784"/>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102</v>
      </c>
      <c r="I23" s="403"/>
      <c r="J23" s="401">
        <f>SUMIF(84:84,I24,85:85)-SUMIF(84:84,C24,85:85)+100</f>
        <v>102</v>
      </c>
      <c r="K23" s="396">
        <v>2</v>
      </c>
      <c r="L23" s="2717"/>
      <c r="M23" s="2711"/>
      <c r="N23" s="2711"/>
      <c r="O23" s="2711"/>
      <c r="P23" s="3791"/>
      <c r="Q23" s="1350" t="str">
        <f>B23</f>
        <v>自然及人文环境</v>
      </c>
      <c r="R23" s="705" t="s">
        <v>18</v>
      </c>
      <c r="S23" s="706">
        <f>F23</f>
        <v>100</v>
      </c>
      <c r="T23" s="705" t="s">
        <v>18</v>
      </c>
      <c r="U23" s="706">
        <f>H23</f>
        <v>102</v>
      </c>
      <c r="V23" s="705" t="s">
        <v>18</v>
      </c>
      <c r="W23" s="706">
        <f>J23</f>
        <v>102</v>
      </c>
      <c r="X23" s="1353"/>
      <c r="Y23" s="3784"/>
      <c r="Z23" s="1354" t="str">
        <f>Q23</f>
        <v>自然及人文环境</v>
      </c>
      <c r="AA23" s="1351">
        <f>D23/F23</f>
        <v>1</v>
      </c>
      <c r="AB23" s="1351">
        <f>D23/H23</f>
        <v>0.98039215686274506</v>
      </c>
      <c r="AC23" s="1351">
        <f>D23/J23</f>
        <v>0.98039215686274506</v>
      </c>
    </row>
    <row r="24" spans="1:29" ht="15">
      <c r="A24" s="379"/>
      <c r="B24" s="407"/>
      <c r="C24" s="3455" t="s">
        <v>3965</v>
      </c>
      <c r="D24" s="399"/>
      <c r="E24" s="3457" t="s">
        <v>3965</v>
      </c>
      <c r="F24" s="399"/>
      <c r="G24" s="3456" t="s">
        <v>3968</v>
      </c>
      <c r="H24" s="399"/>
      <c r="I24" s="3456" t="s">
        <v>3969</v>
      </c>
      <c r="J24" s="399"/>
      <c r="K24" s="1896"/>
      <c r="L24" s="2717"/>
      <c r="M24" s="2711"/>
      <c r="N24" s="2711"/>
      <c r="O24" s="2711"/>
      <c r="P24" s="3791"/>
      <c r="Q24" s="1350"/>
      <c r="R24" s="705"/>
      <c r="S24" s="706"/>
      <c r="T24" s="705"/>
      <c r="U24" s="706"/>
      <c r="V24" s="705"/>
      <c r="W24" s="706"/>
      <c r="X24" s="1353"/>
      <c r="Y24" s="3784"/>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91"/>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8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91"/>
      <c r="Q26" s="1350" t="str">
        <f t="shared" si="11"/>
        <v>朝向</v>
      </c>
      <c r="R26" s="705" t="s">
        <v>18</v>
      </c>
      <c r="S26" s="706">
        <f t="shared" si="12"/>
        <v>100</v>
      </c>
      <c r="T26" s="705" t="s">
        <v>18</v>
      </c>
      <c r="U26" s="706">
        <f t="shared" si="13"/>
        <v>100</v>
      </c>
      <c r="V26" s="705" t="s">
        <v>18</v>
      </c>
      <c r="W26" s="706">
        <f t="shared" si="14"/>
        <v>100</v>
      </c>
      <c r="X26" s="1353"/>
      <c r="Y26" s="378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91"/>
      <c r="Q27" s="1341">
        <f t="shared" si="11"/>
        <v>111</v>
      </c>
      <c r="R27" s="701" t="s">
        <v>18</v>
      </c>
      <c r="S27" s="702">
        <f t="shared" si="12"/>
        <v>100</v>
      </c>
      <c r="T27" s="701" t="s">
        <v>18</v>
      </c>
      <c r="U27" s="702">
        <f t="shared" si="13"/>
        <v>100</v>
      </c>
      <c r="V27" s="701" t="s">
        <v>18</v>
      </c>
      <c r="W27" s="702">
        <f t="shared" si="14"/>
        <v>100</v>
      </c>
      <c r="X27" s="703"/>
      <c r="Y27" s="378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91"/>
      <c r="Q28" s="1350">
        <f t="shared" si="11"/>
        <v>111</v>
      </c>
      <c r="R28" s="705" t="s">
        <v>18</v>
      </c>
      <c r="S28" s="706">
        <f t="shared" si="12"/>
        <v>100</v>
      </c>
      <c r="T28" s="705" t="s">
        <v>18</v>
      </c>
      <c r="U28" s="706">
        <f t="shared" si="13"/>
        <v>100</v>
      </c>
      <c r="V28" s="705" t="s">
        <v>18</v>
      </c>
      <c r="W28" s="706">
        <f t="shared" si="14"/>
        <v>100</v>
      </c>
      <c r="X28" s="1353"/>
      <c r="Y28" s="378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91"/>
      <c r="Q29" s="1350">
        <f t="shared" si="11"/>
        <v>111</v>
      </c>
      <c r="R29" s="705" t="s">
        <v>18</v>
      </c>
      <c r="S29" s="706">
        <f t="shared" si="12"/>
        <v>100</v>
      </c>
      <c r="T29" s="705" t="s">
        <v>18</v>
      </c>
      <c r="U29" s="706">
        <f t="shared" si="13"/>
        <v>100</v>
      </c>
      <c r="V29" s="705" t="s">
        <v>18</v>
      </c>
      <c r="W29" s="706">
        <f t="shared" si="14"/>
        <v>100</v>
      </c>
      <c r="X29" s="1353"/>
      <c r="Y29" s="378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91"/>
      <c r="Q30" s="1350">
        <f t="shared" si="11"/>
        <v>111</v>
      </c>
      <c r="R30" s="705" t="s">
        <v>18</v>
      </c>
      <c r="S30" s="706">
        <f t="shared" si="12"/>
        <v>100</v>
      </c>
      <c r="T30" s="705" t="s">
        <v>18</v>
      </c>
      <c r="U30" s="706">
        <f t="shared" si="13"/>
        <v>100</v>
      </c>
      <c r="V30" s="705" t="s">
        <v>18</v>
      </c>
      <c r="W30" s="706">
        <f t="shared" si="14"/>
        <v>100</v>
      </c>
      <c r="X30" s="1353"/>
      <c r="Y30" s="378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91"/>
      <c r="Q31" s="1350">
        <f t="shared" si="11"/>
        <v>111</v>
      </c>
      <c r="R31" s="705" t="s">
        <v>18</v>
      </c>
      <c r="S31" s="706">
        <f t="shared" si="12"/>
        <v>100</v>
      </c>
      <c r="T31" s="705" t="s">
        <v>18</v>
      </c>
      <c r="U31" s="706">
        <f t="shared" si="13"/>
        <v>100</v>
      </c>
      <c r="V31" s="705" t="s">
        <v>18</v>
      </c>
      <c r="W31" s="706">
        <f t="shared" si="14"/>
        <v>100</v>
      </c>
      <c r="X31" s="1353"/>
      <c r="Y31" s="3784"/>
      <c r="Z31" s="1354">
        <f t="shared" si="18"/>
        <v>111</v>
      </c>
      <c r="AA31" s="1351">
        <f t="shared" si="15"/>
        <v>1</v>
      </c>
      <c r="AB31" s="1351">
        <f t="shared" si="16"/>
        <v>1</v>
      </c>
      <c r="AC31" s="1351">
        <f t="shared" si="17"/>
        <v>1</v>
      </c>
    </row>
    <row r="32" spans="1:29" ht="15">
      <c r="A32" s="391" t="s">
        <v>1694</v>
      </c>
      <c r="B32" s="63" t="s">
        <v>1695</v>
      </c>
      <c r="C32" s="3475" t="s">
        <v>3971</v>
      </c>
      <c r="D32" s="418">
        <v>100</v>
      </c>
      <c r="E32" s="3474" t="s">
        <v>3971</v>
      </c>
      <c r="F32" s="412">
        <f>SUMIF(100:100,E32,101:101)-SUMIF(100:100,C32,101:101)+100</f>
        <v>100</v>
      </c>
      <c r="G32" s="3475" t="s">
        <v>3970</v>
      </c>
      <c r="H32" s="418">
        <f>SUMIF(100:100,G32,101:101)-SUMIF(100:100,C32,101:101)+100</f>
        <v>98</v>
      </c>
      <c r="I32" s="3474" t="s">
        <v>3970</v>
      </c>
      <c r="J32" s="386">
        <f>SUMIF(100:100,I32,101:101)-SUMIF(100:100,C32,101:101)+100</f>
        <v>98</v>
      </c>
      <c r="K32" s="377">
        <v>2</v>
      </c>
      <c r="L32" s="2717"/>
      <c r="M32" s="2711"/>
      <c r="N32" s="2711"/>
      <c r="O32" s="2711"/>
      <c r="P32" s="3785" t="s">
        <v>1696</v>
      </c>
      <c r="Q32" s="1350" t="str">
        <f t="shared" si="11"/>
        <v>建筑类型</v>
      </c>
      <c r="R32" s="705" t="s">
        <v>18</v>
      </c>
      <c r="S32" s="706">
        <f t="shared" si="12"/>
        <v>100</v>
      </c>
      <c r="T32" s="705" t="s">
        <v>18</v>
      </c>
      <c r="U32" s="706">
        <f t="shared" si="13"/>
        <v>98</v>
      </c>
      <c r="V32" s="705" t="s">
        <v>18</v>
      </c>
      <c r="W32" s="706">
        <f t="shared" si="14"/>
        <v>98</v>
      </c>
      <c r="X32" s="1353"/>
      <c r="Y32" s="3788" t="s">
        <v>1696</v>
      </c>
      <c r="Z32" s="1354" t="str">
        <f t="shared" si="18"/>
        <v>建筑类型</v>
      </c>
      <c r="AA32" s="1351">
        <f t="shared" si="15"/>
        <v>1</v>
      </c>
      <c r="AB32" s="1351">
        <f t="shared" si="16"/>
        <v>1.0204081632653061</v>
      </c>
      <c r="AC32" s="1351">
        <f t="shared" si="17"/>
        <v>1.0204081632653061</v>
      </c>
    </row>
    <row r="33" spans="1:29" s="422" customFormat="1" ht="15">
      <c r="A33" s="419"/>
      <c r="B33" s="375" t="s">
        <v>1697</v>
      </c>
      <c r="C33" s="420">
        <f>'数据-汇总表'!F31</f>
        <v>86.91</v>
      </c>
      <c r="D33" s="127">
        <v>100</v>
      </c>
      <c r="E33" s="381">
        <v>225648</v>
      </c>
      <c r="F33" s="376">
        <f>LOOKUP(E33,103:103,104:104)-LOOKUP(C33,103:103,104:104)+100</f>
        <v>106</v>
      </c>
      <c r="G33" s="380">
        <v>106896</v>
      </c>
      <c r="H33" s="127">
        <f>LOOKUP(G33,103:103,104:104)-LOOKUP(C33,103:103,104:104)+100</f>
        <v>103</v>
      </c>
      <c r="I33" s="381">
        <v>173209</v>
      </c>
      <c r="J33" s="127">
        <f>LOOKUP(I33,103:103,104:104)-LOOKUP(C33,103:103,104:104)+100</f>
        <v>103</v>
      </c>
      <c r="K33" s="1891"/>
      <c r="L33" s="2716"/>
      <c r="M33" s="2718"/>
      <c r="N33" s="2718"/>
      <c r="O33" s="2718"/>
      <c r="P33" s="3786"/>
      <c r="Q33" s="707" t="str">
        <f t="shared" si="11"/>
        <v>项目建筑规模</v>
      </c>
      <c r="R33" s="708" t="s">
        <v>18</v>
      </c>
      <c r="S33" s="709">
        <f t="shared" si="12"/>
        <v>106</v>
      </c>
      <c r="T33" s="708" t="s">
        <v>18</v>
      </c>
      <c r="U33" s="709">
        <f t="shared" si="13"/>
        <v>103</v>
      </c>
      <c r="V33" s="708" t="s">
        <v>18</v>
      </c>
      <c r="W33" s="709">
        <f t="shared" si="14"/>
        <v>103</v>
      </c>
      <c r="X33" s="710"/>
      <c r="Y33" s="3788"/>
      <c r="Z33" s="711" t="str">
        <f t="shared" si="18"/>
        <v>项目建筑规模</v>
      </c>
      <c r="AA33" s="1351">
        <f t="shared" si="15"/>
        <v>0.94339622641509435</v>
      </c>
      <c r="AB33" s="1351">
        <f t="shared" si="16"/>
        <v>0.970873786407767</v>
      </c>
      <c r="AC33" s="1351">
        <f t="shared" si="17"/>
        <v>0.970873786407767</v>
      </c>
    </row>
    <row r="34" spans="1:29" ht="15">
      <c r="A34" s="423"/>
      <c r="B34" s="375" t="s">
        <v>1698</v>
      </c>
      <c r="C34" s="3477" t="s">
        <v>3972</v>
      </c>
      <c r="D34" s="386">
        <v>100</v>
      </c>
      <c r="E34" s="3478" t="s">
        <v>3972</v>
      </c>
      <c r="F34" s="412">
        <f>SUMIF(105:105,E34,106:106)-SUMIF(105:105,C34,106:106)+100</f>
        <v>100</v>
      </c>
      <c r="G34" s="3477" t="s">
        <v>3972</v>
      </c>
      <c r="H34" s="386">
        <f>SUMIF(105:105,G34,106:106)-SUMIF(105:105,C34,106:106)+100</f>
        <v>100</v>
      </c>
      <c r="I34" s="3478" t="s">
        <v>3972</v>
      </c>
      <c r="J34" s="386">
        <f>SUMIF(105:105,I34,106:106)-SUMIF(105:105,C34,106:106)+100</f>
        <v>100</v>
      </c>
      <c r="K34" s="377"/>
      <c r="L34" s="2717"/>
      <c r="M34" s="2711"/>
      <c r="N34" s="2711"/>
      <c r="O34" s="2711"/>
      <c r="P34" s="3786"/>
      <c r="Q34" s="1350" t="str">
        <f t="shared" si="11"/>
        <v>建筑结构</v>
      </c>
      <c r="R34" s="705" t="s">
        <v>18</v>
      </c>
      <c r="S34" s="706">
        <f t="shared" si="12"/>
        <v>100</v>
      </c>
      <c r="T34" s="705" t="s">
        <v>18</v>
      </c>
      <c r="U34" s="706">
        <f t="shared" si="13"/>
        <v>100</v>
      </c>
      <c r="V34" s="705" t="s">
        <v>18</v>
      </c>
      <c r="W34" s="706">
        <f t="shared" si="14"/>
        <v>100</v>
      </c>
      <c r="X34" s="1353"/>
      <c r="Y34" s="3788"/>
      <c r="Z34" s="1354" t="str">
        <f t="shared" si="18"/>
        <v>建筑结构</v>
      </c>
      <c r="AA34" s="1351">
        <f t="shared" si="15"/>
        <v>1</v>
      </c>
      <c r="AB34" s="1351">
        <f t="shared" si="16"/>
        <v>1</v>
      </c>
      <c r="AC34" s="1351">
        <f t="shared" si="17"/>
        <v>1</v>
      </c>
    </row>
    <row r="35" spans="1:29" ht="15">
      <c r="A35" s="423"/>
      <c r="B35" s="375" t="s">
        <v>1699</v>
      </c>
      <c r="C35" s="3479" t="s">
        <v>3969</v>
      </c>
      <c r="D35" s="386">
        <v>100</v>
      </c>
      <c r="E35" s="3480" t="s">
        <v>3969</v>
      </c>
      <c r="F35" s="412">
        <f>SUMIF(107:107,E35,108:108)-SUMIF(107:107,C35,108:108)+100</f>
        <v>100</v>
      </c>
      <c r="G35" s="3479" t="s">
        <v>3969</v>
      </c>
      <c r="H35" s="386">
        <f>SUMIF(107:107,G35,108:108)-SUMIF(107:107,C35,108:108)+100</f>
        <v>100</v>
      </c>
      <c r="I35" s="3480" t="s">
        <v>3969</v>
      </c>
      <c r="J35" s="386">
        <f>SUMIF(107:107,I35,108:108)-SUMIF(107:107,C35,108:108)+100</f>
        <v>100</v>
      </c>
      <c r="K35" s="377"/>
      <c r="L35" s="2717"/>
      <c r="M35" s="2711"/>
      <c r="N35" s="2711"/>
      <c r="O35" s="2711"/>
      <c r="P35" s="3786"/>
      <c r="Q35" s="1350" t="str">
        <f t="shared" si="11"/>
        <v>建筑品质</v>
      </c>
      <c r="R35" s="705" t="s">
        <v>18</v>
      </c>
      <c r="S35" s="706">
        <f t="shared" si="12"/>
        <v>100</v>
      </c>
      <c r="T35" s="705" t="s">
        <v>18</v>
      </c>
      <c r="U35" s="706">
        <f t="shared" si="13"/>
        <v>100</v>
      </c>
      <c r="V35" s="705" t="s">
        <v>18</v>
      </c>
      <c r="W35" s="706">
        <f t="shared" si="14"/>
        <v>100</v>
      </c>
      <c r="X35" s="1353"/>
      <c r="Y35" s="3788"/>
      <c r="Z35" s="1354" t="str">
        <f t="shared" si="18"/>
        <v>建筑品质</v>
      </c>
      <c r="AA35" s="1351">
        <f t="shared" si="15"/>
        <v>1</v>
      </c>
      <c r="AB35" s="1351">
        <f t="shared" si="16"/>
        <v>1</v>
      </c>
      <c r="AC35" s="1351">
        <f t="shared" si="17"/>
        <v>1</v>
      </c>
    </row>
    <row r="36" spans="1:29" ht="15">
      <c r="A36" s="423"/>
      <c r="B36" s="375" t="s">
        <v>1700</v>
      </c>
      <c r="C36" s="3479" t="s">
        <v>3973</v>
      </c>
      <c r="D36" s="386">
        <v>100</v>
      </c>
      <c r="E36" s="3480" t="s">
        <v>3973</v>
      </c>
      <c r="F36" s="412">
        <f>SUMIF(109:109,E36,110:110)-SUMIF(109:109,C36,110:110)+100</f>
        <v>100</v>
      </c>
      <c r="G36" s="3479" t="s">
        <v>3973</v>
      </c>
      <c r="H36" s="386">
        <f>SUMIF(109:109,G36,110:110)-SUMIF(109:109,C36,110:110)+100</f>
        <v>100</v>
      </c>
      <c r="I36" s="3480" t="s">
        <v>3973</v>
      </c>
      <c r="J36" s="386">
        <f>SUMIF(109:109,I36,110:110)-SUMIF(109:109,C36,110:110)+100</f>
        <v>100</v>
      </c>
      <c r="K36" s="377"/>
      <c r="L36" s="2717"/>
      <c r="M36" s="2711"/>
      <c r="N36" s="2711"/>
      <c r="O36" s="2711"/>
      <c r="P36" s="3786"/>
      <c r="Q36" s="1350" t="str">
        <f t="shared" si="11"/>
        <v>公共部分装修</v>
      </c>
      <c r="R36" s="705" t="s">
        <v>18</v>
      </c>
      <c r="S36" s="706">
        <f t="shared" si="12"/>
        <v>100</v>
      </c>
      <c r="T36" s="705" t="s">
        <v>18</v>
      </c>
      <c r="U36" s="706">
        <f t="shared" si="13"/>
        <v>100</v>
      </c>
      <c r="V36" s="705" t="s">
        <v>18</v>
      </c>
      <c r="W36" s="706">
        <f t="shared" si="14"/>
        <v>100</v>
      </c>
      <c r="X36" s="1353"/>
      <c r="Y36" s="3788"/>
      <c r="Z36" s="1354" t="str">
        <f t="shared" si="18"/>
        <v>公共部分装修</v>
      </c>
      <c r="AA36" s="1351">
        <f t="shared" si="15"/>
        <v>1</v>
      </c>
      <c r="AB36" s="1351">
        <f t="shared" si="16"/>
        <v>1</v>
      </c>
      <c r="AC36" s="1351">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2"/>
      <c r="M37" s="2713"/>
      <c r="N37" s="2713"/>
      <c r="O37" s="2713"/>
      <c r="P37" s="3786"/>
      <c r="Q37" s="1341" t="str">
        <f t="shared" si="11"/>
        <v>成新度</v>
      </c>
      <c r="R37" s="701" t="s">
        <v>18</v>
      </c>
      <c r="S37" s="702">
        <f t="shared" si="12"/>
        <v>100</v>
      </c>
      <c r="T37" s="701" t="s">
        <v>18</v>
      </c>
      <c r="U37" s="702">
        <f t="shared" si="13"/>
        <v>100</v>
      </c>
      <c r="V37" s="701" t="s">
        <v>18</v>
      </c>
      <c r="W37" s="702">
        <f t="shared" si="14"/>
        <v>100</v>
      </c>
      <c r="X37" s="703"/>
      <c r="Y37" s="3788"/>
      <c r="Z37" s="52" t="str">
        <f t="shared" si="18"/>
        <v>成新度</v>
      </c>
      <c r="AA37" s="704">
        <f t="shared" si="15"/>
        <v>1</v>
      </c>
      <c r="AB37" s="704">
        <f t="shared" si="16"/>
        <v>1</v>
      </c>
      <c r="AC37" s="704">
        <f t="shared" si="17"/>
        <v>1</v>
      </c>
    </row>
    <row r="38" spans="1:29" ht="15">
      <c r="A38" s="423"/>
      <c r="B38" s="375" t="s">
        <v>1702</v>
      </c>
      <c r="C38" s="3479" t="s">
        <v>3974</v>
      </c>
      <c r="D38" s="386">
        <v>100</v>
      </c>
      <c r="E38" s="3480" t="s">
        <v>3974</v>
      </c>
      <c r="F38" s="412">
        <f>SUMIF(114:114,E38,115:115)-SUMIF(114:114,C38,115:115)+100</f>
        <v>100</v>
      </c>
      <c r="G38" s="3479" t="s">
        <v>3974</v>
      </c>
      <c r="H38" s="386">
        <f>SUMIF(114:114,G38,115:115)-SUMIF(114:114,C38,115:115)+100</f>
        <v>100</v>
      </c>
      <c r="I38" s="3480" t="s">
        <v>3974</v>
      </c>
      <c r="J38" s="386">
        <f>SUMIF(114:114,I38,115:115)-SUMIF(114:114,C38,115:115)+100</f>
        <v>100</v>
      </c>
      <c r="K38" s="377"/>
      <c r="L38" s="2717"/>
      <c r="M38" s="2711"/>
      <c r="N38" s="2711"/>
      <c r="O38" s="2711"/>
      <c r="P38" s="3786" t="s">
        <v>1696</v>
      </c>
      <c r="Q38" s="1350" t="str">
        <f t="shared" si="11"/>
        <v>物业管理</v>
      </c>
      <c r="R38" s="705" t="s">
        <v>18</v>
      </c>
      <c r="S38" s="706">
        <f t="shared" si="12"/>
        <v>100</v>
      </c>
      <c r="T38" s="705" t="s">
        <v>18</v>
      </c>
      <c r="U38" s="706">
        <f t="shared" si="13"/>
        <v>100</v>
      </c>
      <c r="V38" s="705" t="s">
        <v>18</v>
      </c>
      <c r="W38" s="706">
        <f t="shared" si="14"/>
        <v>100</v>
      </c>
      <c r="X38" s="1353"/>
      <c r="Y38" s="3788" t="s">
        <v>1696</v>
      </c>
      <c r="Z38" s="1354" t="str">
        <f t="shared" si="18"/>
        <v>物业管理</v>
      </c>
      <c r="AA38" s="1351">
        <f t="shared" si="15"/>
        <v>1</v>
      </c>
      <c r="AB38" s="1351">
        <f t="shared" si="16"/>
        <v>1</v>
      </c>
      <c r="AC38" s="1351">
        <f t="shared" si="17"/>
        <v>1</v>
      </c>
    </row>
    <row r="39" spans="1:29" ht="15">
      <c r="A39" s="423"/>
      <c r="B39" s="375" t="s">
        <v>1703</v>
      </c>
      <c r="C39" s="3479" t="s">
        <v>3966</v>
      </c>
      <c r="D39" s="386">
        <v>100</v>
      </c>
      <c r="E39" s="3480" t="s">
        <v>3967</v>
      </c>
      <c r="F39" s="412">
        <f>SUMIF(116:116,E39,117:117)-SUMIF(116:116,C39,117:117)+100</f>
        <v>100</v>
      </c>
      <c r="G39" s="3479" t="s">
        <v>3967</v>
      </c>
      <c r="H39" s="386">
        <f>SUMIF(116:116,G39,117:117)-SUMIF(116:116,C39,117:117)+100</f>
        <v>100</v>
      </c>
      <c r="I39" s="3480" t="s">
        <v>3966</v>
      </c>
      <c r="J39" s="386">
        <f>SUMIF(116:116,I39,117:117)-SUMIF(116:116,C39,117:117)+100</f>
        <v>100</v>
      </c>
      <c r="K39" s="377"/>
      <c r="L39" s="2717"/>
      <c r="M39" s="2711"/>
      <c r="N39" s="2711"/>
      <c r="O39" s="2711"/>
      <c r="P39" s="3786"/>
      <c r="Q39" s="1350" t="str">
        <f t="shared" si="11"/>
        <v>市政基础设施</v>
      </c>
      <c r="R39" s="705" t="s">
        <v>18</v>
      </c>
      <c r="S39" s="706">
        <f t="shared" si="12"/>
        <v>100</v>
      </c>
      <c r="T39" s="705" t="s">
        <v>18</v>
      </c>
      <c r="U39" s="706">
        <f t="shared" si="13"/>
        <v>100</v>
      </c>
      <c r="V39" s="705" t="s">
        <v>18</v>
      </c>
      <c r="W39" s="706">
        <f t="shared" si="14"/>
        <v>100</v>
      </c>
      <c r="X39" s="1353"/>
      <c r="Y39" s="3788"/>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86"/>
      <c r="Q40" s="1350" t="str">
        <f t="shared" si="11"/>
        <v>房型</v>
      </c>
      <c r="R40" s="705" t="s">
        <v>18</v>
      </c>
      <c r="S40" s="706">
        <f t="shared" si="12"/>
        <v>100</v>
      </c>
      <c r="T40" s="705" t="s">
        <v>18</v>
      </c>
      <c r="U40" s="706">
        <f t="shared" si="13"/>
        <v>100</v>
      </c>
      <c r="V40" s="705" t="s">
        <v>18</v>
      </c>
      <c r="W40" s="706">
        <f t="shared" si="14"/>
        <v>100</v>
      </c>
      <c r="X40" s="1353"/>
      <c r="Y40" s="378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86"/>
      <c r="Q41" s="707" t="str">
        <f t="shared" si="11"/>
        <v>单套/主力户型建筑面积</v>
      </c>
      <c r="R41" s="708" t="s">
        <v>18</v>
      </c>
      <c r="S41" s="709">
        <f t="shared" si="12"/>
        <v>100</v>
      </c>
      <c r="T41" s="708" t="s">
        <v>18</v>
      </c>
      <c r="U41" s="709">
        <f t="shared" si="13"/>
        <v>100</v>
      </c>
      <c r="V41" s="708" t="s">
        <v>18</v>
      </c>
      <c r="W41" s="709">
        <f t="shared" si="14"/>
        <v>100</v>
      </c>
      <c r="X41" s="710"/>
      <c r="Y41" s="3788"/>
      <c r="Z41" s="711" t="str">
        <f t="shared" si="18"/>
        <v>单套/主力户型建筑面积</v>
      </c>
      <c r="AA41" s="1351">
        <f t="shared" si="15"/>
        <v>1</v>
      </c>
      <c r="AB41" s="1351">
        <f t="shared" si="16"/>
        <v>1</v>
      </c>
      <c r="AC41" s="1351">
        <f t="shared" si="17"/>
        <v>1</v>
      </c>
    </row>
    <row r="42" spans="1:29" ht="15">
      <c r="A42" s="423"/>
      <c r="B42" s="375" t="s">
        <v>1706</v>
      </c>
      <c r="C42" s="3479" t="s">
        <v>3975</v>
      </c>
      <c r="D42" s="386">
        <v>100</v>
      </c>
      <c r="E42" s="3480" t="s">
        <v>3976</v>
      </c>
      <c r="F42" s="412">
        <f>SUMIF(122:122,E42,123:123)-SUMIF(122:122,C42,123:123)+100</f>
        <v>94</v>
      </c>
      <c r="G42" s="3479" t="s">
        <v>3973</v>
      </c>
      <c r="H42" s="386">
        <f>SUMIF(122:122,G42,123:123)-SUMIF(122:122,C42,123:123)+100</f>
        <v>100</v>
      </c>
      <c r="I42" s="3480" t="s">
        <v>3976</v>
      </c>
      <c r="J42" s="386">
        <f>SUMIF(122:122,I42,123:123)-SUMIF(122:122,C42,123:123)+100</f>
        <v>94</v>
      </c>
      <c r="K42" s="377">
        <v>2</v>
      </c>
      <c r="L42" s="2717"/>
      <c r="M42" s="2711"/>
      <c r="N42" s="2711"/>
      <c r="O42" s="2711"/>
      <c r="P42" s="3786"/>
      <c r="Q42" s="1350" t="str">
        <f t="shared" si="11"/>
        <v>内部装修</v>
      </c>
      <c r="R42" s="705" t="s">
        <v>18</v>
      </c>
      <c r="S42" s="706">
        <f t="shared" si="12"/>
        <v>94</v>
      </c>
      <c r="T42" s="705" t="s">
        <v>18</v>
      </c>
      <c r="U42" s="706">
        <f t="shared" si="13"/>
        <v>100</v>
      </c>
      <c r="V42" s="705" t="s">
        <v>18</v>
      </c>
      <c r="W42" s="706">
        <f t="shared" si="14"/>
        <v>94</v>
      </c>
      <c r="X42" s="1353"/>
      <c r="Y42" s="3788"/>
      <c r="Z42" s="1354" t="str">
        <f t="shared" si="18"/>
        <v>内部装修</v>
      </c>
      <c r="AA42" s="1351">
        <f t="shared" si="15"/>
        <v>1.0638297872340425</v>
      </c>
      <c r="AB42" s="1351">
        <f t="shared" si="16"/>
        <v>1</v>
      </c>
      <c r="AC42" s="1351">
        <f t="shared" si="17"/>
        <v>1.0638297872340425</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86"/>
      <c r="Q43" s="1350" t="str">
        <f t="shared" si="11"/>
        <v>内部装修维护情况</v>
      </c>
      <c r="R43" s="705" t="s">
        <v>18</v>
      </c>
      <c r="S43" s="706">
        <f t="shared" si="12"/>
        <v>100</v>
      </c>
      <c r="T43" s="705" t="s">
        <v>18</v>
      </c>
      <c r="U43" s="706">
        <f t="shared" si="13"/>
        <v>100</v>
      </c>
      <c r="V43" s="705" t="s">
        <v>18</v>
      </c>
      <c r="W43" s="706">
        <f t="shared" si="14"/>
        <v>100</v>
      </c>
      <c r="X43" s="1353"/>
      <c r="Y43" s="378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86"/>
      <c r="Q44" s="1341">
        <f t="shared" si="11"/>
        <v>111</v>
      </c>
      <c r="R44" s="701" t="s">
        <v>18</v>
      </c>
      <c r="S44" s="702">
        <f t="shared" si="12"/>
        <v>100</v>
      </c>
      <c r="T44" s="701" t="s">
        <v>18</v>
      </c>
      <c r="U44" s="702">
        <f t="shared" si="13"/>
        <v>100</v>
      </c>
      <c r="V44" s="701" t="s">
        <v>18</v>
      </c>
      <c r="W44" s="702">
        <f t="shared" si="14"/>
        <v>100</v>
      </c>
      <c r="X44" s="703"/>
      <c r="Y44" s="378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86"/>
      <c r="Q45" s="1350">
        <f t="shared" si="11"/>
        <v>111</v>
      </c>
      <c r="R45" s="705" t="s">
        <v>18</v>
      </c>
      <c r="S45" s="706">
        <f t="shared" si="12"/>
        <v>100</v>
      </c>
      <c r="T45" s="705" t="s">
        <v>18</v>
      </c>
      <c r="U45" s="706">
        <f t="shared" si="13"/>
        <v>100</v>
      </c>
      <c r="V45" s="705" t="s">
        <v>18</v>
      </c>
      <c r="W45" s="706">
        <f t="shared" si="14"/>
        <v>100</v>
      </c>
      <c r="X45" s="1353"/>
      <c r="Y45" s="3788"/>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87"/>
      <c r="Q46" s="1350">
        <f t="shared" si="11"/>
        <v>111</v>
      </c>
      <c r="R46" s="705" t="s">
        <v>17</v>
      </c>
      <c r="S46" s="706">
        <f t="shared" si="12"/>
        <v>100</v>
      </c>
      <c r="T46" s="705" t="s">
        <v>17</v>
      </c>
      <c r="U46" s="706">
        <f t="shared" si="13"/>
        <v>100</v>
      </c>
      <c r="V46" s="705" t="s">
        <v>17</v>
      </c>
      <c r="W46" s="706">
        <f t="shared" si="14"/>
        <v>100</v>
      </c>
      <c r="X46" s="1353"/>
      <c r="Y46" s="3789"/>
      <c r="Z46" s="1354">
        <f t="shared" si="18"/>
        <v>111</v>
      </c>
      <c r="AA46" s="1351">
        <f t="shared" si="15"/>
        <v>1</v>
      </c>
      <c r="AB46" s="1351">
        <f t="shared" si="16"/>
        <v>1</v>
      </c>
      <c r="AC46" s="1351">
        <f t="shared" si="17"/>
        <v>1</v>
      </c>
    </row>
    <row r="47" spans="1:29" ht="15">
      <c r="A47" s="430" t="s">
        <v>1708</v>
      </c>
      <c r="B47" s="431"/>
      <c r="C47" s="1153" t="s">
        <v>16</v>
      </c>
      <c r="D47" s="1154"/>
      <c r="E47" s="1155">
        <v>38240</v>
      </c>
      <c r="F47" s="1156"/>
      <c r="G47" s="1157">
        <v>35578</v>
      </c>
      <c r="H47" s="1158"/>
      <c r="I47" s="1155">
        <v>35278</v>
      </c>
      <c r="J47" s="1158"/>
      <c r="K47" s="1909"/>
      <c r="L47" s="2719"/>
      <c r="M47" s="2720"/>
      <c r="N47" s="2711"/>
      <c r="O47" s="2720"/>
      <c r="P47" s="3781" t="str">
        <f>A47</f>
        <v>成交单价（元/平方米）</v>
      </c>
      <c r="Q47" s="3781"/>
      <c r="R47" s="3782">
        <f>E47</f>
        <v>38240</v>
      </c>
      <c r="S47" s="3782"/>
      <c r="T47" s="3782">
        <f>G47</f>
        <v>35578</v>
      </c>
      <c r="U47" s="3782"/>
      <c r="V47" s="3782">
        <f>I47</f>
        <v>35278</v>
      </c>
      <c r="W47" s="3782"/>
      <c r="X47" s="690"/>
      <c r="Y47" s="712"/>
      <c r="Z47" s="690"/>
      <c r="AA47" s="690"/>
      <c r="AB47" s="690"/>
      <c r="AC47" s="690"/>
    </row>
    <row r="48" spans="1:29" ht="15.75" thickBot="1">
      <c r="A48" s="437" t="s">
        <v>1709</v>
      </c>
      <c r="B48" s="438"/>
      <c r="C48" s="1159">
        <f>R49</f>
        <v>36945</v>
      </c>
      <c r="D48" s="2312" t="s">
        <v>2136</v>
      </c>
      <c r="E48" s="1160">
        <f>R48</f>
        <v>38378</v>
      </c>
      <c r="F48" s="2313"/>
      <c r="G48" s="1159">
        <f>T48</f>
        <v>35261</v>
      </c>
      <c r="H48" s="2313"/>
      <c r="I48" s="1160">
        <f>V48</f>
        <v>37195</v>
      </c>
      <c r="J48" s="2313"/>
      <c r="K48" s="2314">
        <f>F48+H48+J48</f>
        <v>0</v>
      </c>
      <c r="L48" s="2719"/>
      <c r="M48" s="2720"/>
      <c r="N48" s="2720"/>
      <c r="O48" s="2720"/>
      <c r="P48" s="3781" t="str">
        <f>A48</f>
        <v>比较价值（元/平方米）</v>
      </c>
      <c r="Q48" s="3781"/>
      <c r="R48" s="3782">
        <f>IF(F1="售价",ROUND(PRODUCT(R47,AA7:AA46),0),ROUND(PRODUCT(R47,AA7:AA46),1))</f>
        <v>38378</v>
      </c>
      <c r="S48" s="3782"/>
      <c r="T48" s="3782">
        <f>IF(F1="售价",ROUND(PRODUCT(T47,AB7:AB46),0),ROUND(PRODUCT(T47,AB7:AB46),1))</f>
        <v>35261</v>
      </c>
      <c r="U48" s="3782"/>
      <c r="V48" s="3782">
        <f>IF(F1="售价",ROUND(PRODUCT(V47,AC7:AC46),0),ROUND(PRODUCT(V47,AC7:AC46),1))</f>
        <v>37195</v>
      </c>
      <c r="W48" s="3782"/>
      <c r="X48" s="690"/>
      <c r="Y48" s="690"/>
      <c r="Z48" s="690"/>
      <c r="AA48" s="690"/>
      <c r="AB48" s="690"/>
      <c r="AC48" s="690"/>
    </row>
    <row r="49" spans="1:29" ht="15.75" thickBot="1">
      <c r="A49" s="441" t="s">
        <v>1710</v>
      </c>
      <c r="B49" s="442"/>
      <c r="C49" s="1161">
        <f>R49</f>
        <v>36945</v>
      </c>
      <c r="D49" s="1162"/>
      <c r="E49" s="1162"/>
      <c r="F49" s="1162"/>
      <c r="G49" s="1162"/>
      <c r="H49" s="1162"/>
      <c r="I49" s="1162"/>
      <c r="J49" s="1162"/>
      <c r="K49" s="1910"/>
      <c r="L49" s="2719"/>
      <c r="M49" s="2720"/>
      <c r="N49" s="2720"/>
      <c r="O49" s="2720"/>
      <c r="P49" s="3778" t="str">
        <f>A49</f>
        <v>估价对象XX用房的比较价值（楼面单价，元/平方米）</v>
      </c>
      <c r="Q49" s="3779"/>
      <c r="R49" s="3780">
        <f>IF(F1="售价",ROUND(IF(D48="简单平均",AVERAGE(R48:V48),R48*F48+T48*H48+V48*J48),0),ROUND(IF(D48="简单平均",AVERAGE(R48:V48),R48*F48+T48*H48+V48*J48),1))</f>
        <v>36945</v>
      </c>
      <c r="S49" s="3780"/>
      <c r="T49" s="3780"/>
      <c r="U49" s="3780"/>
      <c r="V49" s="3780"/>
      <c r="W49" s="378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3.6087866108787114E-3</v>
      </c>
      <c r="F52" s="449" t="str">
        <f>IF(OR(E52&gt;=0.3,E52&lt;=-0.3),"超过30%","")</f>
        <v/>
      </c>
      <c r="G52" s="448">
        <f>IF(G47&lt;G48,G48/G47-1,G47/G48-1)</f>
        <v>8.9901023793992341E-3</v>
      </c>
      <c r="H52" s="449" t="str">
        <f>IF(OR(G52&gt;=0.3,G52&lt;=-0.3),"超过30%","")</f>
        <v/>
      </c>
      <c r="I52" s="448">
        <f>IF(I47&lt;I48,I48/I47-1,I47/I48-1)</f>
        <v>5.4339815182266493E-2</v>
      </c>
      <c r="J52" s="449" t="str">
        <f>IF(OR(I52&gt;=0.3,I52&lt;=-0.3),"超过30%","")</f>
        <v/>
      </c>
      <c r="K52" s="2725"/>
      <c r="L52" s="2721"/>
      <c r="M52" s="2720"/>
      <c r="N52" s="2720"/>
      <c r="O52" s="2720"/>
    </row>
    <row r="53" spans="1:29" ht="13.5" customHeight="1">
      <c r="A53" s="2720"/>
      <c r="B53" s="2720"/>
      <c r="C53" s="446" t="s">
        <v>1712</v>
      </c>
      <c r="D53" s="450"/>
      <c r="E53" s="448">
        <f>IF(E48&lt;G48,G48/E48-1,E48/G48-1)</f>
        <v>8.8397946740024436E-2</v>
      </c>
      <c r="F53" s="449" t="str">
        <f>IF(OR(E53&gt;=0.2,E53&lt;=-0.2),"超过20%","")</f>
        <v/>
      </c>
      <c r="G53" s="448">
        <f>IF(G48&lt;I48,I48/G48-1,G48/I48-1)</f>
        <v>5.4848132497660407E-2</v>
      </c>
      <c r="H53" s="449" t="str">
        <f>IF(OR(G53&gt;=0.2,G53&lt;=-0.2),"超过20%","")</f>
        <v/>
      </c>
      <c r="I53" s="448">
        <f>IF(I48&lt;E48,E48/I48-1,I48/E48-1)</f>
        <v>3.18053501814759E-2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7.4821518916184049E-2</v>
      </c>
      <c r="F54" s="449" t="str">
        <f>IF(OR(E54&gt;=0.3,E54&lt;=-0.3),"超过30%","")</f>
        <v/>
      </c>
      <c r="G54" s="448">
        <f>IF(G47&lt;I47,I47/G47-1,G47/I47-1)</f>
        <v>8.5038834401043317E-3</v>
      </c>
      <c r="H54" s="449" t="str">
        <f>IF(OR(G54&gt;=0.3,G54&lt;=-0.3),"超过30%","")</f>
        <v/>
      </c>
      <c r="I54" s="448">
        <f>IF(I47&lt;E47,E47/I47-1,I47/E47-1)</f>
        <v>8.3961675831963234E-2</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3"/>
      <c r="Q57" s="453"/>
    </row>
    <row r="58" spans="1:29" s="457" customFormat="1" ht="15">
      <c r="A58" s="454" t="s">
        <v>1715</v>
      </c>
      <c r="B58" s="455"/>
      <c r="C58" s="1184" t="str">
        <f>YEAR(C7)&amp;"-"&amp;MONTH(C7)</f>
        <v>2023-7</v>
      </c>
      <c r="D58" s="1183">
        <f>EDATE(C58,-1)</f>
        <v>45078</v>
      </c>
      <c r="E58" s="1183">
        <f>EDATE(D58,-1)</f>
        <v>45047</v>
      </c>
      <c r="F58" s="1183">
        <f t="shared" ref="F58:O58" si="19">EDATE(E58,-1)</f>
        <v>45017</v>
      </c>
      <c r="G58" s="1183">
        <f t="shared" si="19"/>
        <v>44986</v>
      </c>
      <c r="H58" s="1183">
        <f t="shared" si="19"/>
        <v>44958</v>
      </c>
      <c r="I58" s="1183">
        <f t="shared" si="19"/>
        <v>44927</v>
      </c>
      <c r="J58" s="1183">
        <f t="shared" si="19"/>
        <v>44896</v>
      </c>
      <c r="K58" s="1183">
        <f t="shared" si="19"/>
        <v>44866</v>
      </c>
      <c r="L58" s="1183">
        <f t="shared" si="19"/>
        <v>44835</v>
      </c>
      <c r="M58" s="1183">
        <f t="shared" si="19"/>
        <v>44805</v>
      </c>
      <c r="N58" s="1183">
        <f t="shared" si="19"/>
        <v>44774</v>
      </c>
      <c r="O58" s="1183">
        <f t="shared" si="19"/>
        <v>44743</v>
      </c>
      <c r="P58" s="1179"/>
    </row>
    <row r="59" spans="1:29" s="108" customFormat="1" ht="15">
      <c r="A59" s="458"/>
      <c r="B59" s="1914"/>
      <c r="C59" s="1181">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32"/>
      <c r="O61" s="932"/>
      <c r="P61" s="1916"/>
      <c r="Q61" s="453"/>
    </row>
    <row r="62" spans="1:29" s="108" customFormat="1" ht="15.75" thickBot="1">
      <c r="A62" s="470"/>
      <c r="B62" s="459"/>
      <c r="C62" s="460">
        <v>100</v>
      </c>
      <c r="D62" s="461"/>
      <c r="E62" s="461"/>
      <c r="F62" s="461"/>
      <c r="G62" s="461"/>
      <c r="H62" s="461"/>
      <c r="I62" s="461"/>
      <c r="J62" s="461"/>
      <c r="K62" s="461"/>
      <c r="L62" s="461"/>
      <c r="M62" s="463"/>
      <c r="N62" s="932"/>
      <c r="O62" s="932"/>
      <c r="P62" s="1915"/>
      <c r="Q62" s="453"/>
    </row>
    <row r="63" spans="1:29">
      <c r="A63" s="476" t="s">
        <v>1719</v>
      </c>
      <c r="B63" s="477" t="s">
        <v>1685</v>
      </c>
      <c r="C63" s="478" t="str">
        <f>C9</f>
        <v>住宅</v>
      </c>
      <c r="D63" s="479"/>
      <c r="E63" s="479"/>
      <c r="F63" s="479"/>
      <c r="G63" s="479"/>
      <c r="H63" s="479"/>
      <c r="I63" s="479"/>
      <c r="J63" s="479"/>
      <c r="K63" s="480"/>
      <c r="L63" s="481"/>
      <c r="M63" s="482"/>
      <c r="N63" s="933"/>
      <c r="O63" s="933"/>
      <c r="P63" s="1917"/>
      <c r="Q63" s="453"/>
    </row>
    <row r="64" spans="1:29" ht="15.75" thickBot="1">
      <c r="A64" s="483"/>
      <c r="B64" s="484"/>
      <c r="C64" s="485">
        <v>100</v>
      </c>
      <c r="D64" s="485"/>
      <c r="E64" s="485"/>
      <c r="F64" s="485"/>
      <c r="G64" s="485"/>
      <c r="H64" s="485"/>
      <c r="I64" s="485"/>
      <c r="J64" s="485"/>
      <c r="K64" s="485"/>
      <c r="L64" s="485"/>
      <c r="M64" s="486"/>
      <c r="N64" s="934"/>
      <c r="O64" s="934"/>
      <c r="P64" s="1917"/>
      <c r="Q64" s="453"/>
    </row>
    <row r="65" spans="1:17" ht="27.75" thickTop="1">
      <c r="A65" s="483"/>
      <c r="B65" s="487" t="s">
        <v>1688</v>
      </c>
      <c r="C65" s="532"/>
      <c r="D65" s="532"/>
      <c r="E65" s="532"/>
      <c r="F65" s="532"/>
      <c r="G65" s="532"/>
      <c r="H65" s="532"/>
      <c r="I65" s="532"/>
      <c r="J65" s="532"/>
      <c r="K65" s="532"/>
      <c r="L65" s="532"/>
      <c r="M65" s="532"/>
      <c r="N65" s="934"/>
      <c r="O65" s="934"/>
      <c r="P65" s="1917"/>
      <c r="Q65" s="453"/>
    </row>
    <row r="66" spans="1:17" ht="15.75" thickBot="1">
      <c r="A66" s="483"/>
      <c r="B66" s="492"/>
      <c r="C66" s="485"/>
      <c r="D66" s="485"/>
      <c r="E66" s="485"/>
      <c r="F66" s="485"/>
      <c r="G66" s="485"/>
      <c r="H66" s="485"/>
      <c r="I66" s="485"/>
      <c r="J66" s="485"/>
      <c r="K66" s="485"/>
      <c r="L66" s="485"/>
      <c r="M66" s="486"/>
      <c r="N66" s="934"/>
      <c r="O66" s="934"/>
      <c r="P66" s="1917"/>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7"/>
      <c r="Q67" s="453"/>
    </row>
    <row r="68" spans="1:17" ht="15">
      <c r="A68" s="483"/>
      <c r="B68" s="497"/>
      <c r="C68" s="498">
        <v>0</v>
      </c>
      <c r="D68" s="498">
        <v>1</v>
      </c>
      <c r="E68" s="498">
        <v>2</v>
      </c>
      <c r="F68" s="498">
        <v>3</v>
      </c>
      <c r="G68" s="498">
        <v>4</v>
      </c>
      <c r="H68" s="498"/>
      <c r="I68" s="498"/>
      <c r="J68" s="498"/>
      <c r="K68" s="499"/>
      <c r="L68" s="500"/>
      <c r="M68" s="501"/>
      <c r="N68" s="933"/>
      <c r="O68" s="933"/>
      <c r="P68" s="1917"/>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7"/>
      <c r="Q69" s="453"/>
    </row>
    <row r="70" spans="1:17" s="422" customFormat="1" ht="15.75" thickTop="1">
      <c r="A70" s="502"/>
      <c r="B70" s="487">
        <f>B12</f>
        <v>111</v>
      </c>
      <c r="C70" s="503"/>
      <c r="D70" s="503"/>
      <c r="E70" s="503"/>
      <c r="F70" s="503"/>
      <c r="G70" s="503"/>
      <c r="H70" s="504"/>
      <c r="I70" s="504"/>
      <c r="J70" s="504"/>
      <c r="K70" s="504"/>
      <c r="L70" s="505"/>
      <c r="M70" s="506"/>
      <c r="N70" s="935"/>
      <c r="O70" s="935"/>
      <c r="P70" s="1918"/>
      <c r="Q70" s="508"/>
    </row>
    <row r="71" spans="1:17" s="422" customFormat="1" ht="15.75" thickBot="1">
      <c r="A71" s="502"/>
      <c r="B71" s="492"/>
      <c r="C71" s="509"/>
      <c r="D71" s="485"/>
      <c r="E71" s="485"/>
      <c r="F71" s="485"/>
      <c r="G71" s="485"/>
      <c r="H71" s="485"/>
      <c r="I71" s="485"/>
      <c r="J71" s="485"/>
      <c r="K71" s="485"/>
      <c r="L71" s="485"/>
      <c r="M71" s="486"/>
      <c r="N71" s="934"/>
      <c r="O71" s="934"/>
      <c r="P71" s="1918"/>
      <c r="Q71" s="508"/>
    </row>
    <row r="72" spans="1:17" s="422" customFormat="1" ht="15.75" thickTop="1">
      <c r="A72" s="502"/>
      <c r="B72" s="487">
        <f>B13</f>
        <v>111</v>
      </c>
      <c r="C72" s="503"/>
      <c r="D72" s="503"/>
      <c r="E72" s="503"/>
      <c r="F72" s="503"/>
      <c r="G72" s="503"/>
      <c r="H72" s="504"/>
      <c r="I72" s="504"/>
      <c r="J72" s="504"/>
      <c r="K72" s="504"/>
      <c r="L72" s="505"/>
      <c r="M72" s="506"/>
      <c r="N72" s="935"/>
      <c r="O72" s="935"/>
      <c r="P72" s="1919"/>
      <c r="Q72" s="510"/>
    </row>
    <row r="73" spans="1:17" s="422" customFormat="1" ht="15.75" thickBot="1">
      <c r="A73" s="502"/>
      <c r="B73" s="492"/>
      <c r="C73" s="509"/>
      <c r="D73" s="509"/>
      <c r="E73" s="509"/>
      <c r="F73" s="509"/>
      <c r="G73" s="509"/>
      <c r="H73" s="511"/>
      <c r="I73" s="511"/>
      <c r="J73" s="511"/>
      <c r="K73" s="511"/>
      <c r="L73" s="511"/>
      <c r="M73" s="512"/>
      <c r="N73" s="935"/>
      <c r="O73" s="935"/>
      <c r="P73" s="1918"/>
      <c r="Q73" s="508"/>
    </row>
    <row r="74" spans="1:17" s="422" customFormat="1" ht="15.75" thickTop="1">
      <c r="A74" s="502"/>
      <c r="B74" s="495">
        <f>B14</f>
        <v>111</v>
      </c>
      <c r="C74" s="503"/>
      <c r="D74" s="503"/>
      <c r="E74" s="503"/>
      <c r="F74" s="503"/>
      <c r="G74" s="472"/>
      <c r="H74" s="513"/>
      <c r="I74" s="513"/>
      <c r="J74" s="513"/>
      <c r="K74" s="513"/>
      <c r="L74" s="514"/>
      <c r="M74" s="515"/>
      <c r="N74" s="935"/>
      <c r="O74" s="935"/>
      <c r="P74" s="1920"/>
      <c r="Q74" s="508"/>
    </row>
    <row r="75" spans="1:17" s="422" customFormat="1" ht="15.75" thickBot="1">
      <c r="A75" s="517"/>
      <c r="B75" s="518"/>
      <c r="C75" s="519"/>
      <c r="D75" s="519"/>
      <c r="E75" s="519"/>
      <c r="F75" s="519"/>
      <c r="G75" s="519"/>
      <c r="H75" s="520"/>
      <c r="I75" s="520"/>
      <c r="J75" s="520"/>
      <c r="K75" s="520"/>
      <c r="L75" s="520"/>
      <c r="M75" s="521"/>
      <c r="N75" s="935"/>
      <c r="O75" s="935"/>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17"/>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7"/>
      <c r="Q85" s="453"/>
    </row>
    <row r="86" spans="1:17" s="108" customFormat="1" ht="15.75" thickTop="1">
      <c r="A86" s="528"/>
      <c r="B86" s="487" t="s">
        <v>1734</v>
      </c>
      <c r="C86" s="503"/>
      <c r="D86" s="503"/>
      <c r="E86" s="503"/>
      <c r="F86" s="503"/>
      <c r="G86" s="503"/>
      <c r="H86" s="503"/>
      <c r="I86" s="503"/>
      <c r="J86" s="503"/>
      <c r="K86" s="503"/>
      <c r="L86" s="529"/>
      <c r="M86" s="530"/>
      <c r="N86" s="932"/>
      <c r="O86" s="932"/>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7"/>
      <c r="Q87" s="453"/>
    </row>
    <row r="88" spans="1:17" s="108" customFormat="1" ht="15.75" thickTop="1">
      <c r="A88" s="528"/>
      <c r="B88" s="487" t="s">
        <v>1735</v>
      </c>
      <c r="C88" s="503"/>
      <c r="D88" s="503"/>
      <c r="E88" s="503"/>
      <c r="F88" s="1922"/>
      <c r="G88" s="503"/>
      <c r="H88" s="503"/>
      <c r="I88" s="503"/>
      <c r="J88" s="503"/>
      <c r="K88" s="503"/>
      <c r="L88" s="503"/>
      <c r="M88" s="530"/>
      <c r="N88" s="932"/>
      <c r="O88" s="932"/>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7"/>
      <c r="Q89" s="453"/>
    </row>
    <row r="90" spans="1:17" s="422" customFormat="1" ht="15.75" thickTop="1">
      <c r="A90" s="502"/>
      <c r="B90" s="487">
        <f>B27</f>
        <v>111</v>
      </c>
      <c r="C90" s="503"/>
      <c r="D90" s="503"/>
      <c r="E90" s="503"/>
      <c r="F90" s="503"/>
      <c r="G90" s="503"/>
      <c r="H90" s="504"/>
      <c r="I90" s="504"/>
      <c r="J90" s="504"/>
      <c r="K90" s="504"/>
      <c r="L90" s="505"/>
      <c r="M90" s="506"/>
      <c r="N90" s="935"/>
      <c r="O90" s="935"/>
      <c r="P90" s="1918"/>
      <c r="Q90" s="508"/>
    </row>
    <row r="91" spans="1:17" s="422" customFormat="1" ht="15.75" thickBot="1">
      <c r="A91" s="502"/>
      <c r="B91" s="492"/>
      <c r="C91" s="509"/>
      <c r="D91" s="509"/>
      <c r="E91" s="509"/>
      <c r="F91" s="509"/>
      <c r="G91" s="509"/>
      <c r="H91" s="511"/>
      <c r="I91" s="511"/>
      <c r="J91" s="511"/>
      <c r="K91" s="511"/>
      <c r="L91" s="511"/>
      <c r="M91" s="512"/>
      <c r="N91" s="935"/>
      <c r="O91" s="935"/>
      <c r="P91" s="1918"/>
      <c r="Q91" s="508"/>
    </row>
    <row r="92" spans="1:17" ht="15.75" thickTop="1">
      <c r="A92" s="483"/>
      <c r="B92" s="487">
        <f>B28</f>
        <v>111</v>
      </c>
      <c r="C92" s="503"/>
      <c r="D92" s="503"/>
      <c r="E92" s="503"/>
      <c r="F92" s="503"/>
      <c r="G92" s="532"/>
      <c r="H92" s="532"/>
      <c r="I92" s="532"/>
      <c r="J92" s="532"/>
      <c r="K92" s="533"/>
      <c r="L92" s="534"/>
      <c r="M92" s="535"/>
      <c r="N92" s="933"/>
      <c r="O92" s="933"/>
      <c r="P92" s="1917"/>
      <c r="Q92" s="453"/>
    </row>
    <row r="93" spans="1:17" ht="15.75" thickBot="1">
      <c r="A93" s="483"/>
      <c r="B93" s="492"/>
      <c r="C93" s="509"/>
      <c r="D93" s="485"/>
      <c r="E93" s="485"/>
      <c r="F93" s="485"/>
      <c r="G93" s="485"/>
      <c r="H93" s="485"/>
      <c r="I93" s="485"/>
      <c r="J93" s="485"/>
      <c r="K93" s="485"/>
      <c r="L93" s="485"/>
      <c r="M93" s="486"/>
      <c r="N93" s="934"/>
      <c r="O93" s="934"/>
      <c r="P93" s="1917"/>
      <c r="Q93" s="453"/>
    </row>
    <row r="94" spans="1:17" ht="15.75" thickTop="1">
      <c r="A94" s="483"/>
      <c r="B94" s="487">
        <f>B29</f>
        <v>111</v>
      </c>
      <c r="C94" s="503"/>
      <c r="D94" s="503"/>
      <c r="E94" s="503"/>
      <c r="F94" s="503"/>
      <c r="G94" s="532"/>
      <c r="H94" s="532"/>
      <c r="I94" s="532"/>
      <c r="J94" s="532"/>
      <c r="K94" s="533"/>
      <c r="L94" s="534"/>
      <c r="M94" s="535"/>
      <c r="N94" s="933"/>
      <c r="O94" s="933"/>
      <c r="P94" s="1917"/>
      <c r="Q94" s="453"/>
    </row>
    <row r="95" spans="1:17" ht="15.75" thickBot="1">
      <c r="A95" s="483"/>
      <c r="B95" s="492"/>
      <c r="C95" s="509"/>
      <c r="D95" s="509"/>
      <c r="E95" s="509"/>
      <c r="F95" s="509"/>
      <c r="G95" s="485"/>
      <c r="H95" s="485"/>
      <c r="I95" s="485"/>
      <c r="J95" s="485"/>
      <c r="K95" s="485"/>
      <c r="L95" s="485"/>
      <c r="M95" s="486"/>
      <c r="N95" s="934"/>
      <c r="O95" s="934"/>
      <c r="P95" s="1917"/>
      <c r="Q95" s="453"/>
    </row>
    <row r="96" spans="1:17" ht="15.75" thickTop="1">
      <c r="A96" s="483"/>
      <c r="B96" s="487">
        <f>B30</f>
        <v>111</v>
      </c>
      <c r="C96" s="503"/>
      <c r="D96" s="503"/>
      <c r="E96" s="503"/>
      <c r="F96" s="503"/>
      <c r="G96" s="532"/>
      <c r="H96" s="532"/>
      <c r="I96" s="532"/>
      <c r="J96" s="532"/>
      <c r="K96" s="533"/>
      <c r="L96" s="534"/>
      <c r="M96" s="535"/>
      <c r="N96" s="933"/>
      <c r="O96" s="933"/>
      <c r="P96" s="1917"/>
      <c r="Q96" s="453"/>
    </row>
    <row r="97" spans="1:17" ht="15.75" thickBot="1">
      <c r="A97" s="483"/>
      <c r="B97" s="492"/>
      <c r="C97" s="519"/>
      <c r="D97" s="519"/>
      <c r="E97" s="519"/>
      <c r="F97" s="519"/>
      <c r="G97" s="485"/>
      <c r="H97" s="485"/>
      <c r="I97" s="485"/>
      <c r="J97" s="485"/>
      <c r="K97" s="485"/>
      <c r="L97" s="485"/>
      <c r="M97" s="486"/>
      <c r="N97" s="934"/>
      <c r="O97" s="934"/>
      <c r="P97" s="1917"/>
      <c r="Q97" s="453"/>
    </row>
    <row r="98" spans="1:17" ht="15.75" thickTop="1">
      <c r="A98" s="483"/>
      <c r="B98" s="495">
        <f>B31</f>
        <v>111</v>
      </c>
      <c r="C98" s="536"/>
      <c r="D98" s="536"/>
      <c r="E98" s="536"/>
      <c r="F98" s="536"/>
      <c r="G98" s="536"/>
      <c r="H98" s="536"/>
      <c r="I98" s="536"/>
      <c r="J98" s="536"/>
      <c r="K98" s="537"/>
      <c r="L98" s="538"/>
      <c r="M98" s="539"/>
      <c r="N98" s="933"/>
      <c r="O98" s="933"/>
      <c r="P98" s="1917"/>
      <c r="Q98" s="453"/>
    </row>
    <row r="99" spans="1:17" ht="15.75" thickBot="1">
      <c r="A99" s="1923"/>
      <c r="B99" s="518"/>
      <c r="C99" s="540"/>
      <c r="D99" s="540"/>
      <c r="E99" s="540"/>
      <c r="F99" s="540"/>
      <c r="G99" s="540"/>
      <c r="H99" s="540"/>
      <c r="I99" s="540"/>
      <c r="J99" s="540"/>
      <c r="K99" s="540"/>
      <c r="L99" s="540"/>
      <c r="M99" s="541"/>
      <c r="N99" s="934"/>
      <c r="O99" s="934"/>
      <c r="P99" s="1917"/>
      <c r="Q99" s="453"/>
    </row>
    <row r="100" spans="1:17">
      <c r="A100" s="476" t="s">
        <v>1694</v>
      </c>
      <c r="B100" s="477" t="s">
        <v>1736</v>
      </c>
      <c r="C100" s="3476" t="s">
        <v>3971</v>
      </c>
      <c r="D100" s="3476" t="s">
        <v>3970</v>
      </c>
      <c r="E100" s="479"/>
      <c r="F100" s="479"/>
      <c r="G100" s="479"/>
      <c r="H100" s="479"/>
      <c r="I100" s="479"/>
      <c r="J100" s="479"/>
      <c r="K100" s="480"/>
      <c r="L100" s="481"/>
      <c r="M100" s="482"/>
      <c r="N100" s="933"/>
      <c r="O100" s="933"/>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7"/>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7"/>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8"/>
      <c r="Q103" s="508"/>
    </row>
    <row r="104" spans="1:17" s="422" customFormat="1" ht="15.75" thickBot="1">
      <c r="A104" s="502"/>
      <c r="B104" s="492"/>
      <c r="C104" s="509">
        <v>100</v>
      </c>
      <c r="D104" s="485">
        <v>103</v>
      </c>
      <c r="E104" s="485">
        <v>106</v>
      </c>
      <c r="F104" s="485">
        <v>109</v>
      </c>
      <c r="G104" s="485"/>
      <c r="H104" s="485"/>
      <c r="I104" s="485"/>
      <c r="J104" s="485"/>
      <c r="K104" s="485"/>
      <c r="L104" s="485"/>
      <c r="M104" s="485"/>
      <c r="N104" s="934"/>
      <c r="O104" s="934"/>
      <c r="P104" s="1918"/>
      <c r="Q104" s="508"/>
    </row>
    <row r="105" spans="1:17" ht="15" thickTop="1">
      <c r="A105" s="548"/>
      <c r="B105" s="487" t="s">
        <v>1738</v>
      </c>
      <c r="C105" s="503"/>
      <c r="D105" s="503"/>
      <c r="E105" s="532"/>
      <c r="F105" s="532"/>
      <c r="G105" s="532"/>
      <c r="H105" s="532"/>
      <c r="I105" s="532"/>
      <c r="J105" s="532"/>
      <c r="K105" s="533"/>
      <c r="L105" s="534"/>
      <c r="M105" s="535"/>
      <c r="N105" s="933"/>
      <c r="O105" s="933"/>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7"/>
      <c r="Q106" s="453"/>
    </row>
    <row r="107" spans="1:17" ht="15" thickTop="1">
      <c r="A107" s="548"/>
      <c r="B107" s="487" t="s">
        <v>1739</v>
      </c>
      <c r="C107" s="532"/>
      <c r="D107" s="532"/>
      <c r="E107" s="532"/>
      <c r="F107" s="532"/>
      <c r="G107" s="532"/>
      <c r="H107" s="532"/>
      <c r="I107" s="532"/>
      <c r="J107" s="532"/>
      <c r="K107" s="533"/>
      <c r="L107" s="534"/>
      <c r="M107" s="535"/>
      <c r="N107" s="933"/>
      <c r="O107" s="933"/>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7"/>
      <c r="Q108" s="453"/>
    </row>
    <row r="109" spans="1:17" ht="15" thickTop="1">
      <c r="A109" s="548"/>
      <c r="B109" s="487" t="s">
        <v>1740</v>
      </c>
      <c r="C109" s="503"/>
      <c r="D109" s="503"/>
      <c r="E109" s="503"/>
      <c r="F109" s="532"/>
      <c r="G109" s="532"/>
      <c r="H109" s="532"/>
      <c r="I109" s="532"/>
      <c r="J109" s="532"/>
      <c r="K109" s="533"/>
      <c r="L109" s="534"/>
      <c r="M109" s="535"/>
      <c r="N109" s="933"/>
      <c r="O109" s="933"/>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8"/>
      <c r="Q113" s="508"/>
    </row>
    <row r="114" spans="1:17" ht="15" thickTop="1">
      <c r="A114" s="548"/>
      <c r="B114" s="487" t="s">
        <v>1741</v>
      </c>
      <c r="C114" s="503"/>
      <c r="D114" s="503"/>
      <c r="E114" s="532"/>
      <c r="F114" s="532"/>
      <c r="G114" s="532"/>
      <c r="H114" s="532"/>
      <c r="I114" s="532"/>
      <c r="J114" s="532"/>
      <c r="K114" s="533"/>
      <c r="L114" s="534"/>
      <c r="M114" s="535"/>
      <c r="N114" s="933"/>
      <c r="O114" s="933"/>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7"/>
      <c r="Q115" s="453"/>
    </row>
    <row r="116" spans="1:17" ht="15" thickTop="1">
      <c r="A116" s="548"/>
      <c r="B116" s="487" t="s">
        <v>1742</v>
      </c>
      <c r="C116" s="503"/>
      <c r="D116" s="503"/>
      <c r="E116" s="503"/>
      <c r="F116" s="503"/>
      <c r="G116" s="503"/>
      <c r="H116" s="532"/>
      <c r="I116" s="532"/>
      <c r="J116" s="532"/>
      <c r="K116" s="533"/>
      <c r="L116" s="534"/>
      <c r="M116" s="535"/>
      <c r="N116" s="933"/>
      <c r="O116" s="933"/>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7"/>
      <c r="Q117" s="453"/>
    </row>
    <row r="118" spans="1:17" ht="15" thickTop="1">
      <c r="A118" s="548"/>
      <c r="B118" s="487" t="s">
        <v>1743</v>
      </c>
      <c r="C118" s="532"/>
      <c r="D118" s="532"/>
      <c r="E118" s="532"/>
      <c r="F118" s="532"/>
      <c r="G118" s="532"/>
      <c r="H118" s="532"/>
      <c r="I118" s="532"/>
      <c r="J118" s="532"/>
      <c r="K118" s="533"/>
      <c r="L118" s="534"/>
      <c r="M118" s="535"/>
      <c r="N118" s="933"/>
      <c r="O118" s="933"/>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7"/>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8"/>
      <c r="Q120" s="508"/>
    </row>
    <row r="121" spans="1:17" s="422" customFormat="1" ht="15.75" thickBot="1">
      <c r="A121" s="502"/>
      <c r="B121" s="484"/>
      <c r="C121" s="509"/>
      <c r="D121" s="485"/>
      <c r="E121" s="485"/>
      <c r="F121" s="485"/>
      <c r="G121" s="485"/>
      <c r="H121" s="485"/>
      <c r="I121" s="485"/>
      <c r="J121" s="485"/>
      <c r="K121" s="485"/>
      <c r="L121" s="485"/>
      <c r="M121" s="485"/>
      <c r="N121" s="935"/>
      <c r="O121" s="935"/>
      <c r="P121" s="1918"/>
      <c r="Q121" s="508"/>
    </row>
    <row r="122" spans="1:17" ht="15" thickTop="1">
      <c r="A122" s="548"/>
      <c r="B122" s="487" t="s">
        <v>1744</v>
      </c>
      <c r="C122" s="3463" t="s">
        <v>3973</v>
      </c>
      <c r="D122" s="3463" t="s">
        <v>3977</v>
      </c>
      <c r="E122" s="3463" t="s">
        <v>3978</v>
      </c>
      <c r="F122" s="3481" t="s">
        <v>3976</v>
      </c>
      <c r="G122" s="532"/>
      <c r="H122" s="532"/>
      <c r="I122" s="532"/>
      <c r="J122" s="532"/>
      <c r="K122" s="533"/>
      <c r="L122" s="534"/>
      <c r="M122" s="535"/>
      <c r="N122" s="933"/>
      <c r="O122" s="933"/>
      <c r="P122" s="1917"/>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7"/>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8"/>
      <c r="Q126" s="508"/>
    </row>
    <row r="127" spans="1:17" s="422" customFormat="1" ht="15.75" thickBot="1">
      <c r="A127" s="502"/>
      <c r="B127" s="492"/>
      <c r="C127" s="509"/>
      <c r="D127" s="485"/>
      <c r="E127" s="485"/>
      <c r="F127" s="485"/>
      <c r="G127" s="509"/>
      <c r="H127" s="511"/>
      <c r="I127" s="511"/>
      <c r="J127" s="511"/>
      <c r="K127" s="511"/>
      <c r="L127" s="511"/>
      <c r="M127" s="512"/>
      <c r="N127" s="935"/>
      <c r="O127" s="935"/>
      <c r="P127" s="1918"/>
      <c r="Q127" s="508"/>
    </row>
    <row r="128" spans="1:17" ht="15" thickTop="1">
      <c r="A128" s="548"/>
      <c r="B128" s="487">
        <f>B45</f>
        <v>111</v>
      </c>
      <c r="C128" s="503"/>
      <c r="D128" s="503"/>
      <c r="E128" s="503"/>
      <c r="F128" s="503"/>
      <c r="G128" s="532"/>
      <c r="H128" s="532"/>
      <c r="I128" s="532"/>
      <c r="J128" s="532"/>
      <c r="K128" s="533"/>
      <c r="L128" s="534"/>
      <c r="M128" s="535"/>
      <c r="N128" s="933"/>
      <c r="O128" s="933"/>
      <c r="P128" s="1917"/>
      <c r="Q128" s="453"/>
    </row>
    <row r="129" spans="1:17" ht="15.75" thickBot="1">
      <c r="A129" s="483"/>
      <c r="B129" s="492"/>
      <c r="C129" s="509"/>
      <c r="D129" s="509"/>
      <c r="E129" s="509"/>
      <c r="F129" s="509"/>
      <c r="G129" s="485"/>
      <c r="H129" s="485"/>
      <c r="I129" s="485"/>
      <c r="J129" s="485"/>
      <c r="K129" s="485"/>
      <c r="L129" s="485"/>
      <c r="M129" s="486"/>
      <c r="N129" s="934"/>
      <c r="O129" s="934"/>
      <c r="P129" s="1917"/>
      <c r="Q129" s="453"/>
    </row>
    <row r="130" spans="1:17" ht="15" thickTop="1">
      <c r="A130" s="548"/>
      <c r="B130" s="495">
        <f>B46</f>
        <v>111</v>
      </c>
      <c r="C130" s="503"/>
      <c r="D130" s="503"/>
      <c r="E130" s="503"/>
      <c r="F130" s="503"/>
      <c r="G130" s="536"/>
      <c r="H130" s="536"/>
      <c r="I130" s="536"/>
      <c r="J130" s="536"/>
      <c r="K130" s="472"/>
      <c r="L130" s="473"/>
      <c r="M130" s="539"/>
      <c r="N130" s="933"/>
      <c r="O130" s="933"/>
      <c r="P130" s="1917"/>
      <c r="Q130" s="453"/>
    </row>
    <row r="131" spans="1:17" ht="15.75" thickBot="1">
      <c r="A131" s="1923"/>
      <c r="B131" s="518"/>
      <c r="C131" s="519"/>
      <c r="D131" s="519"/>
      <c r="E131" s="519"/>
      <c r="F131" s="519"/>
      <c r="G131" s="540"/>
      <c r="H131" s="540"/>
      <c r="I131" s="540"/>
      <c r="J131" s="540"/>
      <c r="K131" s="540"/>
      <c r="L131" s="540"/>
      <c r="M131" s="541"/>
      <c r="N131" s="934"/>
      <c r="O131" s="934"/>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7">
        <v>6</v>
      </c>
      <c r="C139" s="868">
        <v>96</v>
      </c>
      <c r="D139" s="1935" t="s">
        <v>1755</v>
      </c>
      <c r="E139" s="869">
        <v>100</v>
      </c>
      <c r="F139" s="870">
        <v>102.5</v>
      </c>
      <c r="G139" s="1935" t="s">
        <v>1755</v>
      </c>
      <c r="H139" s="871">
        <v>105</v>
      </c>
      <c r="I139" s="1936" t="s">
        <v>1756</v>
      </c>
      <c r="J139" s="868">
        <v>20</v>
      </c>
      <c r="K139" s="872">
        <f>C145/(J139-2)</f>
        <v>4.0555555555555553E-3</v>
      </c>
    </row>
    <row r="140" spans="1:17" ht="15">
      <c r="B140" s="873">
        <v>5</v>
      </c>
      <c r="C140" s="874">
        <v>100</v>
      </c>
      <c r="D140" s="874"/>
      <c r="E140" s="875"/>
      <c r="F140" s="876">
        <v>102</v>
      </c>
      <c r="G140" s="874"/>
      <c r="H140" s="877"/>
      <c r="I140" s="1937" t="s">
        <v>1757</v>
      </c>
      <c r="J140" s="271">
        <f>ROUNDUP((J139-1)/2,0)</f>
        <v>10</v>
      </c>
      <c r="K140" s="878">
        <v>100</v>
      </c>
    </row>
    <row r="141" spans="1:17" ht="15">
      <c r="B141" s="873">
        <v>4</v>
      </c>
      <c r="C141" s="874">
        <v>102</v>
      </c>
      <c r="D141" s="874"/>
      <c r="E141" s="875"/>
      <c r="F141" s="876">
        <v>101.5</v>
      </c>
      <c r="G141" s="874"/>
      <c r="H141" s="877"/>
      <c r="I141" s="1937" t="s">
        <v>1758</v>
      </c>
      <c r="J141" s="271">
        <v>1</v>
      </c>
      <c r="K141" s="879">
        <f>ROUND(100+(J141-J140)*K139*100,1)</f>
        <v>96.4</v>
      </c>
    </row>
    <row r="142" spans="1:17" ht="15">
      <c r="B142" s="873">
        <v>3</v>
      </c>
      <c r="C142" s="874">
        <v>103</v>
      </c>
      <c r="D142" s="874"/>
      <c r="E142" s="875"/>
      <c r="F142" s="876">
        <v>101</v>
      </c>
      <c r="G142" s="874"/>
      <c r="H142" s="877"/>
      <c r="I142" s="1937" t="s">
        <v>1759</v>
      </c>
      <c r="J142" s="271">
        <f>J139</f>
        <v>20</v>
      </c>
      <c r="K142" s="880">
        <v>95</v>
      </c>
    </row>
    <row r="143" spans="1:17" ht="15">
      <c r="B143" s="873">
        <v>2</v>
      </c>
      <c r="C143" s="874">
        <v>100</v>
      </c>
      <c r="D143" s="874"/>
      <c r="E143" s="875"/>
      <c r="F143" s="876">
        <v>100.5</v>
      </c>
      <c r="G143" s="874"/>
      <c r="H143" s="877"/>
      <c r="I143" s="1937" t="s">
        <v>1760</v>
      </c>
      <c r="J143" s="874">
        <v>15</v>
      </c>
      <c r="K143" s="879">
        <f>ROUND(100+(J143-J140)*K139*100,1)</f>
        <v>102</v>
      </c>
    </row>
    <row r="144" spans="1:17" ht="15">
      <c r="B144" s="873">
        <v>1</v>
      </c>
      <c r="C144" s="874">
        <v>98</v>
      </c>
      <c r="D144" s="1938" t="s">
        <v>1761</v>
      </c>
      <c r="E144" s="875">
        <v>102</v>
      </c>
      <c r="F144" s="881">
        <v>100</v>
      </c>
      <c r="G144" s="1938" t="s">
        <v>1761</v>
      </c>
      <c r="H144" s="877">
        <v>105</v>
      </c>
      <c r="I144" s="1937" t="s">
        <v>1760</v>
      </c>
      <c r="J144" s="874">
        <v>18</v>
      </c>
      <c r="K144" s="879">
        <f>ROUND(100+(J144-J140)*K139*100,1)</f>
        <v>103.2</v>
      </c>
    </row>
    <row r="145" spans="2:11" ht="15.75" thickBot="1">
      <c r="B145" s="1939" t="s">
        <v>1762</v>
      </c>
      <c r="C145" s="882">
        <f>ROUND(MAX(C139:C144)/MIN(C139:C144)-1,3)</f>
        <v>7.2999999999999995E-2</v>
      </c>
      <c r="D145" s="883"/>
      <c r="E145" s="883"/>
      <c r="F145" s="1940" t="s">
        <v>1763</v>
      </c>
      <c r="G145" s="1941"/>
      <c r="H145" s="1942"/>
      <c r="I145" s="1943" t="s">
        <v>1760</v>
      </c>
      <c r="J145" s="884">
        <v>8</v>
      </c>
      <c r="K145" s="885">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3" priority="19" stopIfTrue="1" operator="containsText" text="超过">
      <formula>NOT(ISERROR(SEARCH("超过",F52)))</formula>
    </cfRule>
  </conditionalFormatting>
  <conditionalFormatting sqref="J54">
    <cfRule type="containsText" dxfId="192" priority="18" stopIfTrue="1" operator="containsText" text="超过">
      <formula>NOT(ISERROR(SEARCH("超过",J54)))</formula>
    </cfRule>
  </conditionalFormatting>
  <conditionalFormatting sqref="H54">
    <cfRule type="containsText" dxfId="191" priority="17" stopIfTrue="1" operator="containsText" text="超过">
      <formula>NOT(ISERROR(SEARCH("超过",H54)))</formula>
    </cfRule>
  </conditionalFormatting>
  <conditionalFormatting sqref="F54">
    <cfRule type="containsText" dxfId="190" priority="16" stopIfTrue="1" operator="containsText" text="超过">
      <formula>NOT(ISERROR(SEARCH("超过",F54)))</formula>
    </cfRule>
  </conditionalFormatting>
  <conditionalFormatting sqref="F53 H53 J53">
    <cfRule type="containsText" dxfId="189" priority="15" stopIfTrue="1" operator="containsText" text="超过">
      <formula>NOT(ISERROR(SEARCH("超过",F53)))</formula>
    </cfRule>
  </conditionalFormatting>
  <conditionalFormatting sqref="E52">
    <cfRule type="expression" dxfId="188" priority="14" stopIfTrue="1">
      <formula>$F$52="超过30%"</formula>
    </cfRule>
  </conditionalFormatting>
  <conditionalFormatting sqref="G54">
    <cfRule type="expression" dxfId="187" priority="12" stopIfTrue="1">
      <formula>$H$54="超过30%"</formula>
    </cfRule>
  </conditionalFormatting>
  <conditionalFormatting sqref="E53">
    <cfRule type="expression" dxfId="186" priority="11" stopIfTrue="1">
      <formula>$F$53="超过20%"</formula>
    </cfRule>
  </conditionalFormatting>
  <conditionalFormatting sqref="E54">
    <cfRule type="expression" dxfId="185" priority="10" stopIfTrue="1">
      <formula>$F$54="超过30%"</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I52">
    <cfRule type="expression" dxfId="182" priority="7" stopIfTrue="1">
      <formula>$J$52="超过30%"</formula>
    </cfRule>
  </conditionalFormatting>
  <conditionalFormatting sqref="I53">
    <cfRule type="expression" dxfId="181" priority="6" stopIfTrue="1">
      <formula>$J$53="超过20%"</formula>
    </cfRule>
  </conditionalFormatting>
  <conditionalFormatting sqref="I54">
    <cfRule type="expression" dxfId="180" priority="5"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3379</v>
      </c>
      <c r="C1" s="198"/>
      <c r="D1" s="198"/>
      <c r="E1" s="198"/>
      <c r="F1" s="198"/>
      <c r="G1" s="1125">
        <f>MATCH(B1,'数据-取费表'!A6:A16,0)+5</f>
        <v>6</v>
      </c>
    </row>
    <row r="2" spans="1:9" s="200" customFormat="1" ht="18" customHeight="1">
      <c r="A2" s="201" t="s">
        <v>1462</v>
      </c>
      <c r="B2" s="202">
        <f ca="1">IF(D2="——",C52,C52-E2)</f>
        <v>281</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32332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181</v>
      </c>
      <c r="D5" s="211" t="s">
        <v>1469</v>
      </c>
      <c r="E5" s="212" t="s">
        <v>1470</v>
      </c>
      <c r="F5" s="212" t="s">
        <v>1471</v>
      </c>
      <c r="G5" s="213"/>
    </row>
    <row r="6" spans="1:9" s="214" customFormat="1" ht="13.5" customHeight="1">
      <c r="A6" s="778" t="s">
        <v>1472</v>
      </c>
      <c r="B6" s="215" t="s">
        <v>1473</v>
      </c>
      <c r="C6" s="216">
        <f>'土地比较法-住宅、综合'!F56</f>
        <v>175</v>
      </c>
      <c r="D6" s="217"/>
      <c r="E6" s="218"/>
      <c r="F6" s="218"/>
      <c r="G6" s="219"/>
    </row>
    <row r="7" spans="1:9" s="214" customFormat="1" ht="13.5" customHeight="1">
      <c r="A7" s="778" t="s">
        <v>1474</v>
      </c>
      <c r="B7" s="215" t="s">
        <v>1475</v>
      </c>
      <c r="C7" s="220">
        <f>ROUND(C6*F7,0)</f>
        <v>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v>
      </c>
      <c r="D8" s="222"/>
      <c r="E8" s="220"/>
      <c r="F8" s="221"/>
      <c r="G8" s="1854" t="s">
        <v>3907</v>
      </c>
    </row>
    <row r="9" spans="1:9" s="214" customFormat="1" ht="13.5" customHeight="1">
      <c r="A9" s="779" t="s">
        <v>355</v>
      </c>
      <c r="B9" s="224" t="s">
        <v>1478</v>
      </c>
      <c r="C9" s="225">
        <f ca="1">ROUND(D9*E9/10000,0)</f>
        <v>1</v>
      </c>
      <c r="D9" s="845">
        <f ca="1">IF(B1="",'数据-汇总表'!E5,IF(INDIRECT("'数据-取费表'!c"&amp;$G$1)="住宅",INDIRECT("'数据-取费表'!k"&amp;$G$1),0))</f>
        <v>86.91</v>
      </c>
      <c r="E9" s="225">
        <f>'数据-取费表'!B27</f>
        <v>150</v>
      </c>
      <c r="F9" s="221"/>
      <c r="G9" s="1855" t="s">
        <v>3908</v>
      </c>
      <c r="H9" s="1136"/>
      <c r="I9" s="1856"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86.91</v>
      </c>
      <c r="E19" s="211">
        <f>'数据-取费表'!B31</f>
        <v>200</v>
      </c>
      <c r="F19" s="231"/>
      <c r="G19" s="1854" t="s">
        <v>3909</v>
      </c>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13</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231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86.91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24" t="s">
        <v>1544</v>
      </c>
    </row>
    <row r="43" spans="1:7" ht="13.5" customHeight="1">
      <c r="A43" s="780" t="s">
        <v>347</v>
      </c>
      <c r="B43" s="215" t="s">
        <v>1545</v>
      </c>
      <c r="C43" s="238">
        <f ca="1">ROUND(IF('数据-取费表'!B22&lt;=1,C39*F22*'数据-取费表'!B21/2,C39*(POWER((1+F22),'数据-取费表'!B21/2)-1)),0)</f>
        <v>0</v>
      </c>
      <c r="D43" s="238"/>
      <c r="E43" s="238"/>
      <c r="F43" s="239"/>
      <c r="G43" s="3825"/>
    </row>
    <row r="44" spans="1:7" ht="13.5" customHeight="1">
      <c r="A44" s="780" t="s">
        <v>348</v>
      </c>
      <c r="B44" s="215" t="s">
        <v>1546</v>
      </c>
      <c r="C44" s="238">
        <f ca="1">ROUND(IF('数据-取费表'!B22&lt;=1,C40*F22*'数据-取费表'!B21/2,C40*(POWER((1+F22),'数据-取费表'!B21/2)-1)),4)</f>
        <v>6.9999999999999999E-4</v>
      </c>
      <c r="D44" s="238"/>
      <c r="E44" s="238"/>
      <c r="F44" s="239"/>
      <c r="G44" s="3826"/>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0</v>
      </c>
      <c r="D48" s="236" t="s">
        <v>1539</v>
      </c>
      <c r="E48" s="232"/>
      <c r="F48" s="237">
        <f>F30</f>
        <v>0</v>
      </c>
      <c r="G48" s="234" t="s">
        <v>1552</v>
      </c>
    </row>
    <row r="49" spans="1:7" ht="16.5" customHeight="1">
      <c r="A49" s="255" t="s">
        <v>1518</v>
      </c>
      <c r="B49" s="210" t="s">
        <v>1553</v>
      </c>
      <c r="C49" s="232">
        <f ca="1">ROUND((C33+C39+C41+C45)/(1-C40-D41-D45-C48),0)</f>
        <v>50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50</v>
      </c>
      <c r="D51" s="232"/>
      <c r="E51" s="232"/>
      <c r="F51" s="264"/>
      <c r="G51" s="234" t="s">
        <v>1560</v>
      </c>
    </row>
    <row r="52" spans="1:7" s="208" customFormat="1" ht="16.5" thickBot="1">
      <c r="A52" s="265" t="s">
        <v>1561</v>
      </c>
      <c r="B52" s="266"/>
      <c r="C52" s="267">
        <f ca="1">C31+C51</f>
        <v>281</v>
      </c>
      <c r="D52" s="266"/>
      <c r="E52" s="266"/>
      <c r="F52" s="266"/>
      <c r="G52" s="268"/>
    </row>
    <row r="55" spans="1:7" ht="15">
      <c r="B55" s="270" t="s">
        <v>1562</v>
      </c>
      <c r="C55" s="271"/>
    </row>
    <row r="56" spans="1:7">
      <c r="B56" s="273" t="s">
        <v>802</v>
      </c>
      <c r="C56" s="275">
        <f ca="1">1-C57</f>
        <v>0.82200000000000006</v>
      </c>
    </row>
    <row r="57" spans="1:7">
      <c r="B57" s="273" t="s">
        <v>803</v>
      </c>
      <c r="C57" s="274">
        <f ca="1">ROUND(C51/C52,3)</f>
        <v>0.17799999999999999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2" sqref="J3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8" t="s">
        <v>3379</v>
      </c>
      <c r="C1" s="1857" t="s">
        <v>1563</v>
      </c>
      <c r="D1" s="198"/>
      <c r="E1" s="198"/>
      <c r="F1" s="198"/>
      <c r="G1" s="1125">
        <f>MATCH(B1,'数据-取费表'!A6:A16,0)+5</f>
        <v>6</v>
      </c>
      <c r="H1" s="1060" t="str">
        <f>IF(ISERROR(FIND("住宅",B1)),"非住宅","住宅")</f>
        <v>住宅</v>
      </c>
    </row>
    <row r="2" spans="1:9" s="200" customFormat="1" ht="18" customHeight="1">
      <c r="A2" s="201" t="s">
        <v>1462</v>
      </c>
      <c r="B2" s="3419">
        <f ca="1">ROUND(IF(D2="——",C52/10000,C52/10000-E2),4)</f>
        <v>281.0711</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32340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1816074</v>
      </c>
      <c r="D5" s="211" t="s">
        <v>1469</v>
      </c>
      <c r="E5" s="212" t="s">
        <v>1470</v>
      </c>
      <c r="F5" s="212" t="s">
        <v>1471</v>
      </c>
      <c r="G5" s="213"/>
    </row>
    <row r="6" spans="1:9" s="214" customFormat="1" ht="13.5" customHeight="1">
      <c r="A6" s="778" t="s">
        <v>1472</v>
      </c>
      <c r="B6" s="215" t="s">
        <v>1473</v>
      </c>
      <c r="C6" s="216">
        <f ca="1">ROUND(D9*I7,0)</f>
        <v>1749672</v>
      </c>
      <c r="D6" s="217"/>
      <c r="E6" s="218"/>
      <c r="F6" s="218"/>
      <c r="G6" s="219"/>
    </row>
    <row r="7" spans="1:9" s="214" customFormat="1" ht="13.5" customHeight="1">
      <c r="A7" s="778" t="s">
        <v>1474</v>
      </c>
      <c r="B7" s="215" t="s">
        <v>1475</v>
      </c>
      <c r="C7" s="220">
        <f ca="1">ROUND(C6*F7,0)</f>
        <v>53365</v>
      </c>
      <c r="D7" s="220"/>
      <c r="E7" s="218"/>
      <c r="F7" s="221">
        <f>IF(项目基本情况!B8="出让",0,'数据-取费表'!B48+'数据-取费表'!B49)</f>
        <v>3.0499999999999999E-2</v>
      </c>
      <c r="G7" s="219"/>
      <c r="I7" s="214">
        <f>'土地比较法-住宅、综合'!B56</f>
        <v>20132</v>
      </c>
    </row>
    <row r="8" spans="1:9" s="223" customFormat="1">
      <c r="A8" s="778" t="s">
        <v>1476</v>
      </c>
      <c r="B8" s="215" t="s">
        <v>1477</v>
      </c>
      <c r="C8" s="220">
        <f ca="1">IF(G8="已包含在土地购买价格中",0,C9+C10)</f>
        <v>13037</v>
      </c>
      <c r="D8" s="222"/>
      <c r="E8" s="220"/>
      <c r="F8" s="221"/>
      <c r="G8" s="1854" t="s">
        <v>3907</v>
      </c>
    </row>
    <row r="9" spans="1:9" s="214" customFormat="1" ht="13.5" customHeight="1">
      <c r="A9" s="779" t="s">
        <v>355</v>
      </c>
      <c r="B9" s="224" t="s">
        <v>1478</v>
      </c>
      <c r="C9" s="225">
        <f ca="1">ROUND(D9*E9,0)</f>
        <v>13037</v>
      </c>
      <c r="D9" s="845">
        <f ca="1">IF(B1="",'数据-汇总表'!E5,IF(INDIRECT("'数据-取费表'!c"&amp;$G$1)="住宅",INDIRECT("'数据-取费表'!k"&amp;$G$1),0))</f>
        <v>86.91</v>
      </c>
      <c r="E9" s="225">
        <f>'数据-取费表'!B27</f>
        <v>150</v>
      </c>
      <c r="F9" s="221"/>
      <c r="G9" s="226"/>
    </row>
    <row r="10" spans="1:9"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86.91</v>
      </c>
      <c r="E19" s="211">
        <f>'数据-取费表'!B31</f>
        <v>200</v>
      </c>
      <c r="F19" s="231"/>
      <c r="G19" s="1854" t="s">
        <v>3909</v>
      </c>
    </row>
    <row r="20" spans="1:7" s="214" customFormat="1" ht="13.5" customHeight="1">
      <c r="A20" s="255" t="s">
        <v>1574</v>
      </c>
      <c r="B20" s="210" t="s">
        <v>1575</v>
      </c>
      <c r="C20" s="232">
        <f ca="1">ROUND((C5+C19)*F20,0)</f>
        <v>36321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132519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131230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1289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277859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277859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2317703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398048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347640</v>
      </c>
      <c r="D34" s="217"/>
      <c r="E34" s="220"/>
      <c r="F34" s="257"/>
      <c r="G34" s="219"/>
    </row>
    <row r="35" spans="1:7" ht="13.5" customHeight="1">
      <c r="A35" s="780" t="s">
        <v>351</v>
      </c>
      <c r="B35" s="215" t="s">
        <v>1527</v>
      </c>
      <c r="C35" s="220">
        <f ca="1">ROUND(C34*F35,0)</f>
        <v>10429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17382</v>
      </c>
      <c r="D36" s="220"/>
      <c r="E36" s="220"/>
      <c r="F36" s="259">
        <f>'数据-取费表'!B34</f>
        <v>0.05</v>
      </c>
      <c r="G36" s="260" t="s">
        <v>1530</v>
      </c>
    </row>
    <row r="37" spans="1:7" s="258" customFormat="1" ht="13.5" customHeight="1">
      <c r="A37" s="780" t="s">
        <v>353</v>
      </c>
      <c r="B37" s="215" t="s">
        <v>1531</v>
      </c>
      <c r="C37" s="249">
        <f ca="1">ROUND(E37*D37,0)</f>
        <v>17382</v>
      </c>
      <c r="D37" s="217">
        <f ca="1">D19</f>
        <v>86.91</v>
      </c>
      <c r="E37" s="249">
        <f>'数据-取费表'!B35</f>
        <v>200</v>
      </c>
      <c r="F37" s="259"/>
      <c r="G37" s="261"/>
    </row>
    <row r="38" spans="1:7" ht="13.5" customHeight="1">
      <c r="A38" s="780" t="s">
        <v>354</v>
      </c>
      <c r="B38" s="215" t="s">
        <v>1533</v>
      </c>
      <c r="C38" s="220">
        <f ca="1">ROUND(C34*F38,0)</f>
        <v>5215</v>
      </c>
      <c r="D38" s="220"/>
      <c r="E38" s="220"/>
      <c r="F38" s="259">
        <f>'数据-取费表'!B36</f>
        <v>1.4999999999999999E-2</v>
      </c>
      <c r="G38" s="219" t="s">
        <v>1528</v>
      </c>
    </row>
    <row r="39" spans="1:7" s="214" customFormat="1" ht="13.5" customHeight="1">
      <c r="A39" s="255" t="s">
        <v>1534</v>
      </c>
      <c r="B39" s="210" t="s">
        <v>1535</v>
      </c>
      <c r="C39" s="232">
        <f ca="1">ROUND(C33*F20,0)</f>
        <v>7961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14414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14131</v>
      </c>
      <c r="D42" s="238"/>
      <c r="E42" s="238"/>
      <c r="F42" s="239"/>
      <c r="G42" s="3824" t="s">
        <v>1591</v>
      </c>
    </row>
    <row r="43" spans="1:7" ht="13.5" customHeight="1">
      <c r="A43" s="780" t="s">
        <v>347</v>
      </c>
      <c r="B43" s="215" t="s">
        <v>1545</v>
      </c>
      <c r="C43" s="238">
        <f ca="1">ROUND(IF('数据-取费表'!B22&lt;=1,C39*F22*'数据-取费表'!B20/2,C39*(POWER((1+F22),'数据-取费表'!B20/2)-1)),0)</f>
        <v>283</v>
      </c>
      <c r="D43" s="238"/>
      <c r="E43" s="238"/>
      <c r="F43" s="239"/>
      <c r="G43" s="3825"/>
    </row>
    <row r="44" spans="1:7" ht="13.5" customHeight="1">
      <c r="A44" s="780" t="s">
        <v>348</v>
      </c>
      <c r="B44" s="215" t="s">
        <v>1546</v>
      </c>
      <c r="C44" s="238">
        <f ca="1">ROUND(IF('数据-取费表'!B22&lt;=1,C40*F22*'数据-取费表'!B20/2,C40*(POWER((1+F22),'数据-取费表'!B20/2)-1)),4)</f>
        <v>6.9999999999999999E-4</v>
      </c>
      <c r="D44" s="238"/>
      <c r="E44" s="238"/>
      <c r="F44" s="239"/>
      <c r="G44" s="3826"/>
    </row>
    <row r="45" spans="1:7" s="214" customFormat="1" ht="13.5" customHeight="1">
      <c r="A45" s="255" t="s">
        <v>1547</v>
      </c>
      <c r="B45" s="244" t="s">
        <v>1513</v>
      </c>
      <c r="C45" s="245">
        <f ca="1">C46</f>
        <v>60901</v>
      </c>
      <c r="D45" s="235">
        <f ca="1">C47</f>
        <v>3.0000000000000001E-3</v>
      </c>
      <c r="E45" s="236" t="s">
        <v>1539</v>
      </c>
      <c r="F45" s="246">
        <f ca="1">F27</f>
        <v>0.15</v>
      </c>
      <c r="G45" s="247" t="s">
        <v>1548</v>
      </c>
    </row>
    <row r="46" spans="1:7" s="214" customFormat="1" ht="13.5" customHeight="1">
      <c r="A46" s="780" t="s">
        <v>346</v>
      </c>
      <c r="B46" s="248" t="s">
        <v>1549</v>
      </c>
      <c r="C46" s="249">
        <f ca="1">ROUND((C33+C39)*F27,0)</f>
        <v>60901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493008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493008</v>
      </c>
      <c r="D51" s="232"/>
      <c r="E51" s="232"/>
      <c r="F51" s="264"/>
      <c r="G51" s="234" t="s">
        <v>1560</v>
      </c>
    </row>
    <row r="52" spans="1:7" s="208" customFormat="1" ht="16.5" thickBot="1">
      <c r="A52" s="265" t="s">
        <v>1561</v>
      </c>
      <c r="B52" s="266"/>
      <c r="C52" s="267">
        <f ca="1">C31+C51</f>
        <v>2810711</v>
      </c>
      <c r="D52" s="266"/>
      <c r="E52" s="266"/>
      <c r="F52" s="266"/>
      <c r="G52" s="268"/>
    </row>
    <row r="55" spans="1:7" ht="15">
      <c r="B55" s="270" t="s">
        <v>1562</v>
      </c>
      <c r="C55" s="271"/>
    </row>
    <row r="56" spans="1:7">
      <c r="B56" s="273" t="s">
        <v>802</v>
      </c>
      <c r="C56" s="275">
        <f ca="1">1-C57</f>
        <v>0.82499999999999996</v>
      </c>
    </row>
    <row r="57" spans="1:7">
      <c r="B57" s="273" t="s">
        <v>803</v>
      </c>
      <c r="C57" s="274">
        <f ca="1">ROUND(C51/C52,3)</f>
        <v>0.17499999999999999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I116" sqref="I11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179</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10156</v>
      </c>
      <c r="C3" s="203" t="s">
        <v>1869</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96" t="s">
        <v>1770</v>
      </c>
      <c r="D4" s="3797"/>
      <c r="E4" s="3798" t="s">
        <v>1771</v>
      </c>
      <c r="F4" s="3799"/>
      <c r="G4" s="3796" t="s">
        <v>1772</v>
      </c>
      <c r="H4" s="3797"/>
      <c r="I4" s="3796" t="s">
        <v>1773</v>
      </c>
      <c r="J4" s="3797"/>
      <c r="K4" s="559" t="s">
        <v>1774</v>
      </c>
      <c r="L4" s="2710"/>
      <c r="M4" s="2711"/>
      <c r="N4" s="2711"/>
      <c r="O4" s="2711"/>
      <c r="P4" s="3800" t="s">
        <v>1775</v>
      </c>
      <c r="Q4" s="3801"/>
      <c r="R4" s="3806" t="s">
        <v>1771</v>
      </c>
      <c r="S4" s="3807"/>
      <c r="T4" s="3806" t="s">
        <v>1772</v>
      </c>
      <c r="U4" s="3807"/>
      <c r="V4" s="3812" t="s">
        <v>1773</v>
      </c>
      <c r="W4" s="3812"/>
      <c r="X4" s="1353"/>
      <c r="Y4" s="3806" t="s">
        <v>1775</v>
      </c>
      <c r="Z4" s="3807"/>
      <c r="AA4" s="3793" t="s">
        <v>1771</v>
      </c>
      <c r="AB4" s="3794" t="s">
        <v>1772</v>
      </c>
      <c r="AC4" s="3793" t="s">
        <v>1773</v>
      </c>
    </row>
    <row r="5" spans="1:30" ht="15">
      <c r="A5" s="358"/>
      <c r="B5" s="359"/>
      <c r="C5" s="3815" t="s">
        <v>1673</v>
      </c>
      <c r="D5" s="3816"/>
      <c r="E5" s="3822" t="str">
        <f>土地案例!$A$3</f>
        <v>北京市大兴区大兴新城西片区一期A组团土地一级开发项目DX00-0407-0002地块R2二类居住用地</v>
      </c>
      <c r="F5" s="3823"/>
      <c r="G5" s="3815" t="str">
        <f>土地案例!$A$15</f>
        <v>北京市房山区良乡大学城主园区FS00-0120-0023地块R2二类居住用地</v>
      </c>
      <c r="H5" s="3816"/>
      <c r="I5" s="3815" t="str">
        <f>土地案例!$A$17</f>
        <v>北京市门头沟区永定镇南区棚户区改造和环境整治项目MC00-0015-6050地块R2二类居住用地</v>
      </c>
      <c r="J5" s="3816"/>
      <c r="K5" s="559"/>
      <c r="L5" s="2710"/>
      <c r="M5" s="2711"/>
      <c r="N5" s="2711"/>
      <c r="O5" s="2711"/>
      <c r="P5" s="3802"/>
      <c r="Q5" s="3803"/>
      <c r="R5" s="3808"/>
      <c r="S5" s="3809"/>
      <c r="T5" s="3808"/>
      <c r="U5" s="3809"/>
      <c r="V5" s="3812"/>
      <c r="W5" s="3812"/>
      <c r="X5" s="1353"/>
      <c r="Y5" s="3808"/>
      <c r="Z5" s="3809"/>
      <c r="AA5" s="3794"/>
      <c r="AB5" s="3794"/>
      <c r="AC5" s="3794"/>
    </row>
    <row r="6" spans="1:30" ht="15.75" thickBot="1">
      <c r="A6" s="360"/>
      <c r="B6" s="361"/>
      <c r="C6" s="3813" t="s">
        <v>1677</v>
      </c>
      <c r="D6" s="3814"/>
      <c r="E6" s="3820" t="s">
        <v>1677</v>
      </c>
      <c r="F6" s="3821"/>
      <c r="G6" s="3813" t="s">
        <v>1677</v>
      </c>
      <c r="H6" s="3814"/>
      <c r="I6" s="3813" t="s">
        <v>1677</v>
      </c>
      <c r="J6" s="3814"/>
      <c r="K6" s="559" t="s">
        <v>1678</v>
      </c>
      <c r="L6" s="2710"/>
      <c r="M6" s="2711"/>
      <c r="N6" s="2711"/>
      <c r="O6" s="2711"/>
      <c r="P6" s="3804"/>
      <c r="Q6" s="3805"/>
      <c r="R6" s="3808"/>
      <c r="S6" s="3809"/>
      <c r="T6" s="3810"/>
      <c r="U6" s="3811"/>
      <c r="V6" s="3812"/>
      <c r="W6" s="3812"/>
      <c r="X6" s="1353"/>
      <c r="Y6" s="3810"/>
      <c r="Z6" s="3811"/>
      <c r="AA6" s="3795"/>
      <c r="AB6" s="3795"/>
      <c r="AC6" s="3795"/>
    </row>
    <row r="7" spans="1:30" s="108" customFormat="1" ht="15.75" thickBot="1">
      <c r="A7" s="362" t="s">
        <v>1679</v>
      </c>
      <c r="B7" s="363"/>
      <c r="C7" s="364">
        <f>'数据-取费表'!B2</f>
        <v>45126</v>
      </c>
      <c r="D7" s="365">
        <v>100</v>
      </c>
      <c r="E7" s="366" t="str">
        <f>土地案例!$AB$3</f>
        <v>2023-06-20</v>
      </c>
      <c r="F7" s="367">
        <f>SUMIF(69:69,YEAR(E7)&amp;"-"&amp;INT((MONTH(E7)+2)/3),70:70)</f>
        <v>99.5</v>
      </c>
      <c r="G7" s="1969" t="str">
        <f>土地案例!$AB$15</f>
        <v>2023-02-07</v>
      </c>
      <c r="H7" s="365">
        <f>SUMIF(69:69,YEAR(G7)&amp;"-"&amp;INT((MONTH(G7)+2)/3),70:70)</f>
        <v>99</v>
      </c>
      <c r="I7" s="1969" t="str">
        <f>土地案例!$AB$17</f>
        <v>2022-11-28</v>
      </c>
      <c r="J7" s="365">
        <f>SUMIF(69:69,YEAR(I7)&amp;"-"&amp;INT((MONTH(I7)+2)/3),70:70)</f>
        <v>98.5</v>
      </c>
      <c r="K7" s="560"/>
      <c r="L7" s="2712"/>
      <c r="M7" s="2713"/>
      <c r="N7" s="2713"/>
      <c r="O7" s="2713"/>
      <c r="P7" s="3817" t="s">
        <v>1680</v>
      </c>
      <c r="Q7" s="3819"/>
      <c r="R7" s="701" t="s">
        <v>14</v>
      </c>
      <c r="S7" s="702">
        <f t="shared" ref="S7:S15" si="0">F7</f>
        <v>99.5</v>
      </c>
      <c r="T7" s="701" t="s">
        <v>14</v>
      </c>
      <c r="U7" s="702">
        <f t="shared" ref="U7:U15" si="1">H7</f>
        <v>99</v>
      </c>
      <c r="V7" s="701" t="s">
        <v>14</v>
      </c>
      <c r="W7" s="702">
        <f t="shared" ref="W7:W15" si="2">J7</f>
        <v>98.5</v>
      </c>
      <c r="X7" s="703"/>
      <c r="Y7" s="3817" t="s">
        <v>1680</v>
      </c>
      <c r="Z7" s="3818"/>
      <c r="AA7" s="704">
        <f>D7/F7</f>
        <v>1.0050251256281406</v>
      </c>
      <c r="AB7" s="704">
        <f>D7/H7</f>
        <v>1.0101010101010102</v>
      </c>
      <c r="AC7" s="704">
        <f>D7/J7</f>
        <v>1.015228426395939</v>
      </c>
    </row>
    <row r="8" spans="1:30" s="108" customFormat="1" ht="15.75" thickBot="1">
      <c r="A8" s="362" t="s">
        <v>1681</v>
      </c>
      <c r="B8" s="363"/>
      <c r="C8" s="368" t="s">
        <v>1682</v>
      </c>
      <c r="D8" s="365">
        <v>100</v>
      </c>
      <c r="E8" s="368" t="s">
        <v>3899</v>
      </c>
      <c r="F8" s="367">
        <f>SUMIF(72:72,E8,73:73)-SUMIF(72:72,C8,73:73)+100</f>
        <v>100</v>
      </c>
      <c r="G8" s="368" t="s">
        <v>3899</v>
      </c>
      <c r="H8" s="365">
        <f>SUMIF(72:72,G8,73:73)-SUMIF(72:72,C8,73:73)+100</f>
        <v>100</v>
      </c>
      <c r="I8" s="368" t="s">
        <v>3899</v>
      </c>
      <c r="J8" s="365">
        <f>SUMIF(72:72,I8,73:73)-SUMIF(72:72,C8,73:73)+100</f>
        <v>100</v>
      </c>
      <c r="K8" s="560"/>
      <c r="L8" s="2712"/>
      <c r="M8" s="2713"/>
      <c r="N8" s="2713"/>
      <c r="O8" s="2713"/>
      <c r="P8" s="3817" t="s">
        <v>1683</v>
      </c>
      <c r="Q8" s="3818"/>
      <c r="R8" s="701" t="s">
        <v>14</v>
      </c>
      <c r="S8" s="702">
        <f t="shared" si="0"/>
        <v>100</v>
      </c>
      <c r="T8" s="701" t="s">
        <v>14</v>
      </c>
      <c r="U8" s="702">
        <f t="shared" si="1"/>
        <v>100</v>
      </c>
      <c r="V8" s="701" t="s">
        <v>14</v>
      </c>
      <c r="W8" s="702">
        <f t="shared" si="2"/>
        <v>100</v>
      </c>
      <c r="X8" s="703"/>
      <c r="Y8" s="3817" t="s">
        <v>1683</v>
      </c>
      <c r="Z8" s="3818"/>
      <c r="AA8" s="704">
        <f t="shared" ref="AA8:AA45" si="3">D8/F8</f>
        <v>1</v>
      </c>
      <c r="AB8" s="704">
        <f t="shared" ref="AB8:AB45" si="4">D8/H8</f>
        <v>1</v>
      </c>
      <c r="AC8" s="704">
        <f t="shared" ref="AC8:AC45" si="5">D8/J8</f>
        <v>1</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781" t="s">
        <v>1686</v>
      </c>
      <c r="Q9" s="1341"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81"/>
      <c r="Q10" s="1341" t="str">
        <f t="shared" si="6"/>
        <v>土地使用年限（年）</v>
      </c>
      <c r="R10" s="701" t="s">
        <v>14</v>
      </c>
      <c r="S10" s="702">
        <f t="shared" si="0"/>
        <v>101</v>
      </c>
      <c r="T10" s="701" t="s">
        <v>14</v>
      </c>
      <c r="U10" s="702">
        <f t="shared" si="1"/>
        <v>101</v>
      </c>
      <c r="V10" s="701" t="s">
        <v>14</v>
      </c>
      <c r="W10" s="702">
        <f t="shared" si="2"/>
        <v>101</v>
      </c>
      <c r="X10" s="703"/>
      <c r="Y10" s="3685"/>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v>1.85</v>
      </c>
      <c r="D11" s="127">
        <v>100</v>
      </c>
      <c r="E11" s="380">
        <f>土地案例!$J$3</f>
        <v>1.6</v>
      </c>
      <c r="F11" s="127">
        <f>LOOKUP(E11,79:79,80:80)-LOOKUP(C11,79:79,80:80)+100</f>
        <v>100</v>
      </c>
      <c r="G11" s="381">
        <f>土地案例!$J$15</f>
        <v>2.5</v>
      </c>
      <c r="H11" s="127">
        <f>LOOKUP(G11,79:79,80:80)-LOOKUP(C11,79:79,80:80)+100</f>
        <v>98</v>
      </c>
      <c r="I11" s="380">
        <f>土地案例!$J$17</f>
        <v>1.4</v>
      </c>
      <c r="J11" s="127">
        <f>LOOKUP(I11,79:79,80:80)-LOOKUP(C11,79:79,80:80)+100</f>
        <v>100</v>
      </c>
      <c r="K11" s="621">
        <v>2</v>
      </c>
      <c r="L11" s="2716"/>
      <c r="M11" s="2711"/>
      <c r="N11" s="2711"/>
      <c r="O11" s="2769"/>
      <c r="P11" s="3781"/>
      <c r="Q11" s="1341" t="str">
        <f t="shared" si="6"/>
        <v>容积率</v>
      </c>
      <c r="R11" s="701" t="s">
        <v>14</v>
      </c>
      <c r="S11" s="702">
        <f t="shared" si="0"/>
        <v>100</v>
      </c>
      <c r="T11" s="701" t="s">
        <v>14</v>
      </c>
      <c r="U11" s="702">
        <f t="shared" si="1"/>
        <v>98</v>
      </c>
      <c r="V11" s="701" t="s">
        <v>14</v>
      </c>
      <c r="W11" s="702">
        <f t="shared" si="2"/>
        <v>100</v>
      </c>
      <c r="X11" s="703"/>
      <c r="Y11" s="3685"/>
      <c r="Z11" s="52" t="str">
        <f t="shared" si="7"/>
        <v>容积率</v>
      </c>
      <c r="AA11" s="704">
        <f t="shared" si="3"/>
        <v>1</v>
      </c>
      <c r="AB11" s="704">
        <f t="shared" si="4"/>
        <v>1.0204081632653061</v>
      </c>
      <c r="AC11" s="704">
        <f t="shared" si="5"/>
        <v>1</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81"/>
      <c r="Q12" s="1341" t="str">
        <f t="shared" si="6"/>
        <v>配建</v>
      </c>
      <c r="R12" s="701" t="s">
        <v>14</v>
      </c>
      <c r="S12" s="702">
        <f t="shared" si="0"/>
        <v>100</v>
      </c>
      <c r="T12" s="701" t="s">
        <v>14</v>
      </c>
      <c r="U12" s="702">
        <f t="shared" si="1"/>
        <v>100</v>
      </c>
      <c r="V12" s="701" t="s">
        <v>14</v>
      </c>
      <c r="W12" s="702">
        <f t="shared" si="2"/>
        <v>100</v>
      </c>
      <c r="X12" s="703"/>
      <c r="Y12" s="3685"/>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81"/>
      <c r="Q13" s="1341">
        <f t="shared" si="6"/>
        <v>111</v>
      </c>
      <c r="R13" s="701" t="s">
        <v>14</v>
      </c>
      <c r="S13" s="702">
        <f t="shared" si="0"/>
        <v>100</v>
      </c>
      <c r="T13" s="701" t="s">
        <v>14</v>
      </c>
      <c r="U13" s="702">
        <f t="shared" si="1"/>
        <v>100</v>
      </c>
      <c r="V13" s="701" t="s">
        <v>14</v>
      </c>
      <c r="W13" s="702">
        <f t="shared" si="2"/>
        <v>100</v>
      </c>
      <c r="X13" s="703"/>
      <c r="Y13" s="3685"/>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81"/>
      <c r="Q14" s="1341">
        <f t="shared" si="6"/>
        <v>111</v>
      </c>
      <c r="R14" s="701" t="s">
        <v>14</v>
      </c>
      <c r="S14" s="702">
        <f t="shared" si="0"/>
        <v>100</v>
      </c>
      <c r="T14" s="701" t="s">
        <v>14</v>
      </c>
      <c r="U14" s="702">
        <f t="shared" si="1"/>
        <v>100</v>
      </c>
      <c r="V14" s="701" t="s">
        <v>14</v>
      </c>
      <c r="W14" s="702">
        <f t="shared" si="2"/>
        <v>100</v>
      </c>
      <c r="X14" s="703"/>
      <c r="Y14" s="3685"/>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105</v>
      </c>
      <c r="G15" s="393"/>
      <c r="H15" s="392">
        <f>SUMIF(87:87,G16,88:88)-SUMIF(87:87,C16,88:88)+100</f>
        <v>110</v>
      </c>
      <c r="I15" s="395"/>
      <c r="J15" s="392">
        <f>SUMIF(87:87,I16,88:88)-SUMIF(87:87,C16,88:88)+100</f>
        <v>110</v>
      </c>
      <c r="K15" s="621">
        <v>5</v>
      </c>
      <c r="L15" s="2717"/>
      <c r="M15" s="2711"/>
      <c r="N15" s="2711"/>
      <c r="O15" s="2769"/>
      <c r="P15" s="3783" t="s">
        <v>1691</v>
      </c>
      <c r="Q15" s="1350" t="str">
        <f t="shared" si="6"/>
        <v>居住社区成熟度</v>
      </c>
      <c r="R15" s="705" t="s">
        <v>14</v>
      </c>
      <c r="S15" s="706">
        <f t="shared" si="0"/>
        <v>105</v>
      </c>
      <c r="T15" s="705" t="s">
        <v>14</v>
      </c>
      <c r="U15" s="706">
        <f t="shared" si="1"/>
        <v>110</v>
      </c>
      <c r="V15" s="705" t="s">
        <v>14</v>
      </c>
      <c r="W15" s="706">
        <f t="shared" si="2"/>
        <v>110</v>
      </c>
      <c r="X15" s="1353"/>
      <c r="Y15" s="3783" t="s">
        <v>1691</v>
      </c>
      <c r="Z15" s="1354" t="str">
        <f t="shared" si="7"/>
        <v>居住社区成熟度</v>
      </c>
      <c r="AA15" s="1351">
        <f t="shared" si="3"/>
        <v>0.95238095238095233</v>
      </c>
      <c r="AB15" s="1351">
        <f t="shared" si="4"/>
        <v>0.90909090909090906</v>
      </c>
      <c r="AC15" s="1351">
        <f t="shared" si="5"/>
        <v>0.90909090909090906</v>
      </c>
    </row>
    <row r="16" spans="1:30" ht="15">
      <c r="A16" s="379"/>
      <c r="B16" s="397"/>
      <c r="C16" s="3455" t="s">
        <v>4902</v>
      </c>
      <c r="D16" s="399"/>
      <c r="E16" s="3456" t="s">
        <v>3911</v>
      </c>
      <c r="F16" s="399"/>
      <c r="G16" s="3456" t="s">
        <v>3910</v>
      </c>
      <c r="H16" s="401"/>
      <c r="I16" s="3457" t="s">
        <v>3910</v>
      </c>
      <c r="J16" s="399"/>
      <c r="K16" s="620"/>
      <c r="L16" s="2717"/>
      <c r="M16" s="2711"/>
      <c r="N16" s="2711"/>
      <c r="O16" s="2769"/>
      <c r="P16" s="3784"/>
      <c r="Q16" s="1350"/>
      <c r="R16" s="705"/>
      <c r="S16" s="706"/>
      <c r="T16" s="705"/>
      <c r="U16" s="706"/>
      <c r="V16" s="705"/>
      <c r="W16" s="706"/>
      <c r="X16" s="1353"/>
      <c r="Y16" s="3784"/>
      <c r="Z16" s="1354"/>
      <c r="AA16" s="1351">
        <v>1</v>
      </c>
      <c r="AB16" s="1351">
        <v>1</v>
      </c>
      <c r="AC16" s="1351">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7"/>
      <c r="M17" s="2711"/>
      <c r="N17" s="2711"/>
      <c r="O17" s="2769"/>
      <c r="P17" s="3784"/>
      <c r="Q17" s="1350" t="str">
        <f>B17</f>
        <v>商业繁华度</v>
      </c>
      <c r="R17" s="705" t="s">
        <v>14</v>
      </c>
      <c r="S17" s="706">
        <f>F17</f>
        <v>100</v>
      </c>
      <c r="T17" s="705" t="s">
        <v>14</v>
      </c>
      <c r="U17" s="706">
        <f>H17</f>
        <v>100</v>
      </c>
      <c r="V17" s="705" t="s">
        <v>14</v>
      </c>
      <c r="W17" s="706">
        <f>J17</f>
        <v>100</v>
      </c>
      <c r="X17" s="1353"/>
      <c r="Y17" s="3784"/>
      <c r="Z17" s="1354" t="str">
        <f>Q17</f>
        <v>商业繁华度</v>
      </c>
      <c r="AA17" s="1351">
        <f t="shared" si="3"/>
        <v>1</v>
      </c>
      <c r="AB17" s="1351">
        <f t="shared" si="4"/>
        <v>1</v>
      </c>
      <c r="AC17" s="1351">
        <f t="shared" si="5"/>
        <v>1</v>
      </c>
    </row>
    <row r="18" spans="1:29" ht="15">
      <c r="A18" s="379"/>
      <c r="B18" s="407"/>
      <c r="C18" s="1898"/>
      <c r="D18" s="401"/>
      <c r="E18" s="1900"/>
      <c r="F18" s="401"/>
      <c r="G18" s="1900"/>
      <c r="H18" s="399"/>
      <c r="I18" s="1899"/>
      <c r="J18" s="399"/>
      <c r="K18" s="620"/>
      <c r="L18" s="2717"/>
      <c r="M18" s="2711"/>
      <c r="N18" s="2711"/>
      <c r="O18" s="2769"/>
      <c r="P18" s="3784"/>
      <c r="Q18" s="1350"/>
      <c r="R18" s="705"/>
      <c r="S18" s="706"/>
      <c r="T18" s="705"/>
      <c r="U18" s="706"/>
      <c r="V18" s="705"/>
      <c r="W18" s="706"/>
      <c r="X18" s="1353"/>
      <c r="Y18" s="3784"/>
      <c r="Z18" s="1354"/>
      <c r="AA18" s="1351">
        <v>1</v>
      </c>
      <c r="AB18" s="1351">
        <v>1</v>
      </c>
      <c r="AC18" s="1351">
        <v>1</v>
      </c>
    </row>
    <row r="19" spans="1:29" ht="71.25">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7"/>
      <c r="M19" s="2711"/>
      <c r="N19" s="2711"/>
      <c r="O19" s="2769"/>
      <c r="P19" s="3784"/>
      <c r="Q19" s="1350" t="str">
        <f>B19</f>
        <v>办公集聚程度</v>
      </c>
      <c r="R19" s="705" t="s">
        <v>14</v>
      </c>
      <c r="S19" s="706">
        <f>F19</f>
        <v>100</v>
      </c>
      <c r="T19" s="705" t="s">
        <v>14</v>
      </c>
      <c r="U19" s="706">
        <f>H19</f>
        <v>100</v>
      </c>
      <c r="V19" s="705" t="s">
        <v>14</v>
      </c>
      <c r="W19" s="706">
        <f>J19</f>
        <v>100</v>
      </c>
      <c r="X19" s="1353"/>
      <c r="Y19" s="3784"/>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7"/>
      <c r="M20" s="2711"/>
      <c r="N20" s="2711"/>
      <c r="O20" s="2769"/>
      <c r="P20" s="3784"/>
      <c r="Q20" s="1350"/>
      <c r="R20" s="705"/>
      <c r="S20" s="706"/>
      <c r="T20" s="705"/>
      <c r="U20" s="706"/>
      <c r="V20" s="705"/>
      <c r="W20" s="706"/>
      <c r="X20" s="1353"/>
      <c r="Y20" s="3784"/>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106</v>
      </c>
      <c r="I21" s="405"/>
      <c r="J21" s="401">
        <f>SUMIF(93:93,I22,94:94)-SUMIF(93:93,C22,94:94)+100</f>
        <v>106</v>
      </c>
      <c r="K21" s="621">
        <v>3</v>
      </c>
      <c r="L21" s="2717"/>
      <c r="M21" s="2711"/>
      <c r="N21" s="2711"/>
      <c r="O21" s="2769"/>
      <c r="P21" s="3784"/>
      <c r="Q21" s="1350" t="str">
        <f>B21</f>
        <v>交通便捷度</v>
      </c>
      <c r="R21" s="705" t="s">
        <v>14</v>
      </c>
      <c r="S21" s="706">
        <f>F21</f>
        <v>103</v>
      </c>
      <c r="T21" s="705" t="s">
        <v>14</v>
      </c>
      <c r="U21" s="706">
        <f>H21</f>
        <v>106</v>
      </c>
      <c r="V21" s="705" t="s">
        <v>14</v>
      </c>
      <c r="W21" s="706">
        <f>J21</f>
        <v>106</v>
      </c>
      <c r="X21" s="1353"/>
      <c r="Y21" s="3784"/>
      <c r="Z21" s="1354" t="str">
        <f>Q21</f>
        <v>交通便捷度</v>
      </c>
      <c r="AA21" s="1351">
        <f t="shared" si="3"/>
        <v>0.970873786407767</v>
      </c>
      <c r="AB21" s="1351">
        <f t="shared" si="4"/>
        <v>0.94339622641509435</v>
      </c>
      <c r="AC21" s="1351">
        <f t="shared" si="5"/>
        <v>0.94339622641509435</v>
      </c>
    </row>
    <row r="22" spans="1:29" ht="15">
      <c r="A22" s="379"/>
      <c r="B22" s="1130"/>
      <c r="C22" s="3455" t="s">
        <v>4902</v>
      </c>
      <c r="D22" s="401"/>
      <c r="E22" s="3456" t="s">
        <v>3911</v>
      </c>
      <c r="F22" s="399"/>
      <c r="G22" s="3456" t="s">
        <v>3910</v>
      </c>
      <c r="H22" s="399"/>
      <c r="I22" s="3457" t="s">
        <v>3910</v>
      </c>
      <c r="J22" s="399"/>
      <c r="K22" s="620"/>
      <c r="L22" s="2717"/>
      <c r="M22" s="2711"/>
      <c r="N22" s="2711"/>
      <c r="O22" s="2769"/>
      <c r="P22" s="3784"/>
      <c r="Q22" s="1350"/>
      <c r="R22" s="705"/>
      <c r="S22" s="706"/>
      <c r="T22" s="705"/>
      <c r="U22" s="706"/>
      <c r="V22" s="705"/>
      <c r="W22" s="706"/>
      <c r="X22" s="1353"/>
      <c r="Y22" s="3784"/>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784"/>
      <c r="Q23" s="1350" t="str">
        <f t="shared" ref="Q23:Q37" si="8">B23</f>
        <v>区域土地利用方向</v>
      </c>
      <c r="R23" s="705" t="s">
        <v>14</v>
      </c>
      <c r="S23" s="706">
        <f>F23</f>
        <v>100</v>
      </c>
      <c r="T23" s="705" t="s">
        <v>14</v>
      </c>
      <c r="U23" s="706">
        <f>H23</f>
        <v>100</v>
      </c>
      <c r="V23" s="705" t="s">
        <v>14</v>
      </c>
      <c r="W23" s="706">
        <f>J23</f>
        <v>100</v>
      </c>
      <c r="X23" s="1353"/>
      <c r="Y23" s="3784"/>
      <c r="Z23" s="1354" t="str">
        <f>Q23</f>
        <v>区域土地利用方向</v>
      </c>
      <c r="AA23" s="1351">
        <f t="shared" si="3"/>
        <v>1</v>
      </c>
      <c r="AB23" s="1351">
        <f t="shared" si="4"/>
        <v>1</v>
      </c>
      <c r="AC23" s="1351">
        <f t="shared" si="5"/>
        <v>1</v>
      </c>
    </row>
    <row r="24" spans="1:29" ht="15">
      <c r="A24" s="358"/>
      <c r="B24" s="407"/>
      <c r="C24" s="3458" t="s">
        <v>3910</v>
      </c>
      <c r="D24" s="399"/>
      <c r="E24" s="3456" t="s">
        <v>3912</v>
      </c>
      <c r="F24" s="399"/>
      <c r="G24" s="3457" t="s">
        <v>3910</v>
      </c>
      <c r="H24" s="399"/>
      <c r="I24" s="3457" t="s">
        <v>3910</v>
      </c>
      <c r="J24" s="399"/>
      <c r="K24" s="740"/>
      <c r="L24" s="2717"/>
      <c r="M24" s="2711"/>
      <c r="N24" s="2711"/>
      <c r="O24" s="2769"/>
      <c r="P24" s="3784"/>
      <c r="Q24" s="1350"/>
      <c r="R24" s="705"/>
      <c r="S24" s="706"/>
      <c r="T24" s="705"/>
      <c r="U24" s="706"/>
      <c r="V24" s="705"/>
      <c r="W24" s="706"/>
      <c r="X24" s="1353"/>
      <c r="Y24" s="3784"/>
      <c r="Z24" s="1354"/>
      <c r="AA24" s="1351"/>
      <c r="AB24" s="1351"/>
      <c r="AC24" s="1351"/>
    </row>
    <row r="25" spans="1:29" ht="57">
      <c r="A25" s="358"/>
      <c r="B25" s="1130"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103</v>
      </c>
      <c r="I25" s="405"/>
      <c r="J25" s="401">
        <f>SUMIF(97:97,I26,98:98)-SUMIF(97:97,C26,98:98)+100</f>
        <v>100</v>
      </c>
      <c r="K25" s="621">
        <v>3</v>
      </c>
      <c r="L25" s="2717"/>
      <c r="M25" s="2711"/>
      <c r="N25" s="2711"/>
      <c r="O25" s="2769"/>
      <c r="P25" s="3784"/>
      <c r="Q25" s="1350" t="str">
        <f t="shared" si="8"/>
        <v>自然及人文环境状况</v>
      </c>
      <c r="R25" s="705" t="s">
        <v>14</v>
      </c>
      <c r="S25" s="706">
        <f>F25</f>
        <v>100</v>
      </c>
      <c r="T25" s="705" t="s">
        <v>14</v>
      </c>
      <c r="U25" s="706">
        <f>H25</f>
        <v>103</v>
      </c>
      <c r="V25" s="705" t="s">
        <v>14</v>
      </c>
      <c r="W25" s="706">
        <f>J25</f>
        <v>100</v>
      </c>
      <c r="X25" s="1353"/>
      <c r="Y25" s="3784"/>
      <c r="Z25" s="1354" t="str">
        <f>Q25</f>
        <v>自然及人文环境状况</v>
      </c>
      <c r="AA25" s="1351">
        <f t="shared" si="3"/>
        <v>1</v>
      </c>
      <c r="AB25" s="1351">
        <f t="shared" si="4"/>
        <v>0.970873786407767</v>
      </c>
      <c r="AC25" s="1351">
        <f t="shared" si="5"/>
        <v>1</v>
      </c>
    </row>
    <row r="26" spans="1:29" ht="15">
      <c r="A26" s="358"/>
      <c r="B26" s="407"/>
      <c r="C26" s="3455" t="s">
        <v>3911</v>
      </c>
      <c r="D26" s="399"/>
      <c r="E26" s="3461" t="s">
        <v>3911</v>
      </c>
      <c r="F26" s="399"/>
      <c r="G26" s="3461" t="s">
        <v>3910</v>
      </c>
      <c r="H26" s="399"/>
      <c r="I26" s="3455" t="s">
        <v>3911</v>
      </c>
      <c r="J26" s="399"/>
      <c r="K26" s="620"/>
      <c r="L26" s="2717"/>
      <c r="M26" s="2711"/>
      <c r="N26" s="2711"/>
      <c r="O26" s="2769"/>
      <c r="P26" s="3784"/>
      <c r="Q26" s="1350"/>
      <c r="R26" s="705"/>
      <c r="S26" s="706"/>
      <c r="T26" s="705"/>
      <c r="U26" s="706"/>
      <c r="V26" s="705"/>
      <c r="W26" s="706"/>
      <c r="X26" s="1353"/>
      <c r="Y26" s="3784"/>
      <c r="Z26" s="1354"/>
      <c r="AA26" s="1351">
        <v>1</v>
      </c>
      <c r="AB26" s="1351">
        <v>1</v>
      </c>
      <c r="AC26" s="1351">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84"/>
      <c r="Q27" s="1341" t="str">
        <f t="shared" si="8"/>
        <v>公共配套设施</v>
      </c>
      <c r="R27" s="701" t="s">
        <v>14</v>
      </c>
      <c r="S27" s="702">
        <f>F27</f>
        <v>100</v>
      </c>
      <c r="T27" s="701" t="s">
        <v>14</v>
      </c>
      <c r="U27" s="702">
        <f>H27</f>
        <v>103</v>
      </c>
      <c r="V27" s="701" t="s">
        <v>14</v>
      </c>
      <c r="W27" s="702">
        <f>J27</f>
        <v>103</v>
      </c>
      <c r="X27" s="703"/>
      <c r="Y27" s="3784"/>
      <c r="Z27" s="52" t="str">
        <f>Q27</f>
        <v>公共配套设施</v>
      </c>
      <c r="AA27" s="1351">
        <f>D27/F27</f>
        <v>1</v>
      </c>
      <c r="AB27" s="1351">
        <f>D27/H27</f>
        <v>0.970873786407767</v>
      </c>
      <c r="AC27" s="1351">
        <f>D27/J27</f>
        <v>0.970873786407767</v>
      </c>
    </row>
    <row r="28" spans="1:29" s="108" customFormat="1" ht="15">
      <c r="A28" s="597"/>
      <c r="B28" s="407"/>
      <c r="C28" s="3460" t="s">
        <v>3911</v>
      </c>
      <c r="D28" s="399"/>
      <c r="E28" s="3461" t="s">
        <v>3911</v>
      </c>
      <c r="F28" s="399"/>
      <c r="G28" s="3461" t="s">
        <v>3910</v>
      </c>
      <c r="H28" s="399"/>
      <c r="I28" s="3455" t="s">
        <v>3910</v>
      </c>
      <c r="J28" s="399"/>
      <c r="K28" s="620"/>
      <c r="L28" s="2712"/>
      <c r="M28" s="2713"/>
      <c r="N28" s="2713"/>
      <c r="O28" s="2767"/>
      <c r="P28" s="3784"/>
      <c r="Q28" s="1341"/>
      <c r="R28" s="701"/>
      <c r="S28" s="702"/>
      <c r="T28" s="701"/>
      <c r="U28" s="702"/>
      <c r="V28" s="701"/>
      <c r="W28" s="702"/>
      <c r="X28" s="703"/>
      <c r="Y28" s="3784"/>
      <c r="Z28" s="52"/>
      <c r="AA28" s="1351">
        <v>1</v>
      </c>
      <c r="AB28" s="1351">
        <v>1</v>
      </c>
      <c r="AC28" s="1351">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2"/>
      <c r="M29" s="2713"/>
      <c r="N29" s="2713"/>
      <c r="O29" s="2767"/>
      <c r="P29" s="3784"/>
      <c r="Q29" s="1341" t="str">
        <f t="shared" ref="Q29" si="9">B29</f>
        <v>基础设施水平</v>
      </c>
      <c r="R29" s="701" t="s">
        <v>14</v>
      </c>
      <c r="S29" s="702">
        <f>F29</f>
        <v>100</v>
      </c>
      <c r="T29" s="701" t="s">
        <v>14</v>
      </c>
      <c r="U29" s="702">
        <f>H29</f>
        <v>100</v>
      </c>
      <c r="V29" s="701" t="s">
        <v>14</v>
      </c>
      <c r="W29" s="702">
        <f>J29</f>
        <v>100</v>
      </c>
      <c r="X29" s="703"/>
      <c r="Y29" s="3784"/>
      <c r="Z29" s="52" t="str">
        <f>Q29</f>
        <v>基础设施水平</v>
      </c>
      <c r="AA29" s="1351">
        <f>D29/F29</f>
        <v>1</v>
      </c>
      <c r="AB29" s="1351">
        <f>D29/H29</f>
        <v>1</v>
      </c>
      <c r="AC29" s="1351">
        <f>D29/J29</f>
        <v>1</v>
      </c>
    </row>
    <row r="30" spans="1:29" s="108" customFormat="1" ht="15">
      <c r="A30" s="597"/>
      <c r="B30" s="407"/>
      <c r="C30" s="3460" t="s">
        <v>3918</v>
      </c>
      <c r="D30" s="399"/>
      <c r="E30" s="3464" t="s">
        <v>3918</v>
      </c>
      <c r="F30" s="399"/>
      <c r="G30" s="3464" t="s">
        <v>3918</v>
      </c>
      <c r="H30" s="399"/>
      <c r="I30" s="3464" t="s">
        <v>3918</v>
      </c>
      <c r="J30" s="399"/>
      <c r="K30" s="620"/>
      <c r="L30" s="2712"/>
      <c r="M30" s="2713"/>
      <c r="N30" s="2713"/>
      <c r="O30" s="2767"/>
      <c r="P30" s="3784"/>
      <c r="Q30" s="1341"/>
      <c r="R30" s="701"/>
      <c r="S30" s="702"/>
      <c r="T30" s="701"/>
      <c r="U30" s="702"/>
      <c r="V30" s="701"/>
      <c r="W30" s="702"/>
      <c r="X30" s="703"/>
      <c r="Y30" s="378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7"/>
      <c r="M31" s="2711"/>
      <c r="N31" s="2711"/>
      <c r="O31" s="2769"/>
      <c r="P31" s="3784"/>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8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7"/>
      <c r="M32" s="2711"/>
      <c r="N32" s="2711"/>
      <c r="O32" s="2769"/>
      <c r="P32" s="3784"/>
      <c r="Q32" s="1350" t="str">
        <f t="shared" si="8"/>
        <v>毗邻道路的类型与等级</v>
      </c>
      <c r="R32" s="705" t="s">
        <v>14</v>
      </c>
      <c r="S32" s="706">
        <f t="shared" si="10"/>
        <v>100</v>
      </c>
      <c r="T32" s="705" t="s">
        <v>14</v>
      </c>
      <c r="U32" s="706">
        <f t="shared" si="11"/>
        <v>100</v>
      </c>
      <c r="V32" s="705" t="s">
        <v>14</v>
      </c>
      <c r="W32" s="706">
        <f t="shared" si="12"/>
        <v>100</v>
      </c>
      <c r="X32" s="1353"/>
      <c r="Y32" s="3784"/>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7"/>
      <c r="M33" s="2711"/>
      <c r="N33" s="2711"/>
      <c r="O33" s="2769"/>
      <c r="P33" s="3784"/>
      <c r="Q33" s="1350"/>
      <c r="R33" s="705"/>
      <c r="S33" s="706"/>
      <c r="T33" s="705"/>
      <c r="U33" s="706"/>
      <c r="V33" s="705"/>
      <c r="W33" s="706"/>
      <c r="X33" s="1353"/>
      <c r="Y33" s="3784"/>
      <c r="Z33" s="1354"/>
      <c r="AA33" s="1351">
        <v>1</v>
      </c>
      <c r="AB33" s="1351">
        <v>1</v>
      </c>
      <c r="AC33" s="1351">
        <v>1</v>
      </c>
    </row>
    <row r="34" spans="1:29" ht="15">
      <c r="A34" s="379"/>
      <c r="B34" s="375" t="s">
        <v>1873</v>
      </c>
      <c r="C34" s="3458" t="s">
        <v>3915</v>
      </c>
      <c r="D34" s="386">
        <v>100</v>
      </c>
      <c r="E34" s="3459" t="s">
        <v>3913</v>
      </c>
      <c r="F34" s="386">
        <f>SUMIF(107:107,E34,108:108)-SUMIF(107:107,C34,108:108)+100</f>
        <v>100</v>
      </c>
      <c r="G34" s="3459" t="s">
        <v>3914</v>
      </c>
      <c r="H34" s="386">
        <f>SUMIF(107:107,G34,108:108)-SUMIF(107:107,C34,108:108)+100</f>
        <v>100</v>
      </c>
      <c r="I34" s="3458" t="s">
        <v>3914</v>
      </c>
      <c r="J34" s="386">
        <f>SUMIF(107:107,I34,108:108)-SUMIF(107:107,C34,108:108)+100</f>
        <v>100</v>
      </c>
      <c r="K34" s="561">
        <v>2</v>
      </c>
      <c r="L34" s="2717"/>
      <c r="M34" s="2711"/>
      <c r="N34" s="2711"/>
      <c r="O34" s="2769"/>
      <c r="P34" s="3784"/>
      <c r="Q34" s="1350" t="str">
        <f t="shared" si="8"/>
        <v>土地级别</v>
      </c>
      <c r="R34" s="705" t="s">
        <v>14</v>
      </c>
      <c r="S34" s="706">
        <f t="shared" si="10"/>
        <v>100</v>
      </c>
      <c r="T34" s="705" t="s">
        <v>14</v>
      </c>
      <c r="U34" s="706">
        <f t="shared" si="11"/>
        <v>100</v>
      </c>
      <c r="V34" s="705" t="s">
        <v>14</v>
      </c>
      <c r="W34" s="706">
        <f t="shared" si="12"/>
        <v>100</v>
      </c>
      <c r="X34" s="1353"/>
      <c r="Y34" s="3784"/>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84"/>
      <c r="Q35" s="1350">
        <f t="shared" si="8"/>
        <v>111</v>
      </c>
      <c r="R35" s="705" t="s">
        <v>14</v>
      </c>
      <c r="S35" s="706">
        <f t="shared" si="10"/>
        <v>100</v>
      </c>
      <c r="T35" s="705" t="s">
        <v>14</v>
      </c>
      <c r="U35" s="706">
        <f t="shared" si="11"/>
        <v>100</v>
      </c>
      <c r="V35" s="705" t="s">
        <v>14</v>
      </c>
      <c r="W35" s="706">
        <f t="shared" si="12"/>
        <v>100</v>
      </c>
      <c r="X35" s="1353"/>
      <c r="Y35" s="3784"/>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0" t="s">
        <v>1696</v>
      </c>
      <c r="Q36" s="1350">
        <f t="shared" si="8"/>
        <v>111</v>
      </c>
      <c r="R36" s="705" t="s">
        <v>14</v>
      </c>
      <c r="S36" s="706">
        <f t="shared" si="10"/>
        <v>100</v>
      </c>
      <c r="T36" s="705" t="s">
        <v>14</v>
      </c>
      <c r="U36" s="706">
        <f t="shared" si="11"/>
        <v>100</v>
      </c>
      <c r="V36" s="705" t="s">
        <v>14</v>
      </c>
      <c r="W36" s="706">
        <f t="shared" si="12"/>
        <v>100</v>
      </c>
      <c r="X36" s="1353"/>
      <c r="Y36" s="3788"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88"/>
      <c r="Q37" s="1350">
        <f t="shared" si="8"/>
        <v>111</v>
      </c>
      <c r="R37" s="708" t="s">
        <v>14</v>
      </c>
      <c r="S37" s="709">
        <f t="shared" si="10"/>
        <v>100</v>
      </c>
      <c r="T37" s="708" t="s">
        <v>14</v>
      </c>
      <c r="U37" s="709">
        <f t="shared" si="11"/>
        <v>100</v>
      </c>
      <c r="V37" s="708" t="s">
        <v>14</v>
      </c>
      <c r="W37" s="709">
        <f t="shared" si="12"/>
        <v>100</v>
      </c>
      <c r="X37" s="710"/>
      <c r="Y37" s="3788"/>
      <c r="Z37" s="711">
        <f t="shared" si="13"/>
        <v>111</v>
      </c>
      <c r="AA37" s="1351">
        <f t="shared" si="3"/>
        <v>1</v>
      </c>
      <c r="AB37" s="1351">
        <f t="shared" si="4"/>
        <v>1</v>
      </c>
      <c r="AC37" s="1351">
        <f t="shared" si="5"/>
        <v>1</v>
      </c>
    </row>
    <row r="38" spans="1:29" ht="15">
      <c r="A38" s="423" t="s">
        <v>1694</v>
      </c>
      <c r="B38" s="407" t="s">
        <v>1874</v>
      </c>
      <c r="C38" s="627">
        <v>44357.279999999999</v>
      </c>
      <c r="D38" s="418">
        <v>100</v>
      </c>
      <c r="E38" s="627">
        <f>土地案例!$H$3</f>
        <v>27822.39</v>
      </c>
      <c r="F38" s="418">
        <f>LOOKUP(E38,116:116,117:117)-LOOKUP(C38,116:116,117:117)+100</f>
        <v>99</v>
      </c>
      <c r="G38" s="627">
        <f>土地案例!$H$15</f>
        <v>31231.38</v>
      </c>
      <c r="H38" s="418">
        <f>LOOKUP(G38,116:116,117:117)-LOOKUP(C38,116:116,117:117)+100</f>
        <v>99</v>
      </c>
      <c r="I38" s="479">
        <f>土地案例!$H$17</f>
        <v>23004.15</v>
      </c>
      <c r="J38" s="418">
        <f>LOOKUP(I38,116:116,117:117)-LOOKUP(C38,116:116,117:117)+100</f>
        <v>99</v>
      </c>
      <c r="K38" s="562"/>
      <c r="L38" s="2717"/>
      <c r="M38" s="2711"/>
      <c r="N38" s="2711"/>
      <c r="O38" s="2769"/>
      <c r="P38" s="3788"/>
      <c r="Q38" s="1350" t="str">
        <f>B38</f>
        <v>宗地面积</v>
      </c>
      <c r="R38" s="705" t="s">
        <v>14</v>
      </c>
      <c r="S38" s="706">
        <f t="shared" si="10"/>
        <v>99</v>
      </c>
      <c r="T38" s="705" t="s">
        <v>14</v>
      </c>
      <c r="U38" s="706">
        <f t="shared" si="11"/>
        <v>99</v>
      </c>
      <c r="V38" s="705" t="s">
        <v>14</v>
      </c>
      <c r="W38" s="706">
        <f t="shared" si="12"/>
        <v>99</v>
      </c>
      <c r="X38" s="1353"/>
      <c r="Y38" s="3788"/>
      <c r="Z38" s="1354" t="str">
        <f t="shared" si="13"/>
        <v>宗地面积</v>
      </c>
      <c r="AA38" s="1351">
        <f t="shared" si="3"/>
        <v>1.0101010101010102</v>
      </c>
      <c r="AB38" s="1351">
        <f t="shared" si="4"/>
        <v>1.0101010101010102</v>
      </c>
      <c r="AC38" s="1351">
        <f t="shared" si="5"/>
        <v>1.0101010101010102</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88"/>
      <c r="Q39" s="1350" t="str">
        <f t="shared" ref="Q39:Q45" si="14">B39</f>
        <v>宗地形状</v>
      </c>
      <c r="R39" s="705" t="s">
        <v>14</v>
      </c>
      <c r="S39" s="706">
        <f t="shared" si="10"/>
        <v>100</v>
      </c>
      <c r="T39" s="705" t="s">
        <v>14</v>
      </c>
      <c r="U39" s="706">
        <f t="shared" si="11"/>
        <v>100</v>
      </c>
      <c r="V39" s="705" t="s">
        <v>14</v>
      </c>
      <c r="W39" s="706">
        <f t="shared" si="12"/>
        <v>100</v>
      </c>
      <c r="X39" s="1353"/>
      <c r="Y39" s="3788"/>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88"/>
      <c r="Q40" s="1350" t="str">
        <f t="shared" si="14"/>
        <v>临街宽度及深度</v>
      </c>
      <c r="R40" s="705" t="s">
        <v>14</v>
      </c>
      <c r="S40" s="706">
        <f t="shared" si="10"/>
        <v>100</v>
      </c>
      <c r="T40" s="705" t="s">
        <v>14</v>
      </c>
      <c r="U40" s="706">
        <f t="shared" si="11"/>
        <v>100</v>
      </c>
      <c r="V40" s="705" t="s">
        <v>14</v>
      </c>
      <c r="W40" s="706">
        <f t="shared" si="12"/>
        <v>100</v>
      </c>
      <c r="X40" s="1353"/>
      <c r="Y40" s="3788"/>
      <c r="Z40" s="1354" t="str">
        <f t="shared" si="13"/>
        <v>临街宽度及深度</v>
      </c>
      <c r="AA40" s="1351">
        <f t="shared" si="3"/>
        <v>1</v>
      </c>
      <c r="AB40" s="1351">
        <f t="shared" si="4"/>
        <v>1</v>
      </c>
      <c r="AC40" s="1351">
        <f t="shared" si="5"/>
        <v>1</v>
      </c>
    </row>
    <row r="41" spans="1:29" s="108" customFormat="1" ht="15">
      <c r="A41" s="424"/>
      <c r="B41" s="375" t="s">
        <v>1877</v>
      </c>
      <c r="C41" s="3462" t="s">
        <v>3916</v>
      </c>
      <c r="D41" s="127">
        <v>100</v>
      </c>
      <c r="E41" s="3462" t="s">
        <v>3916</v>
      </c>
      <c r="F41" s="386">
        <f>SUMIF(122:122,E41,123:123)-SUMIF(122:122,C41,123:123)+100</f>
        <v>100</v>
      </c>
      <c r="G41" s="3462" t="s">
        <v>3916</v>
      </c>
      <c r="H41" s="386">
        <f>SUMIF(122:122,G41,123:123)-SUMIF(122:122,C41,123:123)+100</f>
        <v>100</v>
      </c>
      <c r="I41" s="3462" t="s">
        <v>3917</v>
      </c>
      <c r="J41" s="386">
        <f>SUMIF(122:122,I41,123:123)-SUMIF(122:122,C41,123:123)+100</f>
        <v>98</v>
      </c>
      <c r="K41" s="561">
        <v>2</v>
      </c>
      <c r="L41" s="2712"/>
      <c r="M41" s="2713"/>
      <c r="N41" s="2713"/>
      <c r="O41" s="2767"/>
      <c r="P41" s="3788"/>
      <c r="Q41" s="1350" t="str">
        <f t="shared" si="14"/>
        <v>宗地开发程度</v>
      </c>
      <c r="R41" s="701" t="s">
        <v>14</v>
      </c>
      <c r="S41" s="702">
        <f t="shared" si="10"/>
        <v>100</v>
      </c>
      <c r="T41" s="701" t="s">
        <v>14</v>
      </c>
      <c r="U41" s="702">
        <f t="shared" si="11"/>
        <v>100</v>
      </c>
      <c r="V41" s="701" t="s">
        <v>14</v>
      </c>
      <c r="W41" s="702">
        <f t="shared" si="12"/>
        <v>98</v>
      </c>
      <c r="X41" s="703"/>
      <c r="Y41" s="3788"/>
      <c r="Z41" s="52" t="str">
        <f t="shared" si="13"/>
        <v>宗地开发程度</v>
      </c>
      <c r="AA41" s="704">
        <f t="shared" si="3"/>
        <v>1</v>
      </c>
      <c r="AB41" s="704">
        <f t="shared" si="4"/>
        <v>1</v>
      </c>
      <c r="AC41" s="704">
        <f t="shared" si="5"/>
        <v>1.0204081632653061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88" t="s">
        <v>1696</v>
      </c>
      <c r="Q42" s="1350" t="str">
        <f t="shared" si="14"/>
        <v>工程地质条件</v>
      </c>
      <c r="R42" s="705" t="s">
        <v>14</v>
      </c>
      <c r="S42" s="706">
        <f t="shared" si="10"/>
        <v>100</v>
      </c>
      <c r="T42" s="705" t="s">
        <v>14</v>
      </c>
      <c r="U42" s="706">
        <f t="shared" si="11"/>
        <v>100</v>
      </c>
      <c r="V42" s="705" t="s">
        <v>14</v>
      </c>
      <c r="W42" s="706">
        <f t="shared" si="12"/>
        <v>100</v>
      </c>
      <c r="X42" s="1353"/>
      <c r="Y42" s="3788"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88"/>
      <c r="Q43" s="1350">
        <f t="shared" si="14"/>
        <v>111</v>
      </c>
      <c r="R43" s="705" t="s">
        <v>14</v>
      </c>
      <c r="S43" s="706">
        <f t="shared" si="10"/>
        <v>100</v>
      </c>
      <c r="T43" s="705" t="s">
        <v>14</v>
      </c>
      <c r="U43" s="706">
        <f t="shared" si="11"/>
        <v>100</v>
      </c>
      <c r="V43" s="705" t="s">
        <v>14</v>
      </c>
      <c r="W43" s="706">
        <f t="shared" si="12"/>
        <v>100</v>
      </c>
      <c r="X43" s="1353"/>
      <c r="Y43" s="3788"/>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88"/>
      <c r="Q44" s="1350">
        <f t="shared" si="14"/>
        <v>111</v>
      </c>
      <c r="R44" s="705" t="s">
        <v>14</v>
      </c>
      <c r="S44" s="706">
        <f t="shared" si="10"/>
        <v>100</v>
      </c>
      <c r="T44" s="705" t="s">
        <v>14</v>
      </c>
      <c r="U44" s="706">
        <f t="shared" si="11"/>
        <v>100</v>
      </c>
      <c r="V44" s="705" t="s">
        <v>14</v>
      </c>
      <c r="W44" s="706">
        <f t="shared" si="12"/>
        <v>100</v>
      </c>
      <c r="X44" s="1353"/>
      <c r="Y44" s="3788"/>
      <c r="Z44" s="1354">
        <f t="shared" si="13"/>
        <v>111</v>
      </c>
      <c r="AA44" s="1351">
        <f t="shared" si="3"/>
        <v>1</v>
      </c>
      <c r="AB44" s="1351">
        <f t="shared" si="4"/>
        <v>1</v>
      </c>
      <c r="AC44" s="1351">
        <f t="shared" si="5"/>
        <v>1</v>
      </c>
    </row>
    <row r="45" spans="1:29" s="422" customFormat="1" ht="15.75" thickBot="1">
      <c r="A45" s="419"/>
      <c r="B45" s="1133">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88"/>
      <c r="Q45" s="1350">
        <f t="shared" si="14"/>
        <v>111</v>
      </c>
      <c r="R45" s="708" t="s">
        <v>14</v>
      </c>
      <c r="S45" s="709">
        <f t="shared" si="10"/>
        <v>100</v>
      </c>
      <c r="T45" s="708" t="s">
        <v>14</v>
      </c>
      <c r="U45" s="709">
        <f t="shared" si="11"/>
        <v>100</v>
      </c>
      <c r="V45" s="708" t="s">
        <v>14</v>
      </c>
      <c r="W45" s="709">
        <f t="shared" si="12"/>
        <v>100</v>
      </c>
      <c r="X45" s="710"/>
      <c r="Y45" s="3788"/>
      <c r="Z45" s="711">
        <f t="shared" si="13"/>
        <v>111</v>
      </c>
      <c r="AA45" s="1351">
        <f t="shared" si="3"/>
        <v>1</v>
      </c>
      <c r="AB45" s="1351">
        <f t="shared" si="4"/>
        <v>1</v>
      </c>
      <c r="AC45" s="1351">
        <f t="shared" si="5"/>
        <v>1</v>
      </c>
    </row>
    <row r="46" spans="1:29" ht="15">
      <c r="A46" s="430" t="s">
        <v>1844</v>
      </c>
      <c r="B46" s="1977" t="s">
        <v>1879</v>
      </c>
      <c r="C46" s="630" t="s">
        <v>0</v>
      </c>
      <c r="D46" s="432"/>
      <c r="E46" s="433">
        <v>22464</v>
      </c>
      <c r="F46" s="434"/>
      <c r="G46" s="435">
        <v>22029</v>
      </c>
      <c r="H46" s="436"/>
      <c r="I46" s="433">
        <v>24530</v>
      </c>
      <c r="J46" s="436"/>
      <c r="K46" s="714"/>
      <c r="L46" s="2719"/>
      <c r="M46" s="2720"/>
      <c r="N46" s="2711"/>
      <c r="O46" s="2720"/>
      <c r="P46" s="3781" t="str">
        <f>A46</f>
        <v>成交单价</v>
      </c>
      <c r="Q46" s="3781"/>
      <c r="R46" s="3812">
        <f>E46</f>
        <v>22464</v>
      </c>
      <c r="S46" s="3812"/>
      <c r="T46" s="3812">
        <f>G46</f>
        <v>22029</v>
      </c>
      <c r="U46" s="3812"/>
      <c r="V46" s="3812">
        <f>I46</f>
        <v>24530</v>
      </c>
      <c r="W46" s="3812"/>
      <c r="X46" s="690"/>
      <c r="Y46" s="712"/>
      <c r="Z46" s="690"/>
      <c r="AA46" s="690"/>
      <c r="AB46" s="690"/>
      <c r="AC46" s="690"/>
    </row>
    <row r="47" spans="1:29" ht="15.75" thickBot="1">
      <c r="A47" s="437" t="s">
        <v>1793</v>
      </c>
      <c r="B47" s="631"/>
      <c r="C47" s="440">
        <f>R48</f>
        <v>20132</v>
      </c>
      <c r="D47" s="2312" t="s">
        <v>2136</v>
      </c>
      <c r="E47" s="440">
        <f>R47</f>
        <v>20878</v>
      </c>
      <c r="F47" s="2313"/>
      <c r="G47" s="439">
        <f>T47</f>
        <v>18357</v>
      </c>
      <c r="H47" s="2313"/>
      <c r="I47" s="440">
        <f>V47</f>
        <v>21161</v>
      </c>
      <c r="J47" s="2313"/>
      <c r="K47" s="2315">
        <f>F47+H47+J47</f>
        <v>0</v>
      </c>
      <c r="L47" s="2719"/>
      <c r="M47" s="2720"/>
      <c r="N47" s="2720"/>
      <c r="O47" s="2720"/>
      <c r="P47" s="3781" t="str">
        <f>A47</f>
        <v>比较价值（元/平方米）</v>
      </c>
      <c r="Q47" s="3781"/>
      <c r="R47" s="3827">
        <f>ROUND(PRODUCT(R46,AA7:AA45),0)</f>
        <v>20878</v>
      </c>
      <c r="S47" s="3827"/>
      <c r="T47" s="3827">
        <f>ROUND(PRODUCT(T46,AB7:AB45),0)</f>
        <v>18357</v>
      </c>
      <c r="U47" s="3827"/>
      <c r="V47" s="3827">
        <f>ROUND(PRODUCT(V46,AC7:AC45),0)</f>
        <v>21161</v>
      </c>
      <c r="W47" s="3827"/>
      <c r="X47" s="690"/>
      <c r="Y47" s="690"/>
      <c r="Z47" s="690"/>
      <c r="AA47" s="690"/>
      <c r="AB47" s="690"/>
      <c r="AC47" s="690"/>
    </row>
    <row r="48" spans="1:29" ht="15.75" thickBot="1">
      <c r="A48" s="441" t="s">
        <v>1880</v>
      </c>
      <c r="B48" s="442"/>
      <c r="C48" s="443">
        <f>R48</f>
        <v>20132</v>
      </c>
      <c r="D48" s="443"/>
      <c r="E48" s="443"/>
      <c r="F48" s="443"/>
      <c r="G48" s="443"/>
      <c r="H48" s="443"/>
      <c r="I48" s="443"/>
      <c r="J48" s="443"/>
      <c r="K48" s="715"/>
      <c r="L48" s="2719"/>
      <c r="M48" s="2720"/>
      <c r="N48" s="2720"/>
      <c r="O48" s="2720"/>
      <c r="P48" s="3778" t="str">
        <f>A48</f>
        <v>估价对象XX用房的比较价值（楼面单价，元/平方米）</v>
      </c>
      <c r="Q48" s="3779"/>
      <c r="R48" s="3828">
        <f>ROUND(IF(D47="简单平均",AVERAGE(R47:W47),R47*F47+T47*H47+V47*J47),0)</f>
        <v>20132</v>
      </c>
      <c r="S48" s="3828"/>
      <c r="T48" s="3828"/>
      <c r="U48" s="3828"/>
      <c r="V48" s="3828"/>
      <c r="W48" s="382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7.5965130759651389E-2</v>
      </c>
      <c r="F51" s="449" t="str">
        <f>IF(OR(E51&gt;=0.3,E51&lt;=-0.3),"超过30%","")</f>
        <v/>
      </c>
      <c r="G51" s="448">
        <f>IF(G46&lt;G47,G47/G46-1,G46/G47-1)</f>
        <v>0.20003268507926131</v>
      </c>
      <c r="H51" s="449" t="str">
        <f>IF(OR(G51&gt;=0.3,G51&lt;=-0.3),"超过30%","")</f>
        <v/>
      </c>
      <c r="I51" s="448">
        <f>IF(I46&lt;I47,I47/I46-1,I46/I47-1)</f>
        <v>0.15920797693870803</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0.13733180802963441</v>
      </c>
      <c r="F52" s="449" t="str">
        <f>IF(OR(E52&gt;=0.2,E52&lt;=-0.2),"超过20%","")</f>
        <v/>
      </c>
      <c r="G52" s="448">
        <f>IF(G47&lt;I47,I47/G47-1,G47/I47-1)</f>
        <v>0.15274827041455574</v>
      </c>
      <c r="H52" s="449" t="str">
        <f>IF(OR(G52&gt;=0.2,G52&lt;=-0.2),"超过20%","")</f>
        <v/>
      </c>
      <c r="I52" s="448">
        <f>IF(I47&lt;E47,E47/I47-1,I47/E47-1)</f>
        <v>1.3554938212472445E-2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90" t="s">
        <v>1886</v>
      </c>
      <c r="G55" s="3796" t="s">
        <v>1887</v>
      </c>
      <c r="H55" s="3829"/>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20132</v>
      </c>
      <c r="C56" s="638">
        <v>1</v>
      </c>
      <c r="D56" s="944">
        <v>1</v>
      </c>
      <c r="E56" s="638">
        <f>'数据-汇总表'!E8+'数据-汇总表'!E9</f>
        <v>86.91</v>
      </c>
      <c r="F56" s="886">
        <f t="shared" ref="F56:F64" si="15">ROUND(B56*E56/10000,0)</f>
        <v>175</v>
      </c>
      <c r="G56" s="3792"/>
      <c r="H56" s="3781"/>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0</v>
      </c>
      <c r="C57" s="171">
        <f t="shared" ref="C57:C64" si="16">IF($C$55="北京市系数",I57,J57)</f>
        <v>0</v>
      </c>
      <c r="D57" s="945">
        <v>0.25</v>
      </c>
      <c r="E57" s="642"/>
      <c r="F57" s="886">
        <f t="shared" si="15"/>
        <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0</v>
      </c>
      <c r="C58" s="171">
        <f t="shared" si="16"/>
        <v>0</v>
      </c>
      <c r="D58" s="945">
        <v>0.25</v>
      </c>
      <c r="E58" s="642"/>
      <c r="F58" s="886">
        <f t="shared" si="15"/>
        <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0</v>
      </c>
      <c r="C59" s="171">
        <f t="shared" si="16"/>
        <v>0</v>
      </c>
      <c r="D59" s="945">
        <v>0.25</v>
      </c>
      <c r="E59" s="642"/>
      <c r="F59" s="886">
        <f t="shared" si="15"/>
        <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0</v>
      </c>
      <c r="C60" s="171">
        <f t="shared" si="16"/>
        <v>0</v>
      </c>
      <c r="D60" s="945">
        <v>0.25</v>
      </c>
      <c r="E60" s="217">
        <f>'数据-汇总表'!E11</f>
        <v>0</v>
      </c>
      <c r="F60" s="886">
        <f t="shared" si="15"/>
        <v>0</v>
      </c>
      <c r="G60" s="1982"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503</v>
      </c>
      <c r="C62" s="171">
        <f t="shared" si="16"/>
        <v>0.1</v>
      </c>
      <c r="D62" s="945">
        <v>0.25</v>
      </c>
      <c r="E62" s="217">
        <f>'数据-汇总表'!E13</f>
        <v>89.34</v>
      </c>
      <c r="F62" s="886">
        <f t="shared" si="15"/>
        <v>4</v>
      </c>
      <c r="G62" s="892" t="s">
        <v>1900</v>
      </c>
      <c r="H62" s="887" t="str">
        <f>IF(G62="商业",项目基本情况!B37,IF(G62="办公",项目基本情况!C37,IF(G62="住宅",项目基本情况!D37,项目基本情况!E37)))</f>
        <v>九级</v>
      </c>
      <c r="I62" s="891">
        <f>SUMIF(修正!A57:A68,H62,修正!G57:G68)</f>
        <v>0.1</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0</v>
      </c>
      <c r="C63" s="171">
        <f t="shared" si="16"/>
        <v>0</v>
      </c>
      <c r="D63" s="945">
        <v>0.25</v>
      </c>
      <c r="E63" s="217">
        <f>'数据-汇总表'!E14</f>
        <v>0</v>
      </c>
      <c r="F63" s="886">
        <f t="shared" si="15"/>
        <v>0</v>
      </c>
      <c r="G63" s="1982"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0</v>
      </c>
      <c r="C64" s="171">
        <f t="shared" si="16"/>
        <v>0</v>
      </c>
      <c r="D64" s="945">
        <v>0.25</v>
      </c>
      <c r="E64" s="217">
        <f>'数据-汇总表'!E15</f>
        <v>0</v>
      </c>
      <c r="F64" s="886">
        <f t="shared" si="15"/>
        <v>0</v>
      </c>
      <c r="G64" s="1983"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176.25</v>
      </c>
      <c r="F65" s="645">
        <f>IF(B46="楼面地价",SUM(F56:F64),ROUND(C48*E65/10000,0))</f>
        <v>179</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v>3</v>
      </c>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98</v>
      </c>
      <c r="E92" s="493">
        <f>D92-$K19</f>
        <v>96</v>
      </c>
      <c r="F92" s="493">
        <f>E92-$K19</f>
        <v>94</v>
      </c>
      <c r="G92" s="493">
        <f>F92-$K19</f>
        <v>92</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1694</v>
      </c>
      <c r="B115" s="477" t="s">
        <v>1913</v>
      </c>
      <c r="C115" s="478" t="str">
        <f>C116&amp;"(含)"&amp;"-"&amp;D116</f>
        <v>0(含)-20000</v>
      </c>
      <c r="D115" s="478" t="str">
        <f t="shared" ref="D115:M115" si="25">D116&amp;"(含)"&amp;"-"&amp;E116</f>
        <v>20000(含)-40000</v>
      </c>
      <c r="E115" s="478" t="str">
        <f t="shared" si="25"/>
        <v>40000(含)-60000</v>
      </c>
      <c r="F115" s="478" t="str">
        <f t="shared" si="25"/>
        <v>60000(含)-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v>104</v>
      </c>
      <c r="H117" s="540">
        <v>105</v>
      </c>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463" t="s">
        <v>3918</v>
      </c>
      <c r="D122" s="3463" t="s">
        <v>3916</v>
      </c>
      <c r="E122" s="3463" t="s">
        <v>3919</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
  <sheetViews>
    <sheetView topLeftCell="H7" workbookViewId="0">
      <selection activeCell="AL3" sqref="AL3"/>
    </sheetView>
  </sheetViews>
  <sheetFormatPr defaultRowHeight="12"/>
  <cols>
    <col min="1" max="1" width="31.75" style="3451" customWidth="1"/>
    <col min="2" max="2" width="6.25" style="3451" hidden="1" customWidth="1"/>
    <col min="3" max="4" width="7.875" style="3451" customWidth="1"/>
    <col min="5" max="5" width="13.625" style="3451" hidden="1" customWidth="1"/>
    <col min="6" max="6" width="45.875" style="3451" hidden="1" customWidth="1"/>
    <col min="7" max="7" width="23.125" style="3451" hidden="1" customWidth="1"/>
    <col min="8" max="8" width="9.375" style="3451" customWidth="1"/>
    <col min="9" max="9" width="9.875" style="3451" customWidth="1"/>
    <col min="10" max="10" width="7.5" style="3451" customWidth="1"/>
    <col min="11" max="11" width="7.875" style="3451" customWidth="1"/>
    <col min="12" max="12" width="11.75" style="3451" customWidth="1"/>
    <col min="13" max="15" width="7.875" style="3451" hidden="1" customWidth="1"/>
    <col min="16" max="16" width="13.125" style="3451" hidden="1" customWidth="1"/>
    <col min="17" max="17" width="12.875" style="3451" hidden="1" customWidth="1"/>
    <col min="18" max="19" width="15.5" style="3451" hidden="1" customWidth="1"/>
    <col min="20" max="20" width="12.875" style="3451" hidden="1" customWidth="1"/>
    <col min="21" max="21" width="30.125" style="3451" hidden="1" customWidth="1"/>
    <col min="22" max="22" width="13.375" style="3451" customWidth="1"/>
    <col min="23" max="23" width="101.625" style="3451" hidden="1" customWidth="1"/>
    <col min="24" max="24" width="7.875" style="3451" hidden="1" customWidth="1"/>
    <col min="25" max="27" width="9" style="3451" hidden="1" customWidth="1"/>
    <col min="28" max="28" width="9" style="3451" customWidth="1"/>
    <col min="29" max="29" width="24" style="3451" hidden="1" customWidth="1"/>
    <col min="30" max="30" width="7.875" style="3451" hidden="1" customWidth="1"/>
    <col min="31" max="31" width="90.5" style="3451" hidden="1" customWidth="1"/>
    <col min="32" max="32" width="93.375" style="3451" hidden="1" customWidth="1"/>
    <col min="33" max="34" width="10.625" style="3451" hidden="1" customWidth="1"/>
    <col min="35" max="35" width="10.625" style="3451" customWidth="1"/>
    <col min="36" max="37" width="16" style="3451" hidden="1" customWidth="1"/>
    <col min="38" max="39" width="14.375" style="3451" customWidth="1"/>
    <col min="40" max="41" width="21.875" style="3451" hidden="1" customWidth="1"/>
    <col min="42" max="42" width="6.25" style="3451" customWidth="1"/>
    <col min="43" max="43" width="26.75" style="3451" hidden="1" customWidth="1"/>
    <col min="44" max="44" width="16.875" style="3451" hidden="1" customWidth="1"/>
    <col min="45" max="46" width="20.125" style="3451" hidden="1" customWidth="1"/>
    <col min="47" max="47" width="7.875" style="3451" hidden="1" customWidth="1"/>
    <col min="48" max="256" width="9" style="3451"/>
    <col min="257" max="257" width="31.75" style="3451" customWidth="1"/>
    <col min="258" max="258" width="0" style="3451" hidden="1" customWidth="1"/>
    <col min="259" max="260" width="7.875" style="3451" customWidth="1"/>
    <col min="261" max="263" width="0" style="3451" hidden="1" customWidth="1"/>
    <col min="264" max="264" width="9.375" style="3451" customWidth="1"/>
    <col min="265" max="265" width="9.875" style="3451" customWidth="1"/>
    <col min="266" max="266" width="7.5" style="3451" customWidth="1"/>
    <col min="267" max="267" width="7.875" style="3451" customWidth="1"/>
    <col min="268" max="268" width="11.75" style="3451" customWidth="1"/>
    <col min="269" max="277" width="0" style="3451" hidden="1" customWidth="1"/>
    <col min="278" max="278" width="13.375" style="3451" customWidth="1"/>
    <col min="279" max="283" width="0" style="3451" hidden="1" customWidth="1"/>
    <col min="284" max="284" width="9" style="3451" customWidth="1"/>
    <col min="285" max="290" width="0" style="3451" hidden="1" customWidth="1"/>
    <col min="291" max="291" width="10.625" style="3451" customWidth="1"/>
    <col min="292" max="293" width="0" style="3451" hidden="1" customWidth="1"/>
    <col min="294" max="295" width="14.375" style="3451" customWidth="1"/>
    <col min="296" max="297" width="0" style="3451" hidden="1" customWidth="1"/>
    <col min="298" max="298" width="6.25" style="3451" customWidth="1"/>
    <col min="299" max="303" width="0" style="3451" hidden="1" customWidth="1"/>
    <col min="304" max="512" width="9" style="3451"/>
    <col min="513" max="513" width="31.75" style="3451" customWidth="1"/>
    <col min="514" max="514" width="0" style="3451" hidden="1" customWidth="1"/>
    <col min="515" max="516" width="7.875" style="3451" customWidth="1"/>
    <col min="517" max="519" width="0" style="3451" hidden="1" customWidth="1"/>
    <col min="520" max="520" width="9.375" style="3451" customWidth="1"/>
    <col min="521" max="521" width="9.875" style="3451" customWidth="1"/>
    <col min="522" max="522" width="7.5" style="3451" customWidth="1"/>
    <col min="523" max="523" width="7.875" style="3451" customWidth="1"/>
    <col min="524" max="524" width="11.75" style="3451" customWidth="1"/>
    <col min="525" max="533" width="0" style="3451" hidden="1" customWidth="1"/>
    <col min="534" max="534" width="13.375" style="3451" customWidth="1"/>
    <col min="535" max="539" width="0" style="3451" hidden="1" customWidth="1"/>
    <col min="540" max="540" width="9" style="3451" customWidth="1"/>
    <col min="541" max="546" width="0" style="3451" hidden="1" customWidth="1"/>
    <col min="547" max="547" width="10.625" style="3451" customWidth="1"/>
    <col min="548" max="549" width="0" style="3451" hidden="1" customWidth="1"/>
    <col min="550" max="551" width="14.375" style="3451" customWidth="1"/>
    <col min="552" max="553" width="0" style="3451" hidden="1" customWidth="1"/>
    <col min="554" max="554" width="6.25" style="3451" customWidth="1"/>
    <col min="555" max="559" width="0" style="3451" hidden="1" customWidth="1"/>
    <col min="560" max="768" width="9" style="3451"/>
    <col min="769" max="769" width="31.75" style="3451" customWidth="1"/>
    <col min="770" max="770" width="0" style="3451" hidden="1" customWidth="1"/>
    <col min="771" max="772" width="7.875" style="3451" customWidth="1"/>
    <col min="773" max="775" width="0" style="3451" hidden="1" customWidth="1"/>
    <col min="776" max="776" width="9.375" style="3451" customWidth="1"/>
    <col min="777" max="777" width="9.875" style="3451" customWidth="1"/>
    <col min="778" max="778" width="7.5" style="3451" customWidth="1"/>
    <col min="779" max="779" width="7.875" style="3451" customWidth="1"/>
    <col min="780" max="780" width="11.75" style="3451" customWidth="1"/>
    <col min="781" max="789" width="0" style="3451" hidden="1" customWidth="1"/>
    <col min="790" max="790" width="13.375" style="3451" customWidth="1"/>
    <col min="791" max="795" width="0" style="3451" hidden="1" customWidth="1"/>
    <col min="796" max="796" width="9" style="3451" customWidth="1"/>
    <col min="797" max="802" width="0" style="3451" hidden="1" customWidth="1"/>
    <col min="803" max="803" width="10.625" style="3451" customWidth="1"/>
    <col min="804" max="805" width="0" style="3451" hidden="1" customWidth="1"/>
    <col min="806" max="807" width="14.375" style="3451" customWidth="1"/>
    <col min="808" max="809" width="0" style="3451" hidden="1" customWidth="1"/>
    <col min="810" max="810" width="6.25" style="3451" customWidth="1"/>
    <col min="811" max="815" width="0" style="3451" hidden="1" customWidth="1"/>
    <col min="816" max="1024" width="9" style="3451"/>
    <col min="1025" max="1025" width="31.75" style="3451" customWidth="1"/>
    <col min="1026" max="1026" width="0" style="3451" hidden="1" customWidth="1"/>
    <col min="1027" max="1028" width="7.875" style="3451" customWidth="1"/>
    <col min="1029" max="1031" width="0" style="3451" hidden="1" customWidth="1"/>
    <col min="1032" max="1032" width="9.375" style="3451" customWidth="1"/>
    <col min="1033" max="1033" width="9.875" style="3451" customWidth="1"/>
    <col min="1034" max="1034" width="7.5" style="3451" customWidth="1"/>
    <col min="1035" max="1035" width="7.875" style="3451" customWidth="1"/>
    <col min="1036" max="1036" width="11.75" style="3451" customWidth="1"/>
    <col min="1037" max="1045" width="0" style="3451" hidden="1" customWidth="1"/>
    <col min="1046" max="1046" width="13.375" style="3451" customWidth="1"/>
    <col min="1047" max="1051" width="0" style="3451" hidden="1" customWidth="1"/>
    <col min="1052" max="1052" width="9" style="3451" customWidth="1"/>
    <col min="1053" max="1058" width="0" style="3451" hidden="1" customWidth="1"/>
    <col min="1059" max="1059" width="10.625" style="3451" customWidth="1"/>
    <col min="1060" max="1061" width="0" style="3451" hidden="1" customWidth="1"/>
    <col min="1062" max="1063" width="14.375" style="3451" customWidth="1"/>
    <col min="1064" max="1065" width="0" style="3451" hidden="1" customWidth="1"/>
    <col min="1066" max="1066" width="6.25" style="3451" customWidth="1"/>
    <col min="1067" max="1071" width="0" style="3451" hidden="1" customWidth="1"/>
    <col min="1072" max="1280" width="9" style="3451"/>
    <col min="1281" max="1281" width="31.75" style="3451" customWidth="1"/>
    <col min="1282" max="1282" width="0" style="3451" hidden="1" customWidth="1"/>
    <col min="1283" max="1284" width="7.875" style="3451" customWidth="1"/>
    <col min="1285" max="1287" width="0" style="3451" hidden="1" customWidth="1"/>
    <col min="1288" max="1288" width="9.375" style="3451" customWidth="1"/>
    <col min="1289" max="1289" width="9.875" style="3451" customWidth="1"/>
    <col min="1290" max="1290" width="7.5" style="3451" customWidth="1"/>
    <col min="1291" max="1291" width="7.875" style="3451" customWidth="1"/>
    <col min="1292" max="1292" width="11.75" style="3451" customWidth="1"/>
    <col min="1293" max="1301" width="0" style="3451" hidden="1" customWidth="1"/>
    <col min="1302" max="1302" width="13.375" style="3451" customWidth="1"/>
    <col min="1303" max="1307" width="0" style="3451" hidden="1" customWidth="1"/>
    <col min="1308" max="1308" width="9" style="3451" customWidth="1"/>
    <col min="1309" max="1314" width="0" style="3451" hidden="1" customWidth="1"/>
    <col min="1315" max="1315" width="10.625" style="3451" customWidth="1"/>
    <col min="1316" max="1317" width="0" style="3451" hidden="1" customWidth="1"/>
    <col min="1318" max="1319" width="14.375" style="3451" customWidth="1"/>
    <col min="1320" max="1321" width="0" style="3451" hidden="1" customWidth="1"/>
    <col min="1322" max="1322" width="6.25" style="3451" customWidth="1"/>
    <col min="1323" max="1327" width="0" style="3451" hidden="1" customWidth="1"/>
    <col min="1328" max="1536" width="9" style="3451"/>
    <col min="1537" max="1537" width="31.75" style="3451" customWidth="1"/>
    <col min="1538" max="1538" width="0" style="3451" hidden="1" customWidth="1"/>
    <col min="1539" max="1540" width="7.875" style="3451" customWidth="1"/>
    <col min="1541" max="1543" width="0" style="3451" hidden="1" customWidth="1"/>
    <col min="1544" max="1544" width="9.375" style="3451" customWidth="1"/>
    <col min="1545" max="1545" width="9.875" style="3451" customWidth="1"/>
    <col min="1546" max="1546" width="7.5" style="3451" customWidth="1"/>
    <col min="1547" max="1547" width="7.875" style="3451" customWidth="1"/>
    <col min="1548" max="1548" width="11.75" style="3451" customWidth="1"/>
    <col min="1549" max="1557" width="0" style="3451" hidden="1" customWidth="1"/>
    <col min="1558" max="1558" width="13.375" style="3451" customWidth="1"/>
    <col min="1559" max="1563" width="0" style="3451" hidden="1" customWidth="1"/>
    <col min="1564" max="1564" width="9" style="3451" customWidth="1"/>
    <col min="1565" max="1570" width="0" style="3451" hidden="1" customWidth="1"/>
    <col min="1571" max="1571" width="10.625" style="3451" customWidth="1"/>
    <col min="1572" max="1573" width="0" style="3451" hidden="1" customWidth="1"/>
    <col min="1574" max="1575" width="14.375" style="3451" customWidth="1"/>
    <col min="1576" max="1577" width="0" style="3451" hidden="1" customWidth="1"/>
    <col min="1578" max="1578" width="6.25" style="3451" customWidth="1"/>
    <col min="1579" max="1583" width="0" style="3451" hidden="1" customWidth="1"/>
    <col min="1584" max="1792" width="9" style="3451"/>
    <col min="1793" max="1793" width="31.75" style="3451" customWidth="1"/>
    <col min="1794" max="1794" width="0" style="3451" hidden="1" customWidth="1"/>
    <col min="1795" max="1796" width="7.875" style="3451" customWidth="1"/>
    <col min="1797" max="1799" width="0" style="3451" hidden="1" customWidth="1"/>
    <col min="1800" max="1800" width="9.375" style="3451" customWidth="1"/>
    <col min="1801" max="1801" width="9.875" style="3451" customWidth="1"/>
    <col min="1802" max="1802" width="7.5" style="3451" customWidth="1"/>
    <col min="1803" max="1803" width="7.875" style="3451" customWidth="1"/>
    <col min="1804" max="1804" width="11.75" style="3451" customWidth="1"/>
    <col min="1805" max="1813" width="0" style="3451" hidden="1" customWidth="1"/>
    <col min="1814" max="1814" width="13.375" style="3451" customWidth="1"/>
    <col min="1815" max="1819" width="0" style="3451" hidden="1" customWidth="1"/>
    <col min="1820" max="1820" width="9" style="3451" customWidth="1"/>
    <col min="1821" max="1826" width="0" style="3451" hidden="1" customWidth="1"/>
    <col min="1827" max="1827" width="10.625" style="3451" customWidth="1"/>
    <col min="1828" max="1829" width="0" style="3451" hidden="1" customWidth="1"/>
    <col min="1830" max="1831" width="14.375" style="3451" customWidth="1"/>
    <col min="1832" max="1833" width="0" style="3451" hidden="1" customWidth="1"/>
    <col min="1834" max="1834" width="6.25" style="3451" customWidth="1"/>
    <col min="1835" max="1839" width="0" style="3451" hidden="1" customWidth="1"/>
    <col min="1840" max="2048" width="9" style="3451"/>
    <col min="2049" max="2049" width="31.75" style="3451" customWidth="1"/>
    <col min="2050" max="2050" width="0" style="3451" hidden="1" customWidth="1"/>
    <col min="2051" max="2052" width="7.875" style="3451" customWidth="1"/>
    <col min="2053" max="2055" width="0" style="3451" hidden="1" customWidth="1"/>
    <col min="2056" max="2056" width="9.375" style="3451" customWidth="1"/>
    <col min="2057" max="2057" width="9.875" style="3451" customWidth="1"/>
    <col min="2058" max="2058" width="7.5" style="3451" customWidth="1"/>
    <col min="2059" max="2059" width="7.875" style="3451" customWidth="1"/>
    <col min="2060" max="2060" width="11.75" style="3451" customWidth="1"/>
    <col min="2061" max="2069" width="0" style="3451" hidden="1" customWidth="1"/>
    <col min="2070" max="2070" width="13.375" style="3451" customWidth="1"/>
    <col min="2071" max="2075" width="0" style="3451" hidden="1" customWidth="1"/>
    <col min="2076" max="2076" width="9" style="3451" customWidth="1"/>
    <col min="2077" max="2082" width="0" style="3451" hidden="1" customWidth="1"/>
    <col min="2083" max="2083" width="10.625" style="3451" customWidth="1"/>
    <col min="2084" max="2085" width="0" style="3451" hidden="1" customWidth="1"/>
    <col min="2086" max="2087" width="14.375" style="3451" customWidth="1"/>
    <col min="2088" max="2089" width="0" style="3451" hidden="1" customWidth="1"/>
    <col min="2090" max="2090" width="6.25" style="3451" customWidth="1"/>
    <col min="2091" max="2095" width="0" style="3451" hidden="1" customWidth="1"/>
    <col min="2096" max="2304" width="9" style="3451"/>
    <col min="2305" max="2305" width="31.75" style="3451" customWidth="1"/>
    <col min="2306" max="2306" width="0" style="3451" hidden="1" customWidth="1"/>
    <col min="2307" max="2308" width="7.875" style="3451" customWidth="1"/>
    <col min="2309" max="2311" width="0" style="3451" hidden="1" customWidth="1"/>
    <col min="2312" max="2312" width="9.375" style="3451" customWidth="1"/>
    <col min="2313" max="2313" width="9.875" style="3451" customWidth="1"/>
    <col min="2314" max="2314" width="7.5" style="3451" customWidth="1"/>
    <col min="2315" max="2315" width="7.875" style="3451" customWidth="1"/>
    <col min="2316" max="2316" width="11.75" style="3451" customWidth="1"/>
    <col min="2317" max="2325" width="0" style="3451" hidden="1" customWidth="1"/>
    <col min="2326" max="2326" width="13.375" style="3451" customWidth="1"/>
    <col min="2327" max="2331" width="0" style="3451" hidden="1" customWidth="1"/>
    <col min="2332" max="2332" width="9" style="3451" customWidth="1"/>
    <col min="2333" max="2338" width="0" style="3451" hidden="1" customWidth="1"/>
    <col min="2339" max="2339" width="10.625" style="3451" customWidth="1"/>
    <col min="2340" max="2341" width="0" style="3451" hidden="1" customWidth="1"/>
    <col min="2342" max="2343" width="14.375" style="3451" customWidth="1"/>
    <col min="2344" max="2345" width="0" style="3451" hidden="1" customWidth="1"/>
    <col min="2346" max="2346" width="6.25" style="3451" customWidth="1"/>
    <col min="2347" max="2351" width="0" style="3451" hidden="1" customWidth="1"/>
    <col min="2352" max="2560" width="9" style="3451"/>
    <col min="2561" max="2561" width="31.75" style="3451" customWidth="1"/>
    <col min="2562" max="2562" width="0" style="3451" hidden="1" customWidth="1"/>
    <col min="2563" max="2564" width="7.875" style="3451" customWidth="1"/>
    <col min="2565" max="2567" width="0" style="3451" hidden="1" customWidth="1"/>
    <col min="2568" max="2568" width="9.375" style="3451" customWidth="1"/>
    <col min="2569" max="2569" width="9.875" style="3451" customWidth="1"/>
    <col min="2570" max="2570" width="7.5" style="3451" customWidth="1"/>
    <col min="2571" max="2571" width="7.875" style="3451" customWidth="1"/>
    <col min="2572" max="2572" width="11.75" style="3451" customWidth="1"/>
    <col min="2573" max="2581" width="0" style="3451" hidden="1" customWidth="1"/>
    <col min="2582" max="2582" width="13.375" style="3451" customWidth="1"/>
    <col min="2583" max="2587" width="0" style="3451" hidden="1" customWidth="1"/>
    <col min="2588" max="2588" width="9" style="3451" customWidth="1"/>
    <col min="2589" max="2594" width="0" style="3451" hidden="1" customWidth="1"/>
    <col min="2595" max="2595" width="10.625" style="3451" customWidth="1"/>
    <col min="2596" max="2597" width="0" style="3451" hidden="1" customWidth="1"/>
    <col min="2598" max="2599" width="14.375" style="3451" customWidth="1"/>
    <col min="2600" max="2601" width="0" style="3451" hidden="1" customWidth="1"/>
    <col min="2602" max="2602" width="6.25" style="3451" customWidth="1"/>
    <col min="2603" max="2607" width="0" style="3451" hidden="1" customWidth="1"/>
    <col min="2608" max="2816" width="9" style="3451"/>
    <col min="2817" max="2817" width="31.75" style="3451" customWidth="1"/>
    <col min="2818" max="2818" width="0" style="3451" hidden="1" customWidth="1"/>
    <col min="2819" max="2820" width="7.875" style="3451" customWidth="1"/>
    <col min="2821" max="2823" width="0" style="3451" hidden="1" customWidth="1"/>
    <col min="2824" max="2824" width="9.375" style="3451" customWidth="1"/>
    <col min="2825" max="2825" width="9.875" style="3451" customWidth="1"/>
    <col min="2826" max="2826" width="7.5" style="3451" customWidth="1"/>
    <col min="2827" max="2827" width="7.875" style="3451" customWidth="1"/>
    <col min="2828" max="2828" width="11.75" style="3451" customWidth="1"/>
    <col min="2829" max="2837" width="0" style="3451" hidden="1" customWidth="1"/>
    <col min="2838" max="2838" width="13.375" style="3451" customWidth="1"/>
    <col min="2839" max="2843" width="0" style="3451" hidden="1" customWidth="1"/>
    <col min="2844" max="2844" width="9" style="3451" customWidth="1"/>
    <col min="2845" max="2850" width="0" style="3451" hidden="1" customWidth="1"/>
    <col min="2851" max="2851" width="10.625" style="3451" customWidth="1"/>
    <col min="2852" max="2853" width="0" style="3451" hidden="1" customWidth="1"/>
    <col min="2854" max="2855" width="14.375" style="3451" customWidth="1"/>
    <col min="2856" max="2857" width="0" style="3451" hidden="1" customWidth="1"/>
    <col min="2858" max="2858" width="6.25" style="3451" customWidth="1"/>
    <col min="2859" max="2863" width="0" style="3451" hidden="1" customWidth="1"/>
    <col min="2864" max="3072" width="9" style="3451"/>
    <col min="3073" max="3073" width="31.75" style="3451" customWidth="1"/>
    <col min="3074" max="3074" width="0" style="3451" hidden="1" customWidth="1"/>
    <col min="3075" max="3076" width="7.875" style="3451" customWidth="1"/>
    <col min="3077" max="3079" width="0" style="3451" hidden="1" customWidth="1"/>
    <col min="3080" max="3080" width="9.375" style="3451" customWidth="1"/>
    <col min="3081" max="3081" width="9.875" style="3451" customWidth="1"/>
    <col min="3082" max="3082" width="7.5" style="3451" customWidth="1"/>
    <col min="3083" max="3083" width="7.875" style="3451" customWidth="1"/>
    <col min="3084" max="3084" width="11.75" style="3451" customWidth="1"/>
    <col min="3085" max="3093" width="0" style="3451" hidden="1" customWidth="1"/>
    <col min="3094" max="3094" width="13.375" style="3451" customWidth="1"/>
    <col min="3095" max="3099" width="0" style="3451" hidden="1" customWidth="1"/>
    <col min="3100" max="3100" width="9" style="3451" customWidth="1"/>
    <col min="3101" max="3106" width="0" style="3451" hidden="1" customWidth="1"/>
    <col min="3107" max="3107" width="10.625" style="3451" customWidth="1"/>
    <col min="3108" max="3109" width="0" style="3451" hidden="1" customWidth="1"/>
    <col min="3110" max="3111" width="14.375" style="3451" customWidth="1"/>
    <col min="3112" max="3113" width="0" style="3451" hidden="1" customWidth="1"/>
    <col min="3114" max="3114" width="6.25" style="3451" customWidth="1"/>
    <col min="3115" max="3119" width="0" style="3451" hidden="1" customWidth="1"/>
    <col min="3120" max="3328" width="9" style="3451"/>
    <col min="3329" max="3329" width="31.75" style="3451" customWidth="1"/>
    <col min="3330" max="3330" width="0" style="3451" hidden="1" customWidth="1"/>
    <col min="3331" max="3332" width="7.875" style="3451" customWidth="1"/>
    <col min="3333" max="3335" width="0" style="3451" hidden="1" customWidth="1"/>
    <col min="3336" max="3336" width="9.375" style="3451" customWidth="1"/>
    <col min="3337" max="3337" width="9.875" style="3451" customWidth="1"/>
    <col min="3338" max="3338" width="7.5" style="3451" customWidth="1"/>
    <col min="3339" max="3339" width="7.875" style="3451" customWidth="1"/>
    <col min="3340" max="3340" width="11.75" style="3451" customWidth="1"/>
    <col min="3341" max="3349" width="0" style="3451" hidden="1" customWidth="1"/>
    <col min="3350" max="3350" width="13.375" style="3451" customWidth="1"/>
    <col min="3351" max="3355" width="0" style="3451" hidden="1" customWidth="1"/>
    <col min="3356" max="3356" width="9" style="3451" customWidth="1"/>
    <col min="3357" max="3362" width="0" style="3451" hidden="1" customWidth="1"/>
    <col min="3363" max="3363" width="10.625" style="3451" customWidth="1"/>
    <col min="3364" max="3365" width="0" style="3451" hidden="1" customWidth="1"/>
    <col min="3366" max="3367" width="14.375" style="3451" customWidth="1"/>
    <col min="3368" max="3369" width="0" style="3451" hidden="1" customWidth="1"/>
    <col min="3370" max="3370" width="6.25" style="3451" customWidth="1"/>
    <col min="3371" max="3375" width="0" style="3451" hidden="1" customWidth="1"/>
    <col min="3376" max="3584" width="9" style="3451"/>
    <col min="3585" max="3585" width="31.75" style="3451" customWidth="1"/>
    <col min="3586" max="3586" width="0" style="3451" hidden="1" customWidth="1"/>
    <col min="3587" max="3588" width="7.875" style="3451" customWidth="1"/>
    <col min="3589" max="3591" width="0" style="3451" hidden="1" customWidth="1"/>
    <col min="3592" max="3592" width="9.375" style="3451" customWidth="1"/>
    <col min="3593" max="3593" width="9.875" style="3451" customWidth="1"/>
    <col min="3594" max="3594" width="7.5" style="3451" customWidth="1"/>
    <col min="3595" max="3595" width="7.875" style="3451" customWidth="1"/>
    <col min="3596" max="3596" width="11.75" style="3451" customWidth="1"/>
    <col min="3597" max="3605" width="0" style="3451" hidden="1" customWidth="1"/>
    <col min="3606" max="3606" width="13.375" style="3451" customWidth="1"/>
    <col min="3607" max="3611" width="0" style="3451" hidden="1" customWidth="1"/>
    <col min="3612" max="3612" width="9" style="3451" customWidth="1"/>
    <col min="3613" max="3618" width="0" style="3451" hidden="1" customWidth="1"/>
    <col min="3619" max="3619" width="10.625" style="3451" customWidth="1"/>
    <col min="3620" max="3621" width="0" style="3451" hidden="1" customWidth="1"/>
    <col min="3622" max="3623" width="14.375" style="3451" customWidth="1"/>
    <col min="3624" max="3625" width="0" style="3451" hidden="1" customWidth="1"/>
    <col min="3626" max="3626" width="6.25" style="3451" customWidth="1"/>
    <col min="3627" max="3631" width="0" style="3451" hidden="1" customWidth="1"/>
    <col min="3632" max="3840" width="9" style="3451"/>
    <col min="3841" max="3841" width="31.75" style="3451" customWidth="1"/>
    <col min="3842" max="3842" width="0" style="3451" hidden="1" customWidth="1"/>
    <col min="3843" max="3844" width="7.875" style="3451" customWidth="1"/>
    <col min="3845" max="3847" width="0" style="3451" hidden="1" customWidth="1"/>
    <col min="3848" max="3848" width="9.375" style="3451" customWidth="1"/>
    <col min="3849" max="3849" width="9.875" style="3451" customWidth="1"/>
    <col min="3850" max="3850" width="7.5" style="3451" customWidth="1"/>
    <col min="3851" max="3851" width="7.875" style="3451" customWidth="1"/>
    <col min="3852" max="3852" width="11.75" style="3451" customWidth="1"/>
    <col min="3853" max="3861" width="0" style="3451" hidden="1" customWidth="1"/>
    <col min="3862" max="3862" width="13.375" style="3451" customWidth="1"/>
    <col min="3863" max="3867" width="0" style="3451" hidden="1" customWidth="1"/>
    <col min="3868" max="3868" width="9" style="3451" customWidth="1"/>
    <col min="3869" max="3874" width="0" style="3451" hidden="1" customWidth="1"/>
    <col min="3875" max="3875" width="10.625" style="3451" customWidth="1"/>
    <col min="3876" max="3877" width="0" style="3451" hidden="1" customWidth="1"/>
    <col min="3878" max="3879" width="14.375" style="3451" customWidth="1"/>
    <col min="3880" max="3881" width="0" style="3451" hidden="1" customWidth="1"/>
    <col min="3882" max="3882" width="6.25" style="3451" customWidth="1"/>
    <col min="3883" max="3887" width="0" style="3451" hidden="1" customWidth="1"/>
    <col min="3888" max="4096" width="9" style="3451"/>
    <col min="4097" max="4097" width="31.75" style="3451" customWidth="1"/>
    <col min="4098" max="4098" width="0" style="3451" hidden="1" customWidth="1"/>
    <col min="4099" max="4100" width="7.875" style="3451" customWidth="1"/>
    <col min="4101" max="4103" width="0" style="3451" hidden="1" customWidth="1"/>
    <col min="4104" max="4104" width="9.375" style="3451" customWidth="1"/>
    <col min="4105" max="4105" width="9.875" style="3451" customWidth="1"/>
    <col min="4106" max="4106" width="7.5" style="3451" customWidth="1"/>
    <col min="4107" max="4107" width="7.875" style="3451" customWidth="1"/>
    <col min="4108" max="4108" width="11.75" style="3451" customWidth="1"/>
    <col min="4109" max="4117" width="0" style="3451" hidden="1" customWidth="1"/>
    <col min="4118" max="4118" width="13.375" style="3451" customWidth="1"/>
    <col min="4119" max="4123" width="0" style="3451" hidden="1" customWidth="1"/>
    <col min="4124" max="4124" width="9" style="3451" customWidth="1"/>
    <col min="4125" max="4130" width="0" style="3451" hidden="1" customWidth="1"/>
    <col min="4131" max="4131" width="10.625" style="3451" customWidth="1"/>
    <col min="4132" max="4133" width="0" style="3451" hidden="1" customWidth="1"/>
    <col min="4134" max="4135" width="14.375" style="3451" customWidth="1"/>
    <col min="4136" max="4137" width="0" style="3451" hidden="1" customWidth="1"/>
    <col min="4138" max="4138" width="6.25" style="3451" customWidth="1"/>
    <col min="4139" max="4143" width="0" style="3451" hidden="1" customWidth="1"/>
    <col min="4144" max="4352" width="9" style="3451"/>
    <col min="4353" max="4353" width="31.75" style="3451" customWidth="1"/>
    <col min="4354" max="4354" width="0" style="3451" hidden="1" customWidth="1"/>
    <col min="4355" max="4356" width="7.875" style="3451" customWidth="1"/>
    <col min="4357" max="4359" width="0" style="3451" hidden="1" customWidth="1"/>
    <col min="4360" max="4360" width="9.375" style="3451" customWidth="1"/>
    <col min="4361" max="4361" width="9.875" style="3451" customWidth="1"/>
    <col min="4362" max="4362" width="7.5" style="3451" customWidth="1"/>
    <col min="4363" max="4363" width="7.875" style="3451" customWidth="1"/>
    <col min="4364" max="4364" width="11.75" style="3451" customWidth="1"/>
    <col min="4365" max="4373" width="0" style="3451" hidden="1" customWidth="1"/>
    <col min="4374" max="4374" width="13.375" style="3451" customWidth="1"/>
    <col min="4375" max="4379" width="0" style="3451" hidden="1" customWidth="1"/>
    <col min="4380" max="4380" width="9" style="3451" customWidth="1"/>
    <col min="4381" max="4386" width="0" style="3451" hidden="1" customWidth="1"/>
    <col min="4387" max="4387" width="10.625" style="3451" customWidth="1"/>
    <col min="4388" max="4389" width="0" style="3451" hidden="1" customWidth="1"/>
    <col min="4390" max="4391" width="14.375" style="3451" customWidth="1"/>
    <col min="4392" max="4393" width="0" style="3451" hidden="1" customWidth="1"/>
    <col min="4394" max="4394" width="6.25" style="3451" customWidth="1"/>
    <col min="4395" max="4399" width="0" style="3451" hidden="1" customWidth="1"/>
    <col min="4400" max="4608" width="9" style="3451"/>
    <col min="4609" max="4609" width="31.75" style="3451" customWidth="1"/>
    <col min="4610" max="4610" width="0" style="3451" hidden="1" customWidth="1"/>
    <col min="4611" max="4612" width="7.875" style="3451" customWidth="1"/>
    <col min="4613" max="4615" width="0" style="3451" hidden="1" customWidth="1"/>
    <col min="4616" max="4616" width="9.375" style="3451" customWidth="1"/>
    <col min="4617" max="4617" width="9.875" style="3451" customWidth="1"/>
    <col min="4618" max="4618" width="7.5" style="3451" customWidth="1"/>
    <col min="4619" max="4619" width="7.875" style="3451" customWidth="1"/>
    <col min="4620" max="4620" width="11.75" style="3451" customWidth="1"/>
    <col min="4621" max="4629" width="0" style="3451" hidden="1" customWidth="1"/>
    <col min="4630" max="4630" width="13.375" style="3451" customWidth="1"/>
    <col min="4631" max="4635" width="0" style="3451" hidden="1" customWidth="1"/>
    <col min="4636" max="4636" width="9" style="3451" customWidth="1"/>
    <col min="4637" max="4642" width="0" style="3451" hidden="1" customWidth="1"/>
    <col min="4643" max="4643" width="10.625" style="3451" customWidth="1"/>
    <col min="4644" max="4645" width="0" style="3451" hidden="1" customWidth="1"/>
    <col min="4646" max="4647" width="14.375" style="3451" customWidth="1"/>
    <col min="4648" max="4649" width="0" style="3451" hidden="1" customWidth="1"/>
    <col min="4650" max="4650" width="6.25" style="3451" customWidth="1"/>
    <col min="4651" max="4655" width="0" style="3451" hidden="1" customWidth="1"/>
    <col min="4656" max="4864" width="9" style="3451"/>
    <col min="4865" max="4865" width="31.75" style="3451" customWidth="1"/>
    <col min="4866" max="4866" width="0" style="3451" hidden="1" customWidth="1"/>
    <col min="4867" max="4868" width="7.875" style="3451" customWidth="1"/>
    <col min="4869" max="4871" width="0" style="3451" hidden="1" customWidth="1"/>
    <col min="4872" max="4872" width="9.375" style="3451" customWidth="1"/>
    <col min="4873" max="4873" width="9.875" style="3451" customWidth="1"/>
    <col min="4874" max="4874" width="7.5" style="3451" customWidth="1"/>
    <col min="4875" max="4875" width="7.875" style="3451" customWidth="1"/>
    <col min="4876" max="4876" width="11.75" style="3451" customWidth="1"/>
    <col min="4877" max="4885" width="0" style="3451" hidden="1" customWidth="1"/>
    <col min="4886" max="4886" width="13.375" style="3451" customWidth="1"/>
    <col min="4887" max="4891" width="0" style="3451" hidden="1" customWidth="1"/>
    <col min="4892" max="4892" width="9" style="3451" customWidth="1"/>
    <col min="4893" max="4898" width="0" style="3451" hidden="1" customWidth="1"/>
    <col min="4899" max="4899" width="10.625" style="3451" customWidth="1"/>
    <col min="4900" max="4901" width="0" style="3451" hidden="1" customWidth="1"/>
    <col min="4902" max="4903" width="14.375" style="3451" customWidth="1"/>
    <col min="4904" max="4905" width="0" style="3451" hidden="1" customWidth="1"/>
    <col min="4906" max="4906" width="6.25" style="3451" customWidth="1"/>
    <col min="4907" max="4911" width="0" style="3451" hidden="1" customWidth="1"/>
    <col min="4912" max="5120" width="9" style="3451"/>
    <col min="5121" max="5121" width="31.75" style="3451" customWidth="1"/>
    <col min="5122" max="5122" width="0" style="3451" hidden="1" customWidth="1"/>
    <col min="5123" max="5124" width="7.875" style="3451" customWidth="1"/>
    <col min="5125" max="5127" width="0" style="3451" hidden="1" customWidth="1"/>
    <col min="5128" max="5128" width="9.375" style="3451" customWidth="1"/>
    <col min="5129" max="5129" width="9.875" style="3451" customWidth="1"/>
    <col min="5130" max="5130" width="7.5" style="3451" customWidth="1"/>
    <col min="5131" max="5131" width="7.875" style="3451" customWidth="1"/>
    <col min="5132" max="5132" width="11.75" style="3451" customWidth="1"/>
    <col min="5133" max="5141" width="0" style="3451" hidden="1" customWidth="1"/>
    <col min="5142" max="5142" width="13.375" style="3451" customWidth="1"/>
    <col min="5143" max="5147" width="0" style="3451" hidden="1" customWidth="1"/>
    <col min="5148" max="5148" width="9" style="3451" customWidth="1"/>
    <col min="5149" max="5154" width="0" style="3451" hidden="1" customWidth="1"/>
    <col min="5155" max="5155" width="10.625" style="3451" customWidth="1"/>
    <col min="5156" max="5157" width="0" style="3451" hidden="1" customWidth="1"/>
    <col min="5158" max="5159" width="14.375" style="3451" customWidth="1"/>
    <col min="5160" max="5161" width="0" style="3451" hidden="1" customWidth="1"/>
    <col min="5162" max="5162" width="6.25" style="3451" customWidth="1"/>
    <col min="5163" max="5167" width="0" style="3451" hidden="1" customWidth="1"/>
    <col min="5168" max="5376" width="9" style="3451"/>
    <col min="5377" max="5377" width="31.75" style="3451" customWidth="1"/>
    <col min="5378" max="5378" width="0" style="3451" hidden="1" customWidth="1"/>
    <col min="5379" max="5380" width="7.875" style="3451" customWidth="1"/>
    <col min="5381" max="5383" width="0" style="3451" hidden="1" customWidth="1"/>
    <col min="5384" max="5384" width="9.375" style="3451" customWidth="1"/>
    <col min="5385" max="5385" width="9.875" style="3451" customWidth="1"/>
    <col min="5386" max="5386" width="7.5" style="3451" customWidth="1"/>
    <col min="5387" max="5387" width="7.875" style="3451" customWidth="1"/>
    <col min="5388" max="5388" width="11.75" style="3451" customWidth="1"/>
    <col min="5389" max="5397" width="0" style="3451" hidden="1" customWidth="1"/>
    <col min="5398" max="5398" width="13.375" style="3451" customWidth="1"/>
    <col min="5399" max="5403" width="0" style="3451" hidden="1" customWidth="1"/>
    <col min="5404" max="5404" width="9" style="3451" customWidth="1"/>
    <col min="5405" max="5410" width="0" style="3451" hidden="1" customWidth="1"/>
    <col min="5411" max="5411" width="10.625" style="3451" customWidth="1"/>
    <col min="5412" max="5413" width="0" style="3451" hidden="1" customWidth="1"/>
    <col min="5414" max="5415" width="14.375" style="3451" customWidth="1"/>
    <col min="5416" max="5417" width="0" style="3451" hidden="1" customWidth="1"/>
    <col min="5418" max="5418" width="6.25" style="3451" customWidth="1"/>
    <col min="5419" max="5423" width="0" style="3451" hidden="1" customWidth="1"/>
    <col min="5424" max="5632" width="9" style="3451"/>
    <col min="5633" max="5633" width="31.75" style="3451" customWidth="1"/>
    <col min="5634" max="5634" width="0" style="3451" hidden="1" customWidth="1"/>
    <col min="5635" max="5636" width="7.875" style="3451" customWidth="1"/>
    <col min="5637" max="5639" width="0" style="3451" hidden="1" customWidth="1"/>
    <col min="5640" max="5640" width="9.375" style="3451" customWidth="1"/>
    <col min="5641" max="5641" width="9.875" style="3451" customWidth="1"/>
    <col min="5642" max="5642" width="7.5" style="3451" customWidth="1"/>
    <col min="5643" max="5643" width="7.875" style="3451" customWidth="1"/>
    <col min="5644" max="5644" width="11.75" style="3451" customWidth="1"/>
    <col min="5645" max="5653" width="0" style="3451" hidden="1" customWidth="1"/>
    <col min="5654" max="5654" width="13.375" style="3451" customWidth="1"/>
    <col min="5655" max="5659" width="0" style="3451" hidden="1" customWidth="1"/>
    <col min="5660" max="5660" width="9" style="3451" customWidth="1"/>
    <col min="5661" max="5666" width="0" style="3451" hidden="1" customWidth="1"/>
    <col min="5667" max="5667" width="10.625" style="3451" customWidth="1"/>
    <col min="5668" max="5669" width="0" style="3451" hidden="1" customWidth="1"/>
    <col min="5670" max="5671" width="14.375" style="3451" customWidth="1"/>
    <col min="5672" max="5673" width="0" style="3451" hidden="1" customWidth="1"/>
    <col min="5674" max="5674" width="6.25" style="3451" customWidth="1"/>
    <col min="5675" max="5679" width="0" style="3451" hidden="1" customWidth="1"/>
    <col min="5680" max="5888" width="9" style="3451"/>
    <col min="5889" max="5889" width="31.75" style="3451" customWidth="1"/>
    <col min="5890" max="5890" width="0" style="3451" hidden="1" customWidth="1"/>
    <col min="5891" max="5892" width="7.875" style="3451" customWidth="1"/>
    <col min="5893" max="5895" width="0" style="3451" hidden="1" customWidth="1"/>
    <col min="5896" max="5896" width="9.375" style="3451" customWidth="1"/>
    <col min="5897" max="5897" width="9.875" style="3451" customWidth="1"/>
    <col min="5898" max="5898" width="7.5" style="3451" customWidth="1"/>
    <col min="5899" max="5899" width="7.875" style="3451" customWidth="1"/>
    <col min="5900" max="5900" width="11.75" style="3451" customWidth="1"/>
    <col min="5901" max="5909" width="0" style="3451" hidden="1" customWidth="1"/>
    <col min="5910" max="5910" width="13.375" style="3451" customWidth="1"/>
    <col min="5911" max="5915" width="0" style="3451" hidden="1" customWidth="1"/>
    <col min="5916" max="5916" width="9" style="3451" customWidth="1"/>
    <col min="5917" max="5922" width="0" style="3451" hidden="1" customWidth="1"/>
    <col min="5923" max="5923" width="10.625" style="3451" customWidth="1"/>
    <col min="5924" max="5925" width="0" style="3451" hidden="1" customWidth="1"/>
    <col min="5926" max="5927" width="14.375" style="3451" customWidth="1"/>
    <col min="5928" max="5929" width="0" style="3451" hidden="1" customWidth="1"/>
    <col min="5930" max="5930" width="6.25" style="3451" customWidth="1"/>
    <col min="5931" max="5935" width="0" style="3451" hidden="1" customWidth="1"/>
    <col min="5936" max="6144" width="9" style="3451"/>
    <col min="6145" max="6145" width="31.75" style="3451" customWidth="1"/>
    <col min="6146" max="6146" width="0" style="3451" hidden="1" customWidth="1"/>
    <col min="6147" max="6148" width="7.875" style="3451" customWidth="1"/>
    <col min="6149" max="6151" width="0" style="3451" hidden="1" customWidth="1"/>
    <col min="6152" max="6152" width="9.375" style="3451" customWidth="1"/>
    <col min="6153" max="6153" width="9.875" style="3451" customWidth="1"/>
    <col min="6154" max="6154" width="7.5" style="3451" customWidth="1"/>
    <col min="6155" max="6155" width="7.875" style="3451" customWidth="1"/>
    <col min="6156" max="6156" width="11.75" style="3451" customWidth="1"/>
    <col min="6157" max="6165" width="0" style="3451" hidden="1" customWidth="1"/>
    <col min="6166" max="6166" width="13.375" style="3451" customWidth="1"/>
    <col min="6167" max="6171" width="0" style="3451" hidden="1" customWidth="1"/>
    <col min="6172" max="6172" width="9" style="3451" customWidth="1"/>
    <col min="6173" max="6178" width="0" style="3451" hidden="1" customWidth="1"/>
    <col min="6179" max="6179" width="10.625" style="3451" customWidth="1"/>
    <col min="6180" max="6181" width="0" style="3451" hidden="1" customWidth="1"/>
    <col min="6182" max="6183" width="14.375" style="3451" customWidth="1"/>
    <col min="6184" max="6185" width="0" style="3451" hidden="1" customWidth="1"/>
    <col min="6186" max="6186" width="6.25" style="3451" customWidth="1"/>
    <col min="6187" max="6191" width="0" style="3451" hidden="1" customWidth="1"/>
    <col min="6192" max="6400" width="9" style="3451"/>
    <col min="6401" max="6401" width="31.75" style="3451" customWidth="1"/>
    <col min="6402" max="6402" width="0" style="3451" hidden="1" customWidth="1"/>
    <col min="6403" max="6404" width="7.875" style="3451" customWidth="1"/>
    <col min="6405" max="6407" width="0" style="3451" hidden="1" customWidth="1"/>
    <col min="6408" max="6408" width="9.375" style="3451" customWidth="1"/>
    <col min="6409" max="6409" width="9.875" style="3451" customWidth="1"/>
    <col min="6410" max="6410" width="7.5" style="3451" customWidth="1"/>
    <col min="6411" max="6411" width="7.875" style="3451" customWidth="1"/>
    <col min="6412" max="6412" width="11.75" style="3451" customWidth="1"/>
    <col min="6413" max="6421" width="0" style="3451" hidden="1" customWidth="1"/>
    <col min="6422" max="6422" width="13.375" style="3451" customWidth="1"/>
    <col min="6423" max="6427" width="0" style="3451" hidden="1" customWidth="1"/>
    <col min="6428" max="6428" width="9" style="3451" customWidth="1"/>
    <col min="6429" max="6434" width="0" style="3451" hidden="1" customWidth="1"/>
    <col min="6435" max="6435" width="10.625" style="3451" customWidth="1"/>
    <col min="6436" max="6437" width="0" style="3451" hidden="1" customWidth="1"/>
    <col min="6438" max="6439" width="14.375" style="3451" customWidth="1"/>
    <col min="6440" max="6441" width="0" style="3451" hidden="1" customWidth="1"/>
    <col min="6442" max="6442" width="6.25" style="3451" customWidth="1"/>
    <col min="6443" max="6447" width="0" style="3451" hidden="1" customWidth="1"/>
    <col min="6448" max="6656" width="9" style="3451"/>
    <col min="6657" max="6657" width="31.75" style="3451" customWidth="1"/>
    <col min="6658" max="6658" width="0" style="3451" hidden="1" customWidth="1"/>
    <col min="6659" max="6660" width="7.875" style="3451" customWidth="1"/>
    <col min="6661" max="6663" width="0" style="3451" hidden="1" customWidth="1"/>
    <col min="6664" max="6664" width="9.375" style="3451" customWidth="1"/>
    <col min="6665" max="6665" width="9.875" style="3451" customWidth="1"/>
    <col min="6666" max="6666" width="7.5" style="3451" customWidth="1"/>
    <col min="6667" max="6667" width="7.875" style="3451" customWidth="1"/>
    <col min="6668" max="6668" width="11.75" style="3451" customWidth="1"/>
    <col min="6669" max="6677" width="0" style="3451" hidden="1" customWidth="1"/>
    <col min="6678" max="6678" width="13.375" style="3451" customWidth="1"/>
    <col min="6679" max="6683" width="0" style="3451" hidden="1" customWidth="1"/>
    <col min="6684" max="6684" width="9" style="3451" customWidth="1"/>
    <col min="6685" max="6690" width="0" style="3451" hidden="1" customWidth="1"/>
    <col min="6691" max="6691" width="10.625" style="3451" customWidth="1"/>
    <col min="6692" max="6693" width="0" style="3451" hidden="1" customWidth="1"/>
    <col min="6694" max="6695" width="14.375" style="3451" customWidth="1"/>
    <col min="6696" max="6697" width="0" style="3451" hidden="1" customWidth="1"/>
    <col min="6698" max="6698" width="6.25" style="3451" customWidth="1"/>
    <col min="6699" max="6703" width="0" style="3451" hidden="1" customWidth="1"/>
    <col min="6704" max="6912" width="9" style="3451"/>
    <col min="6913" max="6913" width="31.75" style="3451" customWidth="1"/>
    <col min="6914" max="6914" width="0" style="3451" hidden="1" customWidth="1"/>
    <col min="6915" max="6916" width="7.875" style="3451" customWidth="1"/>
    <col min="6917" max="6919" width="0" style="3451" hidden="1" customWidth="1"/>
    <col min="6920" max="6920" width="9.375" style="3451" customWidth="1"/>
    <col min="6921" max="6921" width="9.875" style="3451" customWidth="1"/>
    <col min="6922" max="6922" width="7.5" style="3451" customWidth="1"/>
    <col min="6923" max="6923" width="7.875" style="3451" customWidth="1"/>
    <col min="6924" max="6924" width="11.75" style="3451" customWidth="1"/>
    <col min="6925" max="6933" width="0" style="3451" hidden="1" customWidth="1"/>
    <col min="6934" max="6934" width="13.375" style="3451" customWidth="1"/>
    <col min="6935" max="6939" width="0" style="3451" hidden="1" customWidth="1"/>
    <col min="6940" max="6940" width="9" style="3451" customWidth="1"/>
    <col min="6941" max="6946" width="0" style="3451" hidden="1" customWidth="1"/>
    <col min="6947" max="6947" width="10.625" style="3451" customWidth="1"/>
    <col min="6948" max="6949" width="0" style="3451" hidden="1" customWidth="1"/>
    <col min="6950" max="6951" width="14.375" style="3451" customWidth="1"/>
    <col min="6952" max="6953" width="0" style="3451" hidden="1" customWidth="1"/>
    <col min="6954" max="6954" width="6.25" style="3451" customWidth="1"/>
    <col min="6955" max="6959" width="0" style="3451" hidden="1" customWidth="1"/>
    <col min="6960" max="7168" width="9" style="3451"/>
    <col min="7169" max="7169" width="31.75" style="3451" customWidth="1"/>
    <col min="7170" max="7170" width="0" style="3451" hidden="1" customWidth="1"/>
    <col min="7171" max="7172" width="7.875" style="3451" customWidth="1"/>
    <col min="7173" max="7175" width="0" style="3451" hidden="1" customWidth="1"/>
    <col min="7176" max="7176" width="9.375" style="3451" customWidth="1"/>
    <col min="7177" max="7177" width="9.875" style="3451" customWidth="1"/>
    <col min="7178" max="7178" width="7.5" style="3451" customWidth="1"/>
    <col min="7179" max="7179" width="7.875" style="3451" customWidth="1"/>
    <col min="7180" max="7180" width="11.75" style="3451" customWidth="1"/>
    <col min="7181" max="7189" width="0" style="3451" hidden="1" customWidth="1"/>
    <col min="7190" max="7190" width="13.375" style="3451" customWidth="1"/>
    <col min="7191" max="7195" width="0" style="3451" hidden="1" customWidth="1"/>
    <col min="7196" max="7196" width="9" style="3451" customWidth="1"/>
    <col min="7197" max="7202" width="0" style="3451" hidden="1" customWidth="1"/>
    <col min="7203" max="7203" width="10.625" style="3451" customWidth="1"/>
    <col min="7204" max="7205" width="0" style="3451" hidden="1" customWidth="1"/>
    <col min="7206" max="7207" width="14.375" style="3451" customWidth="1"/>
    <col min="7208" max="7209" width="0" style="3451" hidden="1" customWidth="1"/>
    <col min="7210" max="7210" width="6.25" style="3451" customWidth="1"/>
    <col min="7211" max="7215" width="0" style="3451" hidden="1" customWidth="1"/>
    <col min="7216" max="7424" width="9" style="3451"/>
    <col min="7425" max="7425" width="31.75" style="3451" customWidth="1"/>
    <col min="7426" max="7426" width="0" style="3451" hidden="1" customWidth="1"/>
    <col min="7427" max="7428" width="7.875" style="3451" customWidth="1"/>
    <col min="7429" max="7431" width="0" style="3451" hidden="1" customWidth="1"/>
    <col min="7432" max="7432" width="9.375" style="3451" customWidth="1"/>
    <col min="7433" max="7433" width="9.875" style="3451" customWidth="1"/>
    <col min="7434" max="7434" width="7.5" style="3451" customWidth="1"/>
    <col min="7435" max="7435" width="7.875" style="3451" customWidth="1"/>
    <col min="7436" max="7436" width="11.75" style="3451" customWidth="1"/>
    <col min="7437" max="7445" width="0" style="3451" hidden="1" customWidth="1"/>
    <col min="7446" max="7446" width="13.375" style="3451" customWidth="1"/>
    <col min="7447" max="7451" width="0" style="3451" hidden="1" customWidth="1"/>
    <col min="7452" max="7452" width="9" style="3451" customWidth="1"/>
    <col min="7453" max="7458" width="0" style="3451" hidden="1" customWidth="1"/>
    <col min="7459" max="7459" width="10.625" style="3451" customWidth="1"/>
    <col min="7460" max="7461" width="0" style="3451" hidden="1" customWidth="1"/>
    <col min="7462" max="7463" width="14.375" style="3451" customWidth="1"/>
    <col min="7464" max="7465" width="0" style="3451" hidden="1" customWidth="1"/>
    <col min="7466" max="7466" width="6.25" style="3451" customWidth="1"/>
    <col min="7467" max="7471" width="0" style="3451" hidden="1" customWidth="1"/>
    <col min="7472" max="7680" width="9" style="3451"/>
    <col min="7681" max="7681" width="31.75" style="3451" customWidth="1"/>
    <col min="7682" max="7682" width="0" style="3451" hidden="1" customWidth="1"/>
    <col min="7683" max="7684" width="7.875" style="3451" customWidth="1"/>
    <col min="7685" max="7687" width="0" style="3451" hidden="1" customWidth="1"/>
    <col min="7688" max="7688" width="9.375" style="3451" customWidth="1"/>
    <col min="7689" max="7689" width="9.875" style="3451" customWidth="1"/>
    <col min="7690" max="7690" width="7.5" style="3451" customWidth="1"/>
    <col min="7691" max="7691" width="7.875" style="3451" customWidth="1"/>
    <col min="7692" max="7692" width="11.75" style="3451" customWidth="1"/>
    <col min="7693" max="7701" width="0" style="3451" hidden="1" customWidth="1"/>
    <col min="7702" max="7702" width="13.375" style="3451" customWidth="1"/>
    <col min="7703" max="7707" width="0" style="3451" hidden="1" customWidth="1"/>
    <col min="7708" max="7708" width="9" style="3451" customWidth="1"/>
    <col min="7709" max="7714" width="0" style="3451" hidden="1" customWidth="1"/>
    <col min="7715" max="7715" width="10.625" style="3451" customWidth="1"/>
    <col min="7716" max="7717" width="0" style="3451" hidden="1" customWidth="1"/>
    <col min="7718" max="7719" width="14.375" style="3451" customWidth="1"/>
    <col min="7720" max="7721" width="0" style="3451" hidden="1" customWidth="1"/>
    <col min="7722" max="7722" width="6.25" style="3451" customWidth="1"/>
    <col min="7723" max="7727" width="0" style="3451" hidden="1" customWidth="1"/>
    <col min="7728" max="7936" width="9" style="3451"/>
    <col min="7937" max="7937" width="31.75" style="3451" customWidth="1"/>
    <col min="7938" max="7938" width="0" style="3451" hidden="1" customWidth="1"/>
    <col min="7939" max="7940" width="7.875" style="3451" customWidth="1"/>
    <col min="7941" max="7943" width="0" style="3451" hidden="1" customWidth="1"/>
    <col min="7944" max="7944" width="9.375" style="3451" customWidth="1"/>
    <col min="7945" max="7945" width="9.875" style="3451" customWidth="1"/>
    <col min="7946" max="7946" width="7.5" style="3451" customWidth="1"/>
    <col min="7947" max="7947" width="7.875" style="3451" customWidth="1"/>
    <col min="7948" max="7948" width="11.75" style="3451" customWidth="1"/>
    <col min="7949" max="7957" width="0" style="3451" hidden="1" customWidth="1"/>
    <col min="7958" max="7958" width="13.375" style="3451" customWidth="1"/>
    <col min="7959" max="7963" width="0" style="3451" hidden="1" customWidth="1"/>
    <col min="7964" max="7964" width="9" style="3451" customWidth="1"/>
    <col min="7965" max="7970" width="0" style="3451" hidden="1" customWidth="1"/>
    <col min="7971" max="7971" width="10.625" style="3451" customWidth="1"/>
    <col min="7972" max="7973" width="0" style="3451" hidden="1" customWidth="1"/>
    <col min="7974" max="7975" width="14.375" style="3451" customWidth="1"/>
    <col min="7976" max="7977" width="0" style="3451" hidden="1" customWidth="1"/>
    <col min="7978" max="7978" width="6.25" style="3451" customWidth="1"/>
    <col min="7979" max="7983" width="0" style="3451" hidden="1" customWidth="1"/>
    <col min="7984" max="8192" width="9" style="3451"/>
    <col min="8193" max="8193" width="31.75" style="3451" customWidth="1"/>
    <col min="8194" max="8194" width="0" style="3451" hidden="1" customWidth="1"/>
    <col min="8195" max="8196" width="7.875" style="3451" customWidth="1"/>
    <col min="8197" max="8199" width="0" style="3451" hidden="1" customWidth="1"/>
    <col min="8200" max="8200" width="9.375" style="3451" customWidth="1"/>
    <col min="8201" max="8201" width="9.875" style="3451" customWidth="1"/>
    <col min="8202" max="8202" width="7.5" style="3451" customWidth="1"/>
    <col min="8203" max="8203" width="7.875" style="3451" customWidth="1"/>
    <col min="8204" max="8204" width="11.75" style="3451" customWidth="1"/>
    <col min="8205" max="8213" width="0" style="3451" hidden="1" customWidth="1"/>
    <col min="8214" max="8214" width="13.375" style="3451" customWidth="1"/>
    <col min="8215" max="8219" width="0" style="3451" hidden="1" customWidth="1"/>
    <col min="8220" max="8220" width="9" style="3451" customWidth="1"/>
    <col min="8221" max="8226" width="0" style="3451" hidden="1" customWidth="1"/>
    <col min="8227" max="8227" width="10.625" style="3451" customWidth="1"/>
    <col min="8228" max="8229" width="0" style="3451" hidden="1" customWidth="1"/>
    <col min="8230" max="8231" width="14.375" style="3451" customWidth="1"/>
    <col min="8232" max="8233" width="0" style="3451" hidden="1" customWidth="1"/>
    <col min="8234" max="8234" width="6.25" style="3451" customWidth="1"/>
    <col min="8235" max="8239" width="0" style="3451" hidden="1" customWidth="1"/>
    <col min="8240" max="8448" width="9" style="3451"/>
    <col min="8449" max="8449" width="31.75" style="3451" customWidth="1"/>
    <col min="8450" max="8450" width="0" style="3451" hidden="1" customWidth="1"/>
    <col min="8451" max="8452" width="7.875" style="3451" customWidth="1"/>
    <col min="8453" max="8455" width="0" style="3451" hidden="1" customWidth="1"/>
    <col min="8456" max="8456" width="9.375" style="3451" customWidth="1"/>
    <col min="8457" max="8457" width="9.875" style="3451" customWidth="1"/>
    <col min="8458" max="8458" width="7.5" style="3451" customWidth="1"/>
    <col min="8459" max="8459" width="7.875" style="3451" customWidth="1"/>
    <col min="8460" max="8460" width="11.75" style="3451" customWidth="1"/>
    <col min="8461" max="8469" width="0" style="3451" hidden="1" customWidth="1"/>
    <col min="8470" max="8470" width="13.375" style="3451" customWidth="1"/>
    <col min="8471" max="8475" width="0" style="3451" hidden="1" customWidth="1"/>
    <col min="8476" max="8476" width="9" style="3451" customWidth="1"/>
    <col min="8477" max="8482" width="0" style="3451" hidden="1" customWidth="1"/>
    <col min="8483" max="8483" width="10.625" style="3451" customWidth="1"/>
    <col min="8484" max="8485" width="0" style="3451" hidden="1" customWidth="1"/>
    <col min="8486" max="8487" width="14.375" style="3451" customWidth="1"/>
    <col min="8488" max="8489" width="0" style="3451" hidden="1" customWidth="1"/>
    <col min="8490" max="8490" width="6.25" style="3451" customWidth="1"/>
    <col min="8491" max="8495" width="0" style="3451" hidden="1" customWidth="1"/>
    <col min="8496" max="8704" width="9" style="3451"/>
    <col min="8705" max="8705" width="31.75" style="3451" customWidth="1"/>
    <col min="8706" max="8706" width="0" style="3451" hidden="1" customWidth="1"/>
    <col min="8707" max="8708" width="7.875" style="3451" customWidth="1"/>
    <col min="8709" max="8711" width="0" style="3451" hidden="1" customWidth="1"/>
    <col min="8712" max="8712" width="9.375" style="3451" customWidth="1"/>
    <col min="8713" max="8713" width="9.875" style="3451" customWidth="1"/>
    <col min="8714" max="8714" width="7.5" style="3451" customWidth="1"/>
    <col min="8715" max="8715" width="7.875" style="3451" customWidth="1"/>
    <col min="8716" max="8716" width="11.75" style="3451" customWidth="1"/>
    <col min="8717" max="8725" width="0" style="3451" hidden="1" customWidth="1"/>
    <col min="8726" max="8726" width="13.375" style="3451" customWidth="1"/>
    <col min="8727" max="8731" width="0" style="3451" hidden="1" customWidth="1"/>
    <col min="8732" max="8732" width="9" style="3451" customWidth="1"/>
    <col min="8733" max="8738" width="0" style="3451" hidden="1" customWidth="1"/>
    <col min="8739" max="8739" width="10.625" style="3451" customWidth="1"/>
    <col min="8740" max="8741" width="0" style="3451" hidden="1" customWidth="1"/>
    <col min="8742" max="8743" width="14.375" style="3451" customWidth="1"/>
    <col min="8744" max="8745" width="0" style="3451" hidden="1" customWidth="1"/>
    <col min="8746" max="8746" width="6.25" style="3451" customWidth="1"/>
    <col min="8747" max="8751" width="0" style="3451" hidden="1" customWidth="1"/>
    <col min="8752" max="8960" width="9" style="3451"/>
    <col min="8961" max="8961" width="31.75" style="3451" customWidth="1"/>
    <col min="8962" max="8962" width="0" style="3451" hidden="1" customWidth="1"/>
    <col min="8963" max="8964" width="7.875" style="3451" customWidth="1"/>
    <col min="8965" max="8967" width="0" style="3451" hidden="1" customWidth="1"/>
    <col min="8968" max="8968" width="9.375" style="3451" customWidth="1"/>
    <col min="8969" max="8969" width="9.875" style="3451" customWidth="1"/>
    <col min="8970" max="8970" width="7.5" style="3451" customWidth="1"/>
    <col min="8971" max="8971" width="7.875" style="3451" customWidth="1"/>
    <col min="8972" max="8972" width="11.75" style="3451" customWidth="1"/>
    <col min="8973" max="8981" width="0" style="3451" hidden="1" customWidth="1"/>
    <col min="8982" max="8982" width="13.375" style="3451" customWidth="1"/>
    <col min="8983" max="8987" width="0" style="3451" hidden="1" customWidth="1"/>
    <col min="8988" max="8988" width="9" style="3451" customWidth="1"/>
    <col min="8989" max="8994" width="0" style="3451" hidden="1" customWidth="1"/>
    <col min="8995" max="8995" width="10.625" style="3451" customWidth="1"/>
    <col min="8996" max="8997" width="0" style="3451" hidden="1" customWidth="1"/>
    <col min="8998" max="8999" width="14.375" style="3451" customWidth="1"/>
    <col min="9000" max="9001" width="0" style="3451" hidden="1" customWidth="1"/>
    <col min="9002" max="9002" width="6.25" style="3451" customWidth="1"/>
    <col min="9003" max="9007" width="0" style="3451" hidden="1" customWidth="1"/>
    <col min="9008" max="9216" width="9" style="3451"/>
    <col min="9217" max="9217" width="31.75" style="3451" customWidth="1"/>
    <col min="9218" max="9218" width="0" style="3451" hidden="1" customWidth="1"/>
    <col min="9219" max="9220" width="7.875" style="3451" customWidth="1"/>
    <col min="9221" max="9223" width="0" style="3451" hidden="1" customWidth="1"/>
    <col min="9224" max="9224" width="9.375" style="3451" customWidth="1"/>
    <col min="9225" max="9225" width="9.875" style="3451" customWidth="1"/>
    <col min="9226" max="9226" width="7.5" style="3451" customWidth="1"/>
    <col min="9227" max="9227" width="7.875" style="3451" customWidth="1"/>
    <col min="9228" max="9228" width="11.75" style="3451" customWidth="1"/>
    <col min="9229" max="9237" width="0" style="3451" hidden="1" customWidth="1"/>
    <col min="9238" max="9238" width="13.375" style="3451" customWidth="1"/>
    <col min="9239" max="9243" width="0" style="3451" hidden="1" customWidth="1"/>
    <col min="9244" max="9244" width="9" style="3451" customWidth="1"/>
    <col min="9245" max="9250" width="0" style="3451" hidden="1" customWidth="1"/>
    <col min="9251" max="9251" width="10.625" style="3451" customWidth="1"/>
    <col min="9252" max="9253" width="0" style="3451" hidden="1" customWidth="1"/>
    <col min="9254" max="9255" width="14.375" style="3451" customWidth="1"/>
    <col min="9256" max="9257" width="0" style="3451" hidden="1" customWidth="1"/>
    <col min="9258" max="9258" width="6.25" style="3451" customWidth="1"/>
    <col min="9259" max="9263" width="0" style="3451" hidden="1" customWidth="1"/>
    <col min="9264" max="9472" width="9" style="3451"/>
    <col min="9473" max="9473" width="31.75" style="3451" customWidth="1"/>
    <col min="9474" max="9474" width="0" style="3451" hidden="1" customWidth="1"/>
    <col min="9475" max="9476" width="7.875" style="3451" customWidth="1"/>
    <col min="9477" max="9479" width="0" style="3451" hidden="1" customWidth="1"/>
    <col min="9480" max="9480" width="9.375" style="3451" customWidth="1"/>
    <col min="9481" max="9481" width="9.875" style="3451" customWidth="1"/>
    <col min="9482" max="9482" width="7.5" style="3451" customWidth="1"/>
    <col min="9483" max="9483" width="7.875" style="3451" customWidth="1"/>
    <col min="9484" max="9484" width="11.75" style="3451" customWidth="1"/>
    <col min="9485" max="9493" width="0" style="3451" hidden="1" customWidth="1"/>
    <col min="9494" max="9494" width="13.375" style="3451" customWidth="1"/>
    <col min="9495" max="9499" width="0" style="3451" hidden="1" customWidth="1"/>
    <col min="9500" max="9500" width="9" style="3451" customWidth="1"/>
    <col min="9501" max="9506" width="0" style="3451" hidden="1" customWidth="1"/>
    <col min="9507" max="9507" width="10.625" style="3451" customWidth="1"/>
    <col min="9508" max="9509" width="0" style="3451" hidden="1" customWidth="1"/>
    <col min="9510" max="9511" width="14.375" style="3451" customWidth="1"/>
    <col min="9512" max="9513" width="0" style="3451" hidden="1" customWidth="1"/>
    <col min="9514" max="9514" width="6.25" style="3451" customWidth="1"/>
    <col min="9515" max="9519" width="0" style="3451" hidden="1" customWidth="1"/>
    <col min="9520" max="9728" width="9" style="3451"/>
    <col min="9729" max="9729" width="31.75" style="3451" customWidth="1"/>
    <col min="9730" max="9730" width="0" style="3451" hidden="1" customWidth="1"/>
    <col min="9731" max="9732" width="7.875" style="3451" customWidth="1"/>
    <col min="9733" max="9735" width="0" style="3451" hidden="1" customWidth="1"/>
    <col min="9736" max="9736" width="9.375" style="3451" customWidth="1"/>
    <col min="9737" max="9737" width="9.875" style="3451" customWidth="1"/>
    <col min="9738" max="9738" width="7.5" style="3451" customWidth="1"/>
    <col min="9739" max="9739" width="7.875" style="3451" customWidth="1"/>
    <col min="9740" max="9740" width="11.75" style="3451" customWidth="1"/>
    <col min="9741" max="9749" width="0" style="3451" hidden="1" customWidth="1"/>
    <col min="9750" max="9750" width="13.375" style="3451" customWidth="1"/>
    <col min="9751" max="9755" width="0" style="3451" hidden="1" customWidth="1"/>
    <col min="9756" max="9756" width="9" style="3451" customWidth="1"/>
    <col min="9757" max="9762" width="0" style="3451" hidden="1" customWidth="1"/>
    <col min="9763" max="9763" width="10.625" style="3451" customWidth="1"/>
    <col min="9764" max="9765" width="0" style="3451" hidden="1" customWidth="1"/>
    <col min="9766" max="9767" width="14.375" style="3451" customWidth="1"/>
    <col min="9768" max="9769" width="0" style="3451" hidden="1" customWidth="1"/>
    <col min="9770" max="9770" width="6.25" style="3451" customWidth="1"/>
    <col min="9771" max="9775" width="0" style="3451" hidden="1" customWidth="1"/>
    <col min="9776" max="9984" width="9" style="3451"/>
    <col min="9985" max="9985" width="31.75" style="3451" customWidth="1"/>
    <col min="9986" max="9986" width="0" style="3451" hidden="1" customWidth="1"/>
    <col min="9987" max="9988" width="7.875" style="3451" customWidth="1"/>
    <col min="9989" max="9991" width="0" style="3451" hidden="1" customWidth="1"/>
    <col min="9992" max="9992" width="9.375" style="3451" customWidth="1"/>
    <col min="9993" max="9993" width="9.875" style="3451" customWidth="1"/>
    <col min="9994" max="9994" width="7.5" style="3451" customWidth="1"/>
    <col min="9995" max="9995" width="7.875" style="3451" customWidth="1"/>
    <col min="9996" max="9996" width="11.75" style="3451" customWidth="1"/>
    <col min="9997" max="10005" width="0" style="3451" hidden="1" customWidth="1"/>
    <col min="10006" max="10006" width="13.375" style="3451" customWidth="1"/>
    <col min="10007" max="10011" width="0" style="3451" hidden="1" customWidth="1"/>
    <col min="10012" max="10012" width="9" style="3451" customWidth="1"/>
    <col min="10013" max="10018" width="0" style="3451" hidden="1" customWidth="1"/>
    <col min="10019" max="10019" width="10.625" style="3451" customWidth="1"/>
    <col min="10020" max="10021" width="0" style="3451" hidden="1" customWidth="1"/>
    <col min="10022" max="10023" width="14.375" style="3451" customWidth="1"/>
    <col min="10024" max="10025" width="0" style="3451" hidden="1" customWidth="1"/>
    <col min="10026" max="10026" width="6.25" style="3451" customWidth="1"/>
    <col min="10027" max="10031" width="0" style="3451" hidden="1" customWidth="1"/>
    <col min="10032" max="10240" width="9" style="3451"/>
    <col min="10241" max="10241" width="31.75" style="3451" customWidth="1"/>
    <col min="10242" max="10242" width="0" style="3451" hidden="1" customWidth="1"/>
    <col min="10243" max="10244" width="7.875" style="3451" customWidth="1"/>
    <col min="10245" max="10247" width="0" style="3451" hidden="1" customWidth="1"/>
    <col min="10248" max="10248" width="9.375" style="3451" customWidth="1"/>
    <col min="10249" max="10249" width="9.875" style="3451" customWidth="1"/>
    <col min="10250" max="10250" width="7.5" style="3451" customWidth="1"/>
    <col min="10251" max="10251" width="7.875" style="3451" customWidth="1"/>
    <col min="10252" max="10252" width="11.75" style="3451" customWidth="1"/>
    <col min="10253" max="10261" width="0" style="3451" hidden="1" customWidth="1"/>
    <col min="10262" max="10262" width="13.375" style="3451" customWidth="1"/>
    <col min="10263" max="10267" width="0" style="3451" hidden="1" customWidth="1"/>
    <col min="10268" max="10268" width="9" style="3451" customWidth="1"/>
    <col min="10269" max="10274" width="0" style="3451" hidden="1" customWidth="1"/>
    <col min="10275" max="10275" width="10.625" style="3451" customWidth="1"/>
    <col min="10276" max="10277" width="0" style="3451" hidden="1" customWidth="1"/>
    <col min="10278" max="10279" width="14.375" style="3451" customWidth="1"/>
    <col min="10280" max="10281" width="0" style="3451" hidden="1" customWidth="1"/>
    <col min="10282" max="10282" width="6.25" style="3451" customWidth="1"/>
    <col min="10283" max="10287" width="0" style="3451" hidden="1" customWidth="1"/>
    <col min="10288" max="10496" width="9" style="3451"/>
    <col min="10497" max="10497" width="31.75" style="3451" customWidth="1"/>
    <col min="10498" max="10498" width="0" style="3451" hidden="1" customWidth="1"/>
    <col min="10499" max="10500" width="7.875" style="3451" customWidth="1"/>
    <col min="10501" max="10503" width="0" style="3451" hidden="1" customWidth="1"/>
    <col min="10504" max="10504" width="9.375" style="3451" customWidth="1"/>
    <col min="10505" max="10505" width="9.875" style="3451" customWidth="1"/>
    <col min="10506" max="10506" width="7.5" style="3451" customWidth="1"/>
    <col min="10507" max="10507" width="7.875" style="3451" customWidth="1"/>
    <col min="10508" max="10508" width="11.75" style="3451" customWidth="1"/>
    <col min="10509" max="10517" width="0" style="3451" hidden="1" customWidth="1"/>
    <col min="10518" max="10518" width="13.375" style="3451" customWidth="1"/>
    <col min="10519" max="10523" width="0" style="3451" hidden="1" customWidth="1"/>
    <col min="10524" max="10524" width="9" style="3451" customWidth="1"/>
    <col min="10525" max="10530" width="0" style="3451" hidden="1" customWidth="1"/>
    <col min="10531" max="10531" width="10.625" style="3451" customWidth="1"/>
    <col min="10532" max="10533" width="0" style="3451" hidden="1" customWidth="1"/>
    <col min="10534" max="10535" width="14.375" style="3451" customWidth="1"/>
    <col min="10536" max="10537" width="0" style="3451" hidden="1" customWidth="1"/>
    <col min="10538" max="10538" width="6.25" style="3451" customWidth="1"/>
    <col min="10539" max="10543" width="0" style="3451" hidden="1" customWidth="1"/>
    <col min="10544" max="10752" width="9" style="3451"/>
    <col min="10753" max="10753" width="31.75" style="3451" customWidth="1"/>
    <col min="10754" max="10754" width="0" style="3451" hidden="1" customWidth="1"/>
    <col min="10755" max="10756" width="7.875" style="3451" customWidth="1"/>
    <col min="10757" max="10759" width="0" style="3451" hidden="1" customWidth="1"/>
    <col min="10760" max="10760" width="9.375" style="3451" customWidth="1"/>
    <col min="10761" max="10761" width="9.875" style="3451" customWidth="1"/>
    <col min="10762" max="10762" width="7.5" style="3451" customWidth="1"/>
    <col min="10763" max="10763" width="7.875" style="3451" customWidth="1"/>
    <col min="10764" max="10764" width="11.75" style="3451" customWidth="1"/>
    <col min="10765" max="10773" width="0" style="3451" hidden="1" customWidth="1"/>
    <col min="10774" max="10774" width="13.375" style="3451" customWidth="1"/>
    <col min="10775" max="10779" width="0" style="3451" hidden="1" customWidth="1"/>
    <col min="10780" max="10780" width="9" style="3451" customWidth="1"/>
    <col min="10781" max="10786" width="0" style="3451" hidden="1" customWidth="1"/>
    <col min="10787" max="10787" width="10.625" style="3451" customWidth="1"/>
    <col min="10788" max="10789" width="0" style="3451" hidden="1" customWidth="1"/>
    <col min="10790" max="10791" width="14.375" style="3451" customWidth="1"/>
    <col min="10792" max="10793" width="0" style="3451" hidden="1" customWidth="1"/>
    <col min="10794" max="10794" width="6.25" style="3451" customWidth="1"/>
    <col min="10795" max="10799" width="0" style="3451" hidden="1" customWidth="1"/>
    <col min="10800" max="11008" width="9" style="3451"/>
    <col min="11009" max="11009" width="31.75" style="3451" customWidth="1"/>
    <col min="11010" max="11010" width="0" style="3451" hidden="1" customWidth="1"/>
    <col min="11011" max="11012" width="7.875" style="3451" customWidth="1"/>
    <col min="11013" max="11015" width="0" style="3451" hidden="1" customWidth="1"/>
    <col min="11016" max="11016" width="9.375" style="3451" customWidth="1"/>
    <col min="11017" max="11017" width="9.875" style="3451" customWidth="1"/>
    <col min="11018" max="11018" width="7.5" style="3451" customWidth="1"/>
    <col min="11019" max="11019" width="7.875" style="3451" customWidth="1"/>
    <col min="11020" max="11020" width="11.75" style="3451" customWidth="1"/>
    <col min="11021" max="11029" width="0" style="3451" hidden="1" customWidth="1"/>
    <col min="11030" max="11030" width="13.375" style="3451" customWidth="1"/>
    <col min="11031" max="11035" width="0" style="3451" hidden="1" customWidth="1"/>
    <col min="11036" max="11036" width="9" style="3451" customWidth="1"/>
    <col min="11037" max="11042" width="0" style="3451" hidden="1" customWidth="1"/>
    <col min="11043" max="11043" width="10.625" style="3451" customWidth="1"/>
    <col min="11044" max="11045" width="0" style="3451" hidden="1" customWidth="1"/>
    <col min="11046" max="11047" width="14.375" style="3451" customWidth="1"/>
    <col min="11048" max="11049" width="0" style="3451" hidden="1" customWidth="1"/>
    <col min="11050" max="11050" width="6.25" style="3451" customWidth="1"/>
    <col min="11051" max="11055" width="0" style="3451" hidden="1" customWidth="1"/>
    <col min="11056" max="11264" width="9" style="3451"/>
    <col min="11265" max="11265" width="31.75" style="3451" customWidth="1"/>
    <col min="11266" max="11266" width="0" style="3451" hidden="1" customWidth="1"/>
    <col min="11267" max="11268" width="7.875" style="3451" customWidth="1"/>
    <col min="11269" max="11271" width="0" style="3451" hidden="1" customWidth="1"/>
    <col min="11272" max="11272" width="9.375" style="3451" customWidth="1"/>
    <col min="11273" max="11273" width="9.875" style="3451" customWidth="1"/>
    <col min="11274" max="11274" width="7.5" style="3451" customWidth="1"/>
    <col min="11275" max="11275" width="7.875" style="3451" customWidth="1"/>
    <col min="11276" max="11276" width="11.75" style="3451" customWidth="1"/>
    <col min="11277" max="11285" width="0" style="3451" hidden="1" customWidth="1"/>
    <col min="11286" max="11286" width="13.375" style="3451" customWidth="1"/>
    <col min="11287" max="11291" width="0" style="3451" hidden="1" customWidth="1"/>
    <col min="11292" max="11292" width="9" style="3451" customWidth="1"/>
    <col min="11293" max="11298" width="0" style="3451" hidden="1" customWidth="1"/>
    <col min="11299" max="11299" width="10.625" style="3451" customWidth="1"/>
    <col min="11300" max="11301" width="0" style="3451" hidden="1" customWidth="1"/>
    <col min="11302" max="11303" width="14.375" style="3451" customWidth="1"/>
    <col min="11304" max="11305" width="0" style="3451" hidden="1" customWidth="1"/>
    <col min="11306" max="11306" width="6.25" style="3451" customWidth="1"/>
    <col min="11307" max="11311" width="0" style="3451" hidden="1" customWidth="1"/>
    <col min="11312" max="11520" width="9" style="3451"/>
    <col min="11521" max="11521" width="31.75" style="3451" customWidth="1"/>
    <col min="11522" max="11522" width="0" style="3451" hidden="1" customWidth="1"/>
    <col min="11523" max="11524" width="7.875" style="3451" customWidth="1"/>
    <col min="11525" max="11527" width="0" style="3451" hidden="1" customWidth="1"/>
    <col min="11528" max="11528" width="9.375" style="3451" customWidth="1"/>
    <col min="11529" max="11529" width="9.875" style="3451" customWidth="1"/>
    <col min="11530" max="11530" width="7.5" style="3451" customWidth="1"/>
    <col min="11531" max="11531" width="7.875" style="3451" customWidth="1"/>
    <col min="11532" max="11532" width="11.75" style="3451" customWidth="1"/>
    <col min="11533" max="11541" width="0" style="3451" hidden="1" customWidth="1"/>
    <col min="11542" max="11542" width="13.375" style="3451" customWidth="1"/>
    <col min="11543" max="11547" width="0" style="3451" hidden="1" customWidth="1"/>
    <col min="11548" max="11548" width="9" style="3451" customWidth="1"/>
    <col min="11549" max="11554" width="0" style="3451" hidden="1" customWidth="1"/>
    <col min="11555" max="11555" width="10.625" style="3451" customWidth="1"/>
    <col min="11556" max="11557" width="0" style="3451" hidden="1" customWidth="1"/>
    <col min="11558" max="11559" width="14.375" style="3451" customWidth="1"/>
    <col min="11560" max="11561" width="0" style="3451" hidden="1" customWidth="1"/>
    <col min="11562" max="11562" width="6.25" style="3451" customWidth="1"/>
    <col min="11563" max="11567" width="0" style="3451" hidden="1" customWidth="1"/>
    <col min="11568" max="11776" width="9" style="3451"/>
    <col min="11777" max="11777" width="31.75" style="3451" customWidth="1"/>
    <col min="11778" max="11778" width="0" style="3451" hidden="1" customWidth="1"/>
    <col min="11779" max="11780" width="7.875" style="3451" customWidth="1"/>
    <col min="11781" max="11783" width="0" style="3451" hidden="1" customWidth="1"/>
    <col min="11784" max="11784" width="9.375" style="3451" customWidth="1"/>
    <col min="11785" max="11785" width="9.875" style="3451" customWidth="1"/>
    <col min="11786" max="11786" width="7.5" style="3451" customWidth="1"/>
    <col min="11787" max="11787" width="7.875" style="3451" customWidth="1"/>
    <col min="11788" max="11788" width="11.75" style="3451" customWidth="1"/>
    <col min="11789" max="11797" width="0" style="3451" hidden="1" customWidth="1"/>
    <col min="11798" max="11798" width="13.375" style="3451" customWidth="1"/>
    <col min="11799" max="11803" width="0" style="3451" hidden="1" customWidth="1"/>
    <col min="11804" max="11804" width="9" style="3451" customWidth="1"/>
    <col min="11805" max="11810" width="0" style="3451" hidden="1" customWidth="1"/>
    <col min="11811" max="11811" width="10.625" style="3451" customWidth="1"/>
    <col min="11812" max="11813" width="0" style="3451" hidden="1" customWidth="1"/>
    <col min="11814" max="11815" width="14.375" style="3451" customWidth="1"/>
    <col min="11816" max="11817" width="0" style="3451" hidden="1" customWidth="1"/>
    <col min="11818" max="11818" width="6.25" style="3451" customWidth="1"/>
    <col min="11819" max="11823" width="0" style="3451" hidden="1" customWidth="1"/>
    <col min="11824" max="12032" width="9" style="3451"/>
    <col min="12033" max="12033" width="31.75" style="3451" customWidth="1"/>
    <col min="12034" max="12034" width="0" style="3451" hidden="1" customWidth="1"/>
    <col min="12035" max="12036" width="7.875" style="3451" customWidth="1"/>
    <col min="12037" max="12039" width="0" style="3451" hidden="1" customWidth="1"/>
    <col min="12040" max="12040" width="9.375" style="3451" customWidth="1"/>
    <col min="12041" max="12041" width="9.875" style="3451" customWidth="1"/>
    <col min="12042" max="12042" width="7.5" style="3451" customWidth="1"/>
    <col min="12043" max="12043" width="7.875" style="3451" customWidth="1"/>
    <col min="12044" max="12044" width="11.75" style="3451" customWidth="1"/>
    <col min="12045" max="12053" width="0" style="3451" hidden="1" customWidth="1"/>
    <col min="12054" max="12054" width="13.375" style="3451" customWidth="1"/>
    <col min="12055" max="12059" width="0" style="3451" hidden="1" customWidth="1"/>
    <col min="12060" max="12060" width="9" style="3451" customWidth="1"/>
    <col min="12061" max="12066" width="0" style="3451" hidden="1" customWidth="1"/>
    <col min="12067" max="12067" width="10.625" style="3451" customWidth="1"/>
    <col min="12068" max="12069" width="0" style="3451" hidden="1" customWidth="1"/>
    <col min="12070" max="12071" width="14.375" style="3451" customWidth="1"/>
    <col min="12072" max="12073" width="0" style="3451" hidden="1" customWidth="1"/>
    <col min="12074" max="12074" width="6.25" style="3451" customWidth="1"/>
    <col min="12075" max="12079" width="0" style="3451" hidden="1" customWidth="1"/>
    <col min="12080" max="12288" width="9" style="3451"/>
    <col min="12289" max="12289" width="31.75" style="3451" customWidth="1"/>
    <col min="12290" max="12290" width="0" style="3451" hidden="1" customWidth="1"/>
    <col min="12291" max="12292" width="7.875" style="3451" customWidth="1"/>
    <col min="12293" max="12295" width="0" style="3451" hidden="1" customWidth="1"/>
    <col min="12296" max="12296" width="9.375" style="3451" customWidth="1"/>
    <col min="12297" max="12297" width="9.875" style="3451" customWidth="1"/>
    <col min="12298" max="12298" width="7.5" style="3451" customWidth="1"/>
    <col min="12299" max="12299" width="7.875" style="3451" customWidth="1"/>
    <col min="12300" max="12300" width="11.75" style="3451" customWidth="1"/>
    <col min="12301" max="12309" width="0" style="3451" hidden="1" customWidth="1"/>
    <col min="12310" max="12310" width="13.375" style="3451" customWidth="1"/>
    <col min="12311" max="12315" width="0" style="3451" hidden="1" customWidth="1"/>
    <col min="12316" max="12316" width="9" style="3451" customWidth="1"/>
    <col min="12317" max="12322" width="0" style="3451" hidden="1" customWidth="1"/>
    <col min="12323" max="12323" width="10.625" style="3451" customWidth="1"/>
    <col min="12324" max="12325" width="0" style="3451" hidden="1" customWidth="1"/>
    <col min="12326" max="12327" width="14.375" style="3451" customWidth="1"/>
    <col min="12328" max="12329" width="0" style="3451" hidden="1" customWidth="1"/>
    <col min="12330" max="12330" width="6.25" style="3451" customWidth="1"/>
    <col min="12331" max="12335" width="0" style="3451" hidden="1" customWidth="1"/>
    <col min="12336" max="12544" width="9" style="3451"/>
    <col min="12545" max="12545" width="31.75" style="3451" customWidth="1"/>
    <col min="12546" max="12546" width="0" style="3451" hidden="1" customWidth="1"/>
    <col min="12547" max="12548" width="7.875" style="3451" customWidth="1"/>
    <col min="12549" max="12551" width="0" style="3451" hidden="1" customWidth="1"/>
    <col min="12552" max="12552" width="9.375" style="3451" customWidth="1"/>
    <col min="12553" max="12553" width="9.875" style="3451" customWidth="1"/>
    <col min="12554" max="12554" width="7.5" style="3451" customWidth="1"/>
    <col min="12555" max="12555" width="7.875" style="3451" customWidth="1"/>
    <col min="12556" max="12556" width="11.75" style="3451" customWidth="1"/>
    <col min="12557" max="12565" width="0" style="3451" hidden="1" customWidth="1"/>
    <col min="12566" max="12566" width="13.375" style="3451" customWidth="1"/>
    <col min="12567" max="12571" width="0" style="3451" hidden="1" customWidth="1"/>
    <col min="12572" max="12572" width="9" style="3451" customWidth="1"/>
    <col min="12573" max="12578" width="0" style="3451" hidden="1" customWidth="1"/>
    <col min="12579" max="12579" width="10.625" style="3451" customWidth="1"/>
    <col min="12580" max="12581" width="0" style="3451" hidden="1" customWidth="1"/>
    <col min="12582" max="12583" width="14.375" style="3451" customWidth="1"/>
    <col min="12584" max="12585" width="0" style="3451" hidden="1" customWidth="1"/>
    <col min="12586" max="12586" width="6.25" style="3451" customWidth="1"/>
    <col min="12587" max="12591" width="0" style="3451" hidden="1" customWidth="1"/>
    <col min="12592" max="12800" width="9" style="3451"/>
    <col min="12801" max="12801" width="31.75" style="3451" customWidth="1"/>
    <col min="12802" max="12802" width="0" style="3451" hidden="1" customWidth="1"/>
    <col min="12803" max="12804" width="7.875" style="3451" customWidth="1"/>
    <col min="12805" max="12807" width="0" style="3451" hidden="1" customWidth="1"/>
    <col min="12808" max="12808" width="9.375" style="3451" customWidth="1"/>
    <col min="12809" max="12809" width="9.875" style="3451" customWidth="1"/>
    <col min="12810" max="12810" width="7.5" style="3451" customWidth="1"/>
    <col min="12811" max="12811" width="7.875" style="3451" customWidth="1"/>
    <col min="12812" max="12812" width="11.75" style="3451" customWidth="1"/>
    <col min="12813" max="12821" width="0" style="3451" hidden="1" customWidth="1"/>
    <col min="12822" max="12822" width="13.375" style="3451" customWidth="1"/>
    <col min="12823" max="12827" width="0" style="3451" hidden="1" customWidth="1"/>
    <col min="12828" max="12828" width="9" style="3451" customWidth="1"/>
    <col min="12829" max="12834" width="0" style="3451" hidden="1" customWidth="1"/>
    <col min="12835" max="12835" width="10.625" style="3451" customWidth="1"/>
    <col min="12836" max="12837" width="0" style="3451" hidden="1" customWidth="1"/>
    <col min="12838" max="12839" width="14.375" style="3451" customWidth="1"/>
    <col min="12840" max="12841" width="0" style="3451" hidden="1" customWidth="1"/>
    <col min="12842" max="12842" width="6.25" style="3451" customWidth="1"/>
    <col min="12843" max="12847" width="0" style="3451" hidden="1" customWidth="1"/>
    <col min="12848" max="13056" width="9" style="3451"/>
    <col min="13057" max="13057" width="31.75" style="3451" customWidth="1"/>
    <col min="13058" max="13058" width="0" style="3451" hidden="1" customWidth="1"/>
    <col min="13059" max="13060" width="7.875" style="3451" customWidth="1"/>
    <col min="13061" max="13063" width="0" style="3451" hidden="1" customWidth="1"/>
    <col min="13064" max="13064" width="9.375" style="3451" customWidth="1"/>
    <col min="13065" max="13065" width="9.875" style="3451" customWidth="1"/>
    <col min="13066" max="13066" width="7.5" style="3451" customWidth="1"/>
    <col min="13067" max="13067" width="7.875" style="3451" customWidth="1"/>
    <col min="13068" max="13068" width="11.75" style="3451" customWidth="1"/>
    <col min="13069" max="13077" width="0" style="3451" hidden="1" customWidth="1"/>
    <col min="13078" max="13078" width="13.375" style="3451" customWidth="1"/>
    <col min="13079" max="13083" width="0" style="3451" hidden="1" customWidth="1"/>
    <col min="13084" max="13084" width="9" style="3451" customWidth="1"/>
    <col min="13085" max="13090" width="0" style="3451" hidden="1" customWidth="1"/>
    <col min="13091" max="13091" width="10.625" style="3451" customWidth="1"/>
    <col min="13092" max="13093" width="0" style="3451" hidden="1" customWidth="1"/>
    <col min="13094" max="13095" width="14.375" style="3451" customWidth="1"/>
    <col min="13096" max="13097" width="0" style="3451" hidden="1" customWidth="1"/>
    <col min="13098" max="13098" width="6.25" style="3451" customWidth="1"/>
    <col min="13099" max="13103" width="0" style="3451" hidden="1" customWidth="1"/>
    <col min="13104" max="13312" width="9" style="3451"/>
    <col min="13313" max="13313" width="31.75" style="3451" customWidth="1"/>
    <col min="13314" max="13314" width="0" style="3451" hidden="1" customWidth="1"/>
    <col min="13315" max="13316" width="7.875" style="3451" customWidth="1"/>
    <col min="13317" max="13319" width="0" style="3451" hidden="1" customWidth="1"/>
    <col min="13320" max="13320" width="9.375" style="3451" customWidth="1"/>
    <col min="13321" max="13321" width="9.875" style="3451" customWidth="1"/>
    <col min="13322" max="13322" width="7.5" style="3451" customWidth="1"/>
    <col min="13323" max="13323" width="7.875" style="3451" customWidth="1"/>
    <col min="13324" max="13324" width="11.75" style="3451" customWidth="1"/>
    <col min="13325" max="13333" width="0" style="3451" hidden="1" customWidth="1"/>
    <col min="13334" max="13334" width="13.375" style="3451" customWidth="1"/>
    <col min="13335" max="13339" width="0" style="3451" hidden="1" customWidth="1"/>
    <col min="13340" max="13340" width="9" style="3451" customWidth="1"/>
    <col min="13341" max="13346" width="0" style="3451" hidden="1" customWidth="1"/>
    <col min="13347" max="13347" width="10.625" style="3451" customWidth="1"/>
    <col min="13348" max="13349" width="0" style="3451" hidden="1" customWidth="1"/>
    <col min="13350" max="13351" width="14.375" style="3451" customWidth="1"/>
    <col min="13352" max="13353" width="0" style="3451" hidden="1" customWidth="1"/>
    <col min="13354" max="13354" width="6.25" style="3451" customWidth="1"/>
    <col min="13355" max="13359" width="0" style="3451" hidden="1" customWidth="1"/>
    <col min="13360" max="13568" width="9" style="3451"/>
    <col min="13569" max="13569" width="31.75" style="3451" customWidth="1"/>
    <col min="13570" max="13570" width="0" style="3451" hidden="1" customWidth="1"/>
    <col min="13571" max="13572" width="7.875" style="3451" customWidth="1"/>
    <col min="13573" max="13575" width="0" style="3451" hidden="1" customWidth="1"/>
    <col min="13576" max="13576" width="9.375" style="3451" customWidth="1"/>
    <col min="13577" max="13577" width="9.875" style="3451" customWidth="1"/>
    <col min="13578" max="13578" width="7.5" style="3451" customWidth="1"/>
    <col min="13579" max="13579" width="7.875" style="3451" customWidth="1"/>
    <col min="13580" max="13580" width="11.75" style="3451" customWidth="1"/>
    <col min="13581" max="13589" width="0" style="3451" hidden="1" customWidth="1"/>
    <col min="13590" max="13590" width="13.375" style="3451" customWidth="1"/>
    <col min="13591" max="13595" width="0" style="3451" hidden="1" customWidth="1"/>
    <col min="13596" max="13596" width="9" style="3451" customWidth="1"/>
    <col min="13597" max="13602" width="0" style="3451" hidden="1" customWidth="1"/>
    <col min="13603" max="13603" width="10.625" style="3451" customWidth="1"/>
    <col min="13604" max="13605" width="0" style="3451" hidden="1" customWidth="1"/>
    <col min="13606" max="13607" width="14.375" style="3451" customWidth="1"/>
    <col min="13608" max="13609" width="0" style="3451" hidden="1" customWidth="1"/>
    <col min="13610" max="13610" width="6.25" style="3451" customWidth="1"/>
    <col min="13611" max="13615" width="0" style="3451" hidden="1" customWidth="1"/>
    <col min="13616" max="13824" width="9" style="3451"/>
    <col min="13825" max="13825" width="31.75" style="3451" customWidth="1"/>
    <col min="13826" max="13826" width="0" style="3451" hidden="1" customWidth="1"/>
    <col min="13827" max="13828" width="7.875" style="3451" customWidth="1"/>
    <col min="13829" max="13831" width="0" style="3451" hidden="1" customWidth="1"/>
    <col min="13832" max="13832" width="9.375" style="3451" customWidth="1"/>
    <col min="13833" max="13833" width="9.875" style="3451" customWidth="1"/>
    <col min="13834" max="13834" width="7.5" style="3451" customWidth="1"/>
    <col min="13835" max="13835" width="7.875" style="3451" customWidth="1"/>
    <col min="13836" max="13836" width="11.75" style="3451" customWidth="1"/>
    <col min="13837" max="13845" width="0" style="3451" hidden="1" customWidth="1"/>
    <col min="13846" max="13846" width="13.375" style="3451" customWidth="1"/>
    <col min="13847" max="13851" width="0" style="3451" hidden="1" customWidth="1"/>
    <col min="13852" max="13852" width="9" style="3451" customWidth="1"/>
    <col min="13853" max="13858" width="0" style="3451" hidden="1" customWidth="1"/>
    <col min="13859" max="13859" width="10.625" style="3451" customWidth="1"/>
    <col min="13860" max="13861" width="0" style="3451" hidden="1" customWidth="1"/>
    <col min="13862" max="13863" width="14.375" style="3451" customWidth="1"/>
    <col min="13864" max="13865" width="0" style="3451" hidden="1" customWidth="1"/>
    <col min="13866" max="13866" width="6.25" style="3451" customWidth="1"/>
    <col min="13867" max="13871" width="0" style="3451" hidden="1" customWidth="1"/>
    <col min="13872" max="14080" width="9" style="3451"/>
    <col min="14081" max="14081" width="31.75" style="3451" customWidth="1"/>
    <col min="14082" max="14082" width="0" style="3451" hidden="1" customWidth="1"/>
    <col min="14083" max="14084" width="7.875" style="3451" customWidth="1"/>
    <col min="14085" max="14087" width="0" style="3451" hidden="1" customWidth="1"/>
    <col min="14088" max="14088" width="9.375" style="3451" customWidth="1"/>
    <col min="14089" max="14089" width="9.875" style="3451" customWidth="1"/>
    <col min="14090" max="14090" width="7.5" style="3451" customWidth="1"/>
    <col min="14091" max="14091" width="7.875" style="3451" customWidth="1"/>
    <col min="14092" max="14092" width="11.75" style="3451" customWidth="1"/>
    <col min="14093" max="14101" width="0" style="3451" hidden="1" customWidth="1"/>
    <col min="14102" max="14102" width="13.375" style="3451" customWidth="1"/>
    <col min="14103" max="14107" width="0" style="3451" hidden="1" customWidth="1"/>
    <col min="14108" max="14108" width="9" style="3451" customWidth="1"/>
    <col min="14109" max="14114" width="0" style="3451" hidden="1" customWidth="1"/>
    <col min="14115" max="14115" width="10.625" style="3451" customWidth="1"/>
    <col min="14116" max="14117" width="0" style="3451" hidden="1" customWidth="1"/>
    <col min="14118" max="14119" width="14.375" style="3451" customWidth="1"/>
    <col min="14120" max="14121" width="0" style="3451" hidden="1" customWidth="1"/>
    <col min="14122" max="14122" width="6.25" style="3451" customWidth="1"/>
    <col min="14123" max="14127" width="0" style="3451" hidden="1" customWidth="1"/>
    <col min="14128" max="14336" width="9" style="3451"/>
    <col min="14337" max="14337" width="31.75" style="3451" customWidth="1"/>
    <col min="14338" max="14338" width="0" style="3451" hidden="1" customWidth="1"/>
    <col min="14339" max="14340" width="7.875" style="3451" customWidth="1"/>
    <col min="14341" max="14343" width="0" style="3451" hidden="1" customWidth="1"/>
    <col min="14344" max="14344" width="9.375" style="3451" customWidth="1"/>
    <col min="14345" max="14345" width="9.875" style="3451" customWidth="1"/>
    <col min="14346" max="14346" width="7.5" style="3451" customWidth="1"/>
    <col min="14347" max="14347" width="7.875" style="3451" customWidth="1"/>
    <col min="14348" max="14348" width="11.75" style="3451" customWidth="1"/>
    <col min="14349" max="14357" width="0" style="3451" hidden="1" customWidth="1"/>
    <col min="14358" max="14358" width="13.375" style="3451" customWidth="1"/>
    <col min="14359" max="14363" width="0" style="3451" hidden="1" customWidth="1"/>
    <col min="14364" max="14364" width="9" style="3451" customWidth="1"/>
    <col min="14365" max="14370" width="0" style="3451" hidden="1" customWidth="1"/>
    <col min="14371" max="14371" width="10.625" style="3451" customWidth="1"/>
    <col min="14372" max="14373" width="0" style="3451" hidden="1" customWidth="1"/>
    <col min="14374" max="14375" width="14.375" style="3451" customWidth="1"/>
    <col min="14376" max="14377" width="0" style="3451" hidden="1" customWidth="1"/>
    <col min="14378" max="14378" width="6.25" style="3451" customWidth="1"/>
    <col min="14379" max="14383" width="0" style="3451" hidden="1" customWidth="1"/>
    <col min="14384" max="14592" width="9" style="3451"/>
    <col min="14593" max="14593" width="31.75" style="3451" customWidth="1"/>
    <col min="14594" max="14594" width="0" style="3451" hidden="1" customWidth="1"/>
    <col min="14595" max="14596" width="7.875" style="3451" customWidth="1"/>
    <col min="14597" max="14599" width="0" style="3451" hidden="1" customWidth="1"/>
    <col min="14600" max="14600" width="9.375" style="3451" customWidth="1"/>
    <col min="14601" max="14601" width="9.875" style="3451" customWidth="1"/>
    <col min="14602" max="14602" width="7.5" style="3451" customWidth="1"/>
    <col min="14603" max="14603" width="7.875" style="3451" customWidth="1"/>
    <col min="14604" max="14604" width="11.75" style="3451" customWidth="1"/>
    <col min="14605" max="14613" width="0" style="3451" hidden="1" customWidth="1"/>
    <col min="14614" max="14614" width="13.375" style="3451" customWidth="1"/>
    <col min="14615" max="14619" width="0" style="3451" hidden="1" customWidth="1"/>
    <col min="14620" max="14620" width="9" style="3451" customWidth="1"/>
    <col min="14621" max="14626" width="0" style="3451" hidden="1" customWidth="1"/>
    <col min="14627" max="14627" width="10.625" style="3451" customWidth="1"/>
    <col min="14628" max="14629" width="0" style="3451" hidden="1" customWidth="1"/>
    <col min="14630" max="14631" width="14.375" style="3451" customWidth="1"/>
    <col min="14632" max="14633" width="0" style="3451" hidden="1" customWidth="1"/>
    <col min="14634" max="14634" width="6.25" style="3451" customWidth="1"/>
    <col min="14635" max="14639" width="0" style="3451" hidden="1" customWidth="1"/>
    <col min="14640" max="14848" width="9" style="3451"/>
    <col min="14849" max="14849" width="31.75" style="3451" customWidth="1"/>
    <col min="14850" max="14850" width="0" style="3451" hidden="1" customWidth="1"/>
    <col min="14851" max="14852" width="7.875" style="3451" customWidth="1"/>
    <col min="14853" max="14855" width="0" style="3451" hidden="1" customWidth="1"/>
    <col min="14856" max="14856" width="9.375" style="3451" customWidth="1"/>
    <col min="14857" max="14857" width="9.875" style="3451" customWidth="1"/>
    <col min="14858" max="14858" width="7.5" style="3451" customWidth="1"/>
    <col min="14859" max="14859" width="7.875" style="3451" customWidth="1"/>
    <col min="14860" max="14860" width="11.75" style="3451" customWidth="1"/>
    <col min="14861" max="14869" width="0" style="3451" hidden="1" customWidth="1"/>
    <col min="14870" max="14870" width="13.375" style="3451" customWidth="1"/>
    <col min="14871" max="14875" width="0" style="3451" hidden="1" customWidth="1"/>
    <col min="14876" max="14876" width="9" style="3451" customWidth="1"/>
    <col min="14877" max="14882" width="0" style="3451" hidden="1" customWidth="1"/>
    <col min="14883" max="14883" width="10.625" style="3451" customWidth="1"/>
    <col min="14884" max="14885" width="0" style="3451" hidden="1" customWidth="1"/>
    <col min="14886" max="14887" width="14.375" style="3451" customWidth="1"/>
    <col min="14888" max="14889" width="0" style="3451" hidden="1" customWidth="1"/>
    <col min="14890" max="14890" width="6.25" style="3451" customWidth="1"/>
    <col min="14891" max="14895" width="0" style="3451" hidden="1" customWidth="1"/>
    <col min="14896" max="15104" width="9" style="3451"/>
    <col min="15105" max="15105" width="31.75" style="3451" customWidth="1"/>
    <col min="15106" max="15106" width="0" style="3451" hidden="1" customWidth="1"/>
    <col min="15107" max="15108" width="7.875" style="3451" customWidth="1"/>
    <col min="15109" max="15111" width="0" style="3451" hidden="1" customWidth="1"/>
    <col min="15112" max="15112" width="9.375" style="3451" customWidth="1"/>
    <col min="15113" max="15113" width="9.875" style="3451" customWidth="1"/>
    <col min="15114" max="15114" width="7.5" style="3451" customWidth="1"/>
    <col min="15115" max="15115" width="7.875" style="3451" customWidth="1"/>
    <col min="15116" max="15116" width="11.75" style="3451" customWidth="1"/>
    <col min="15117" max="15125" width="0" style="3451" hidden="1" customWidth="1"/>
    <col min="15126" max="15126" width="13.375" style="3451" customWidth="1"/>
    <col min="15127" max="15131" width="0" style="3451" hidden="1" customWidth="1"/>
    <col min="15132" max="15132" width="9" style="3451" customWidth="1"/>
    <col min="15133" max="15138" width="0" style="3451" hidden="1" customWidth="1"/>
    <col min="15139" max="15139" width="10.625" style="3451" customWidth="1"/>
    <col min="15140" max="15141" width="0" style="3451" hidden="1" customWidth="1"/>
    <col min="15142" max="15143" width="14.375" style="3451" customWidth="1"/>
    <col min="15144" max="15145" width="0" style="3451" hidden="1" customWidth="1"/>
    <col min="15146" max="15146" width="6.25" style="3451" customWidth="1"/>
    <col min="15147" max="15151" width="0" style="3451" hidden="1" customWidth="1"/>
    <col min="15152" max="15360" width="9" style="3451"/>
    <col min="15361" max="15361" width="31.75" style="3451" customWidth="1"/>
    <col min="15362" max="15362" width="0" style="3451" hidden="1" customWidth="1"/>
    <col min="15363" max="15364" width="7.875" style="3451" customWidth="1"/>
    <col min="15365" max="15367" width="0" style="3451" hidden="1" customWidth="1"/>
    <col min="15368" max="15368" width="9.375" style="3451" customWidth="1"/>
    <col min="15369" max="15369" width="9.875" style="3451" customWidth="1"/>
    <col min="15370" max="15370" width="7.5" style="3451" customWidth="1"/>
    <col min="15371" max="15371" width="7.875" style="3451" customWidth="1"/>
    <col min="15372" max="15372" width="11.75" style="3451" customWidth="1"/>
    <col min="15373" max="15381" width="0" style="3451" hidden="1" customWidth="1"/>
    <col min="15382" max="15382" width="13.375" style="3451" customWidth="1"/>
    <col min="15383" max="15387" width="0" style="3451" hidden="1" customWidth="1"/>
    <col min="15388" max="15388" width="9" style="3451" customWidth="1"/>
    <col min="15389" max="15394" width="0" style="3451" hidden="1" customWidth="1"/>
    <col min="15395" max="15395" width="10.625" style="3451" customWidth="1"/>
    <col min="15396" max="15397" width="0" style="3451" hidden="1" customWidth="1"/>
    <col min="15398" max="15399" width="14.375" style="3451" customWidth="1"/>
    <col min="15400" max="15401" width="0" style="3451" hidden="1" customWidth="1"/>
    <col min="15402" max="15402" width="6.25" style="3451" customWidth="1"/>
    <col min="15403" max="15407" width="0" style="3451" hidden="1" customWidth="1"/>
    <col min="15408" max="15616" width="9" style="3451"/>
    <col min="15617" max="15617" width="31.75" style="3451" customWidth="1"/>
    <col min="15618" max="15618" width="0" style="3451" hidden="1" customWidth="1"/>
    <col min="15619" max="15620" width="7.875" style="3451" customWidth="1"/>
    <col min="15621" max="15623" width="0" style="3451" hidden="1" customWidth="1"/>
    <col min="15624" max="15624" width="9.375" style="3451" customWidth="1"/>
    <col min="15625" max="15625" width="9.875" style="3451" customWidth="1"/>
    <col min="15626" max="15626" width="7.5" style="3451" customWidth="1"/>
    <col min="15627" max="15627" width="7.875" style="3451" customWidth="1"/>
    <col min="15628" max="15628" width="11.75" style="3451" customWidth="1"/>
    <col min="15629" max="15637" width="0" style="3451" hidden="1" customWidth="1"/>
    <col min="15638" max="15638" width="13.375" style="3451" customWidth="1"/>
    <col min="15639" max="15643" width="0" style="3451" hidden="1" customWidth="1"/>
    <col min="15644" max="15644" width="9" style="3451" customWidth="1"/>
    <col min="15645" max="15650" width="0" style="3451" hidden="1" customWidth="1"/>
    <col min="15651" max="15651" width="10.625" style="3451" customWidth="1"/>
    <col min="15652" max="15653" width="0" style="3451" hidden="1" customWidth="1"/>
    <col min="15654" max="15655" width="14.375" style="3451" customWidth="1"/>
    <col min="15656" max="15657" width="0" style="3451" hidden="1" customWidth="1"/>
    <col min="15658" max="15658" width="6.25" style="3451" customWidth="1"/>
    <col min="15659" max="15663" width="0" style="3451" hidden="1" customWidth="1"/>
    <col min="15664" max="15872" width="9" style="3451"/>
    <col min="15873" max="15873" width="31.75" style="3451" customWidth="1"/>
    <col min="15874" max="15874" width="0" style="3451" hidden="1" customWidth="1"/>
    <col min="15875" max="15876" width="7.875" style="3451" customWidth="1"/>
    <col min="15877" max="15879" width="0" style="3451" hidden="1" customWidth="1"/>
    <col min="15880" max="15880" width="9.375" style="3451" customWidth="1"/>
    <col min="15881" max="15881" width="9.875" style="3451" customWidth="1"/>
    <col min="15882" max="15882" width="7.5" style="3451" customWidth="1"/>
    <col min="15883" max="15883" width="7.875" style="3451" customWidth="1"/>
    <col min="15884" max="15884" width="11.75" style="3451" customWidth="1"/>
    <col min="15885" max="15893" width="0" style="3451" hidden="1" customWidth="1"/>
    <col min="15894" max="15894" width="13.375" style="3451" customWidth="1"/>
    <col min="15895" max="15899" width="0" style="3451" hidden="1" customWidth="1"/>
    <col min="15900" max="15900" width="9" style="3451" customWidth="1"/>
    <col min="15901" max="15906" width="0" style="3451" hidden="1" customWidth="1"/>
    <col min="15907" max="15907" width="10.625" style="3451" customWidth="1"/>
    <col min="15908" max="15909" width="0" style="3451" hidden="1" customWidth="1"/>
    <col min="15910" max="15911" width="14.375" style="3451" customWidth="1"/>
    <col min="15912" max="15913" width="0" style="3451" hidden="1" customWidth="1"/>
    <col min="15914" max="15914" width="6.25" style="3451" customWidth="1"/>
    <col min="15915" max="15919" width="0" style="3451" hidden="1" customWidth="1"/>
    <col min="15920" max="16128" width="9" style="3451"/>
    <col min="16129" max="16129" width="31.75" style="3451" customWidth="1"/>
    <col min="16130" max="16130" width="0" style="3451" hidden="1" customWidth="1"/>
    <col min="16131" max="16132" width="7.875" style="3451" customWidth="1"/>
    <col min="16133" max="16135" width="0" style="3451" hidden="1" customWidth="1"/>
    <col min="16136" max="16136" width="9.375" style="3451" customWidth="1"/>
    <col min="16137" max="16137" width="9.875" style="3451" customWidth="1"/>
    <col min="16138" max="16138" width="7.5" style="3451" customWidth="1"/>
    <col min="16139" max="16139" width="7.875" style="3451" customWidth="1"/>
    <col min="16140" max="16140" width="11.75" style="3451" customWidth="1"/>
    <col min="16141" max="16149" width="0" style="3451" hidden="1" customWidth="1"/>
    <col min="16150" max="16150" width="13.375" style="3451" customWidth="1"/>
    <col min="16151" max="16155" width="0" style="3451" hidden="1" customWidth="1"/>
    <col min="16156" max="16156" width="9" style="3451" customWidth="1"/>
    <col min="16157" max="16162" width="0" style="3451" hidden="1" customWidth="1"/>
    <col min="16163" max="16163" width="10.625" style="3451" customWidth="1"/>
    <col min="16164" max="16165" width="0" style="3451" hidden="1" customWidth="1"/>
    <col min="16166" max="16167" width="14.375" style="3451" customWidth="1"/>
    <col min="16168" max="16169" width="0" style="3451" hidden="1" customWidth="1"/>
    <col min="16170" max="16170" width="6.25" style="3451" customWidth="1"/>
    <col min="16171" max="16175" width="0" style="3451" hidden="1" customWidth="1"/>
    <col min="16176" max="16384" width="9" style="3451"/>
  </cols>
  <sheetData>
    <row r="1" spans="1:47">
      <c r="A1" s="3451" t="s">
        <v>3435</v>
      </c>
      <c r="B1" s="3451" t="s">
        <v>3436</v>
      </c>
      <c r="C1" s="3451" t="s">
        <v>3437</v>
      </c>
      <c r="D1" s="3451" t="s">
        <v>3438</v>
      </c>
      <c r="E1" s="3451" t="s">
        <v>3439</v>
      </c>
      <c r="F1" s="3451" t="s">
        <v>3440</v>
      </c>
      <c r="G1" s="3451" t="s">
        <v>3441</v>
      </c>
      <c r="H1" s="3451" t="s">
        <v>3442</v>
      </c>
      <c r="I1" s="3451" t="s">
        <v>3443</v>
      </c>
      <c r="J1" s="3451" t="s">
        <v>3444</v>
      </c>
      <c r="K1" s="3451" t="s">
        <v>3445</v>
      </c>
      <c r="L1" s="3451" t="s">
        <v>3446</v>
      </c>
      <c r="M1" s="3451" t="s">
        <v>3447</v>
      </c>
      <c r="N1" s="3451" t="s">
        <v>3448</v>
      </c>
      <c r="O1" s="3451" t="s">
        <v>3449</v>
      </c>
      <c r="P1" s="3451" t="s">
        <v>3450</v>
      </c>
      <c r="Q1" s="3451" t="s">
        <v>3451</v>
      </c>
      <c r="R1" s="3451" t="s">
        <v>3452</v>
      </c>
      <c r="S1" s="3451" t="s">
        <v>3453</v>
      </c>
      <c r="T1" s="3451" t="s">
        <v>3454</v>
      </c>
      <c r="U1" s="3451" t="s">
        <v>3455</v>
      </c>
      <c r="V1" s="3451" t="s">
        <v>3456</v>
      </c>
      <c r="W1" s="3451" t="s">
        <v>3457</v>
      </c>
      <c r="X1" s="3451" t="s">
        <v>3458</v>
      </c>
      <c r="Y1" s="3451" t="s">
        <v>3459</v>
      </c>
      <c r="Z1" s="3451" t="s">
        <v>3460</v>
      </c>
      <c r="AA1" s="3451" t="s">
        <v>3461</v>
      </c>
      <c r="AB1" s="3451" t="s">
        <v>3462</v>
      </c>
      <c r="AC1" s="3451" t="s">
        <v>3463</v>
      </c>
      <c r="AD1" s="3451" t="s">
        <v>3464</v>
      </c>
      <c r="AE1" s="3451" t="s">
        <v>3465</v>
      </c>
      <c r="AF1" s="3451" t="s">
        <v>3466</v>
      </c>
      <c r="AG1" s="3451" t="s">
        <v>3467</v>
      </c>
      <c r="AH1" s="3451" t="s">
        <v>3468</v>
      </c>
      <c r="AI1" s="3451" t="s">
        <v>3469</v>
      </c>
      <c r="AJ1" s="3451" t="s">
        <v>3470</v>
      </c>
      <c r="AK1" s="3451" t="s">
        <v>3471</v>
      </c>
      <c r="AL1" s="3451" t="s">
        <v>3472</v>
      </c>
      <c r="AM1" s="3451" t="s">
        <v>3473</v>
      </c>
      <c r="AN1" s="3451" t="s">
        <v>3474</v>
      </c>
      <c r="AO1" s="3451" t="s">
        <v>3475</v>
      </c>
      <c r="AP1" s="3451" t="s">
        <v>3476</v>
      </c>
      <c r="AQ1" s="3451" t="s">
        <v>3477</v>
      </c>
      <c r="AR1" s="3451" t="s">
        <v>3478</v>
      </c>
      <c r="AS1" s="3451" t="s">
        <v>3479</v>
      </c>
      <c r="AT1" s="3451" t="s">
        <v>3480</v>
      </c>
      <c r="AU1" s="3451" t="s">
        <v>3481</v>
      </c>
    </row>
    <row r="2" spans="1:47">
      <c r="A2" s="3451" t="s">
        <v>3482</v>
      </c>
      <c r="B2" s="3451" t="s">
        <v>3483</v>
      </c>
      <c r="C2" s="3451" t="s">
        <v>3484</v>
      </c>
      <c r="D2" s="3451" t="s">
        <v>3485</v>
      </c>
      <c r="E2" s="3451" t="s">
        <v>3486</v>
      </c>
      <c r="F2" s="3451" t="s">
        <v>3487</v>
      </c>
      <c r="G2" s="3451" t="s">
        <v>3488</v>
      </c>
      <c r="H2" s="3451">
        <v>31558.240000000002</v>
      </c>
      <c r="I2" s="3451">
        <v>88363.07</v>
      </c>
      <c r="J2" s="3451" t="s">
        <v>3489</v>
      </c>
      <c r="K2" s="3451" t="s">
        <v>3490</v>
      </c>
      <c r="L2" s="3451" t="s">
        <v>3491</v>
      </c>
      <c r="M2" s="3451">
        <v>0</v>
      </c>
      <c r="N2" s="3451" t="s">
        <v>633</v>
      </c>
      <c r="O2" s="3451" t="s">
        <v>633</v>
      </c>
      <c r="P2" s="3451">
        <v>60</v>
      </c>
      <c r="Q2" s="3451" t="s">
        <v>633</v>
      </c>
      <c r="R2" s="3451" t="s">
        <v>633</v>
      </c>
      <c r="S2" s="3451" t="s">
        <v>633</v>
      </c>
      <c r="T2" s="3451" t="s">
        <v>633</v>
      </c>
      <c r="U2" s="3451" t="s">
        <v>3492</v>
      </c>
      <c r="V2" s="3451" t="s">
        <v>3493</v>
      </c>
      <c r="W2" s="3451" t="s">
        <v>633</v>
      </c>
      <c r="X2" s="3451" t="s">
        <v>3494</v>
      </c>
      <c r="Y2" s="3451" t="s">
        <v>3495</v>
      </c>
      <c r="Z2" s="3451" t="s">
        <v>3496</v>
      </c>
      <c r="AA2" s="3451" t="s">
        <v>3497</v>
      </c>
      <c r="AB2" s="3451" t="s">
        <v>3497</v>
      </c>
      <c r="AC2" s="3451" t="s">
        <v>3488</v>
      </c>
      <c r="AD2" s="3451" t="s">
        <v>3498</v>
      </c>
      <c r="AE2" s="3451" t="s">
        <v>3499</v>
      </c>
      <c r="AF2" s="3451" t="s">
        <v>3500</v>
      </c>
      <c r="AG2" s="3451">
        <v>18000</v>
      </c>
      <c r="AH2" s="3451">
        <v>88100</v>
      </c>
      <c r="AI2" s="3451">
        <v>88100</v>
      </c>
      <c r="AJ2" s="3451">
        <v>1861.11</v>
      </c>
      <c r="AK2" s="3451">
        <v>1861.11</v>
      </c>
      <c r="AL2" s="3451">
        <v>9970.2199999999993</v>
      </c>
      <c r="AM2" s="3451">
        <v>9970.23</v>
      </c>
      <c r="AN2" s="3451" t="s">
        <v>633</v>
      </c>
      <c r="AO2" s="3451" t="s">
        <v>633</v>
      </c>
      <c r="AP2" s="3451">
        <v>0</v>
      </c>
      <c r="AQ2" s="3451" t="s">
        <v>3501</v>
      </c>
      <c r="AR2" s="3451" t="s">
        <v>633</v>
      </c>
      <c r="AS2" s="3451" t="s">
        <v>633</v>
      </c>
      <c r="AT2" s="3451" t="s">
        <v>633</v>
      </c>
      <c r="AU2" s="3451" t="s">
        <v>3502</v>
      </c>
    </row>
    <row r="3" spans="1:47" s="3452" customFormat="1">
      <c r="A3" s="3452" t="s">
        <v>3503</v>
      </c>
      <c r="B3" s="3452" t="s">
        <v>3483</v>
      </c>
      <c r="C3" s="3452" t="s">
        <v>3484</v>
      </c>
      <c r="D3" s="3452" t="s">
        <v>3504</v>
      </c>
      <c r="E3" s="3452" t="s">
        <v>3505</v>
      </c>
      <c r="F3" s="3452" t="s">
        <v>3506</v>
      </c>
      <c r="G3" s="3452" t="s">
        <v>3507</v>
      </c>
      <c r="H3" s="3452">
        <v>27822.39</v>
      </c>
      <c r="I3" s="3452">
        <v>44515.82</v>
      </c>
      <c r="J3" s="3452">
        <v>1.6</v>
      </c>
      <c r="K3" s="3452" t="s">
        <v>3490</v>
      </c>
      <c r="L3" s="3452" t="s">
        <v>3491</v>
      </c>
      <c r="M3" s="3452">
        <v>0</v>
      </c>
      <c r="N3" s="3452" t="s">
        <v>633</v>
      </c>
      <c r="O3" s="3452" t="s">
        <v>3508</v>
      </c>
      <c r="P3" s="3452">
        <v>45</v>
      </c>
      <c r="Q3" s="3452" t="s">
        <v>633</v>
      </c>
      <c r="R3" s="3452" t="s">
        <v>633</v>
      </c>
      <c r="S3" s="3452" t="s">
        <v>633</v>
      </c>
      <c r="T3" s="3452" t="s">
        <v>633</v>
      </c>
      <c r="U3" s="3452" t="s">
        <v>3509</v>
      </c>
      <c r="V3" s="3452" t="s">
        <v>3510</v>
      </c>
      <c r="W3" s="3452" t="s">
        <v>633</v>
      </c>
      <c r="X3" s="3452" t="s">
        <v>3494</v>
      </c>
      <c r="Y3" s="3452" t="s">
        <v>3511</v>
      </c>
      <c r="Z3" s="3452" t="s">
        <v>3512</v>
      </c>
      <c r="AA3" s="3452" t="s">
        <v>3513</v>
      </c>
      <c r="AB3" s="3452" t="s">
        <v>3513</v>
      </c>
      <c r="AC3" s="3452" t="s">
        <v>3507</v>
      </c>
      <c r="AD3" s="3452" t="s">
        <v>3498</v>
      </c>
      <c r="AE3" s="3452" t="s">
        <v>3514</v>
      </c>
      <c r="AF3" s="3452" t="s">
        <v>3515</v>
      </c>
      <c r="AG3" s="3452">
        <v>20000</v>
      </c>
      <c r="AH3" s="3452">
        <v>100000</v>
      </c>
      <c r="AI3" s="3452">
        <v>100000</v>
      </c>
      <c r="AJ3" s="3452">
        <v>2396.15</v>
      </c>
      <c r="AK3" s="3452">
        <v>2396.15</v>
      </c>
      <c r="AL3" s="3452">
        <v>22463.919999999998</v>
      </c>
      <c r="AM3" s="3452">
        <v>22463.919999999998</v>
      </c>
      <c r="AN3" s="3452" t="s">
        <v>633</v>
      </c>
      <c r="AO3" s="3452" t="s">
        <v>633</v>
      </c>
      <c r="AP3" s="3452">
        <v>0</v>
      </c>
      <c r="AQ3" s="3452" t="s">
        <v>3516</v>
      </c>
      <c r="AR3" s="3452" t="s">
        <v>633</v>
      </c>
      <c r="AS3" s="3452" t="s">
        <v>633</v>
      </c>
      <c r="AT3" s="3452" t="s">
        <v>633</v>
      </c>
      <c r="AU3" s="3452" t="s">
        <v>3517</v>
      </c>
    </row>
    <row r="4" spans="1:47" s="3453" customFormat="1">
      <c r="A4" s="3453" t="s">
        <v>3518</v>
      </c>
      <c r="B4" s="3453" t="s">
        <v>3483</v>
      </c>
      <c r="C4" s="3453" t="s">
        <v>3484</v>
      </c>
      <c r="D4" s="3453" t="s">
        <v>3519</v>
      </c>
      <c r="E4" s="3453" t="s">
        <v>3520</v>
      </c>
      <c r="F4" s="3453" t="s">
        <v>3521</v>
      </c>
      <c r="G4" s="3453" t="s">
        <v>3522</v>
      </c>
      <c r="H4" s="3453">
        <v>45880.63</v>
      </c>
      <c r="I4" s="3453">
        <v>100937.39</v>
      </c>
      <c r="J4" s="3453">
        <v>2.2000000000000002</v>
      </c>
      <c r="K4" s="3453" t="s">
        <v>3490</v>
      </c>
      <c r="L4" s="3453" t="s">
        <v>3491</v>
      </c>
      <c r="M4" s="3453">
        <v>0</v>
      </c>
      <c r="N4" s="3453" t="s">
        <v>633</v>
      </c>
      <c r="O4" s="3453" t="s">
        <v>633</v>
      </c>
      <c r="P4" s="3453" t="s">
        <v>3523</v>
      </c>
      <c r="Q4" s="3453" t="s">
        <v>633</v>
      </c>
      <c r="R4" s="3453" t="s">
        <v>633</v>
      </c>
      <c r="S4" s="3453" t="s">
        <v>633</v>
      </c>
      <c r="T4" s="3453" t="s">
        <v>633</v>
      </c>
      <c r="U4" s="3453" t="s">
        <v>3509</v>
      </c>
      <c r="V4" s="3453" t="s">
        <v>3510</v>
      </c>
      <c r="W4" s="3453" t="s">
        <v>633</v>
      </c>
      <c r="X4" s="3453" t="s">
        <v>3494</v>
      </c>
      <c r="Y4" s="3453" t="s">
        <v>3511</v>
      </c>
      <c r="Z4" s="3453" t="s">
        <v>3512</v>
      </c>
      <c r="AA4" s="3453" t="s">
        <v>3513</v>
      </c>
      <c r="AB4" s="3453" t="s">
        <v>3513</v>
      </c>
      <c r="AC4" s="3453" t="s">
        <v>3522</v>
      </c>
      <c r="AD4" s="3453" t="s">
        <v>3498</v>
      </c>
      <c r="AE4" s="3453" t="s">
        <v>3524</v>
      </c>
      <c r="AF4" s="3453" t="s">
        <v>3525</v>
      </c>
      <c r="AG4" s="3453">
        <v>52000</v>
      </c>
      <c r="AH4" s="3453">
        <v>259000</v>
      </c>
      <c r="AI4" s="3453">
        <v>259000</v>
      </c>
      <c r="AJ4" s="3453">
        <v>3763.39</v>
      </c>
      <c r="AK4" s="3453">
        <v>3763.39</v>
      </c>
      <c r="AL4" s="3453">
        <v>25659.47</v>
      </c>
      <c r="AM4" s="3453">
        <v>25659.47</v>
      </c>
      <c r="AN4" s="3453" t="s">
        <v>633</v>
      </c>
      <c r="AO4" s="3453" t="s">
        <v>633</v>
      </c>
      <c r="AP4" s="3453">
        <v>0</v>
      </c>
      <c r="AQ4" s="3453" t="s">
        <v>3516</v>
      </c>
      <c r="AR4" s="3453" t="s">
        <v>633</v>
      </c>
      <c r="AS4" s="3453" t="s">
        <v>633</v>
      </c>
      <c r="AT4" s="3453" t="s">
        <v>633</v>
      </c>
      <c r="AU4" s="3453" t="s">
        <v>3526</v>
      </c>
    </row>
    <row r="5" spans="1:47">
      <c r="A5" s="3451" t="s">
        <v>3527</v>
      </c>
      <c r="B5" s="3451" t="s">
        <v>3483</v>
      </c>
      <c r="C5" s="3451" t="s">
        <v>3484</v>
      </c>
      <c r="D5" s="3451" t="s">
        <v>3504</v>
      </c>
      <c r="E5" s="3451" t="s">
        <v>3528</v>
      </c>
      <c r="F5" s="3451" t="s">
        <v>3529</v>
      </c>
      <c r="G5" s="3451" t="s">
        <v>3530</v>
      </c>
      <c r="H5" s="3451">
        <v>77391.100000000006</v>
      </c>
      <c r="I5" s="3451">
        <v>177999.53</v>
      </c>
      <c r="J5" s="3451">
        <v>2.2999999999999998</v>
      </c>
      <c r="K5" s="3451" t="s">
        <v>3490</v>
      </c>
      <c r="L5" s="3451" t="s">
        <v>3491</v>
      </c>
      <c r="M5" s="3451">
        <v>0</v>
      </c>
      <c r="N5" s="3451" t="s">
        <v>633</v>
      </c>
      <c r="O5" s="3451" t="s">
        <v>3531</v>
      </c>
      <c r="P5" s="3451" t="s">
        <v>3532</v>
      </c>
      <c r="Q5" s="3451" t="s">
        <v>633</v>
      </c>
      <c r="R5" s="3451" t="s">
        <v>633</v>
      </c>
      <c r="S5" s="3451" t="s">
        <v>633</v>
      </c>
      <c r="T5" s="3451" t="s">
        <v>633</v>
      </c>
      <c r="U5" s="3451" t="s">
        <v>3509</v>
      </c>
      <c r="V5" s="3451" t="s">
        <v>3533</v>
      </c>
      <c r="W5" s="3451" t="s">
        <v>633</v>
      </c>
      <c r="X5" s="3451" t="s">
        <v>3494</v>
      </c>
      <c r="Y5" s="3451" t="s">
        <v>3534</v>
      </c>
      <c r="Z5" s="3451" t="s">
        <v>3535</v>
      </c>
      <c r="AA5" s="3451" t="s">
        <v>3536</v>
      </c>
      <c r="AB5" s="3451" t="s">
        <v>3536</v>
      </c>
      <c r="AC5" s="3451" t="s">
        <v>3530</v>
      </c>
      <c r="AD5" s="3451" t="s">
        <v>3498</v>
      </c>
      <c r="AE5" s="3451" t="s">
        <v>3537</v>
      </c>
      <c r="AF5" s="3451" t="s">
        <v>3538</v>
      </c>
      <c r="AG5" s="3451">
        <v>138000</v>
      </c>
      <c r="AH5" s="3451">
        <v>688000</v>
      </c>
      <c r="AI5" s="3451">
        <v>791200</v>
      </c>
      <c r="AJ5" s="3451">
        <v>5926.61</v>
      </c>
      <c r="AK5" s="3451">
        <v>6815.6</v>
      </c>
      <c r="AL5" s="3451">
        <v>38651.79</v>
      </c>
      <c r="AM5" s="3451">
        <v>44449.56</v>
      </c>
      <c r="AN5" s="3451" t="s">
        <v>633</v>
      </c>
      <c r="AO5" s="3451" t="s">
        <v>633</v>
      </c>
      <c r="AP5" s="3451">
        <v>15</v>
      </c>
      <c r="AQ5" s="3451" t="s">
        <v>3539</v>
      </c>
      <c r="AR5" s="3451" t="s">
        <v>633</v>
      </c>
      <c r="AS5" s="3451" t="s">
        <v>633</v>
      </c>
      <c r="AT5" s="3451" t="s">
        <v>633</v>
      </c>
      <c r="AU5" s="3451" t="s">
        <v>3517</v>
      </c>
    </row>
    <row r="6" spans="1:47">
      <c r="A6" s="3451" t="s">
        <v>3540</v>
      </c>
      <c r="B6" s="3451" t="s">
        <v>3483</v>
      </c>
      <c r="C6" s="3451" t="s">
        <v>3484</v>
      </c>
      <c r="D6" s="3451" t="s">
        <v>3541</v>
      </c>
      <c r="E6" s="3451" t="s">
        <v>3542</v>
      </c>
      <c r="F6" s="3451" t="s">
        <v>3543</v>
      </c>
      <c r="G6" s="3451" t="s">
        <v>3544</v>
      </c>
      <c r="H6" s="3451">
        <v>20354.939999999999</v>
      </c>
      <c r="I6" s="3451">
        <v>47549.3</v>
      </c>
      <c r="J6" s="3451" t="s">
        <v>3545</v>
      </c>
      <c r="K6" s="3451" t="s">
        <v>3490</v>
      </c>
      <c r="L6" s="3451" t="s">
        <v>3546</v>
      </c>
      <c r="M6" s="3451">
        <v>0</v>
      </c>
      <c r="N6" s="3451" t="s">
        <v>633</v>
      </c>
      <c r="O6" s="3451" t="s">
        <v>3547</v>
      </c>
      <c r="P6" s="3451">
        <v>45</v>
      </c>
      <c r="Q6" s="3451" t="s">
        <v>633</v>
      </c>
      <c r="R6" s="3451" t="s">
        <v>633</v>
      </c>
      <c r="S6" s="3451" t="s">
        <v>633</v>
      </c>
      <c r="T6" s="3451" t="s">
        <v>633</v>
      </c>
      <c r="U6" s="3451" t="s">
        <v>3492</v>
      </c>
      <c r="V6" s="3451" t="s">
        <v>3533</v>
      </c>
      <c r="W6" s="3451" t="s">
        <v>633</v>
      </c>
      <c r="X6" s="3451" t="s">
        <v>3494</v>
      </c>
      <c r="Y6" s="3451" t="s">
        <v>3548</v>
      </c>
      <c r="Z6" s="3451" t="s">
        <v>3549</v>
      </c>
      <c r="AA6" s="3451" t="s">
        <v>3550</v>
      </c>
      <c r="AB6" s="3451" t="s">
        <v>3550</v>
      </c>
      <c r="AC6" s="3451" t="s">
        <v>3544</v>
      </c>
      <c r="AD6" s="3451" t="s">
        <v>3498</v>
      </c>
      <c r="AE6" s="3451" t="s">
        <v>3551</v>
      </c>
      <c r="AF6" s="3451" t="s">
        <v>3551</v>
      </c>
      <c r="AG6" s="3451">
        <v>20000</v>
      </c>
      <c r="AH6" s="3451">
        <v>96000</v>
      </c>
      <c r="AI6" s="3451">
        <v>110400</v>
      </c>
      <c r="AJ6" s="3451">
        <v>3144.2</v>
      </c>
      <c r="AK6" s="3451">
        <v>3615.83</v>
      </c>
      <c r="AL6" s="3451">
        <v>20189.57</v>
      </c>
      <c r="AM6" s="3451">
        <v>23218.01</v>
      </c>
      <c r="AN6" s="3451" t="s">
        <v>633</v>
      </c>
      <c r="AO6" s="3451" t="s">
        <v>633</v>
      </c>
      <c r="AP6" s="3451">
        <v>15</v>
      </c>
      <c r="AQ6" s="3451" t="s">
        <v>3539</v>
      </c>
      <c r="AR6" s="3451" t="s">
        <v>633</v>
      </c>
      <c r="AS6" s="3451" t="s">
        <v>633</v>
      </c>
      <c r="AT6" s="3451" t="s">
        <v>633</v>
      </c>
      <c r="AU6" s="3451" t="s">
        <v>3502</v>
      </c>
    </row>
    <row r="7" spans="1:47">
      <c r="A7" s="3451" t="s">
        <v>3552</v>
      </c>
      <c r="B7" s="3451" t="s">
        <v>3483</v>
      </c>
      <c r="C7" s="3451" t="s">
        <v>3484</v>
      </c>
      <c r="D7" s="3451" t="s">
        <v>3541</v>
      </c>
      <c r="E7" s="3451" t="s">
        <v>3553</v>
      </c>
      <c r="F7" s="3451" t="s">
        <v>3554</v>
      </c>
      <c r="G7" s="3451" t="s">
        <v>3555</v>
      </c>
      <c r="H7" s="3451">
        <v>34099.22</v>
      </c>
      <c r="I7" s="3451">
        <v>61378.59</v>
      </c>
      <c r="J7" s="3451">
        <v>1.8</v>
      </c>
      <c r="K7" s="3451" t="s">
        <v>3490</v>
      </c>
      <c r="L7" s="3451" t="s">
        <v>3546</v>
      </c>
      <c r="M7" s="3451">
        <v>0</v>
      </c>
      <c r="N7" s="3451" t="s">
        <v>633</v>
      </c>
      <c r="O7" s="3451" t="s">
        <v>3556</v>
      </c>
      <c r="P7" s="3451" t="s">
        <v>633</v>
      </c>
      <c r="Q7" s="3451" t="s">
        <v>633</v>
      </c>
      <c r="R7" s="3451" t="s">
        <v>633</v>
      </c>
      <c r="S7" s="3451" t="s">
        <v>633</v>
      </c>
      <c r="T7" s="3451" t="s">
        <v>633</v>
      </c>
      <c r="U7" s="3451" t="s">
        <v>3557</v>
      </c>
      <c r="V7" s="3451" t="s">
        <v>3558</v>
      </c>
      <c r="W7" s="3451" t="s">
        <v>3559</v>
      </c>
      <c r="X7" s="3451" t="s">
        <v>3494</v>
      </c>
      <c r="Y7" s="3451" t="s">
        <v>3560</v>
      </c>
      <c r="Z7" s="3451" t="s">
        <v>3561</v>
      </c>
      <c r="AA7" s="3451" t="s">
        <v>3562</v>
      </c>
      <c r="AB7" s="3451" t="s">
        <v>3562</v>
      </c>
      <c r="AC7" s="3451" t="s">
        <v>3555</v>
      </c>
      <c r="AD7" s="3451" t="s">
        <v>3498</v>
      </c>
      <c r="AE7" s="3451" t="s">
        <v>3563</v>
      </c>
      <c r="AF7" s="3451" t="s">
        <v>3563</v>
      </c>
      <c r="AG7" s="3451">
        <v>31000</v>
      </c>
      <c r="AH7" s="3451">
        <v>150500</v>
      </c>
      <c r="AI7" s="3451">
        <v>173075</v>
      </c>
      <c r="AJ7" s="3451">
        <v>2942.39</v>
      </c>
      <c r="AK7" s="3451">
        <v>3383.75</v>
      </c>
      <c r="AL7" s="3451">
        <v>24519.95</v>
      </c>
      <c r="AM7" s="3451">
        <v>28197.94</v>
      </c>
      <c r="AN7" s="3451" t="s">
        <v>633</v>
      </c>
      <c r="AO7" s="3451" t="s">
        <v>633</v>
      </c>
      <c r="AP7" s="3451">
        <v>15</v>
      </c>
      <c r="AQ7" s="3451" t="s">
        <v>3501</v>
      </c>
      <c r="AR7" s="3451" t="s">
        <v>633</v>
      </c>
      <c r="AS7" s="3451" t="s">
        <v>633</v>
      </c>
      <c r="AT7" s="3451" t="s">
        <v>633</v>
      </c>
      <c r="AU7" s="3451" t="s">
        <v>3517</v>
      </c>
    </row>
    <row r="8" spans="1:47">
      <c r="A8" s="3451" t="s">
        <v>3564</v>
      </c>
      <c r="B8" s="3451" t="s">
        <v>3483</v>
      </c>
      <c r="C8" s="3451" t="s">
        <v>3484</v>
      </c>
      <c r="D8" s="3451" t="s">
        <v>3504</v>
      </c>
      <c r="E8" s="3451" t="s">
        <v>3565</v>
      </c>
      <c r="F8" s="3451" t="s">
        <v>3566</v>
      </c>
      <c r="G8" s="3451" t="s">
        <v>3567</v>
      </c>
      <c r="H8" s="3451">
        <v>43400</v>
      </c>
      <c r="I8" s="3451">
        <v>86800</v>
      </c>
      <c r="J8" s="3451">
        <v>2</v>
      </c>
      <c r="K8" s="3451" t="s">
        <v>3490</v>
      </c>
      <c r="L8" s="3451" t="s">
        <v>3491</v>
      </c>
      <c r="M8" s="3451">
        <v>0</v>
      </c>
      <c r="N8" s="3451" t="s">
        <v>633</v>
      </c>
      <c r="O8" s="3451" t="s">
        <v>3556</v>
      </c>
      <c r="P8" s="3451">
        <v>45</v>
      </c>
      <c r="Q8" s="3451" t="s">
        <v>633</v>
      </c>
      <c r="R8" s="3451" t="s">
        <v>633</v>
      </c>
      <c r="S8" s="3451" t="s">
        <v>633</v>
      </c>
      <c r="T8" s="3451" t="s">
        <v>633</v>
      </c>
      <c r="U8" s="3451" t="s">
        <v>3492</v>
      </c>
      <c r="V8" s="3451" t="s">
        <v>3493</v>
      </c>
      <c r="W8" s="3451" t="s">
        <v>633</v>
      </c>
      <c r="X8" s="3451" t="s">
        <v>3494</v>
      </c>
      <c r="Y8" s="3451" t="s">
        <v>3560</v>
      </c>
      <c r="Z8" s="3451" t="s">
        <v>3561</v>
      </c>
      <c r="AA8" s="3451" t="s">
        <v>3562</v>
      </c>
      <c r="AB8" s="3451" t="s">
        <v>3562</v>
      </c>
      <c r="AC8" s="3451" t="s">
        <v>3567</v>
      </c>
      <c r="AD8" s="3451" t="s">
        <v>3498</v>
      </c>
      <c r="AE8" s="3451" t="s">
        <v>3568</v>
      </c>
      <c r="AF8" s="3451" t="s">
        <v>3569</v>
      </c>
      <c r="AG8" s="3451">
        <v>58000</v>
      </c>
      <c r="AH8" s="3451">
        <v>287000</v>
      </c>
      <c r="AI8" s="3451">
        <v>330050</v>
      </c>
      <c r="AJ8" s="3451">
        <v>4408.6000000000004</v>
      </c>
      <c r="AK8" s="3451">
        <v>5069.8900000000003</v>
      </c>
      <c r="AL8" s="3451">
        <v>33064.51</v>
      </c>
      <c r="AM8" s="3451">
        <v>38024.19</v>
      </c>
      <c r="AN8" s="3451" t="s">
        <v>633</v>
      </c>
      <c r="AO8" s="3451" t="s">
        <v>633</v>
      </c>
      <c r="AP8" s="3451">
        <v>15</v>
      </c>
      <c r="AQ8" s="3451" t="s">
        <v>3501</v>
      </c>
      <c r="AR8" s="3451" t="s">
        <v>633</v>
      </c>
      <c r="AS8" s="3451" t="s">
        <v>633</v>
      </c>
      <c r="AT8" s="3451" t="s">
        <v>633</v>
      </c>
      <c r="AU8" s="3451" t="s">
        <v>3517</v>
      </c>
    </row>
    <row r="9" spans="1:47">
      <c r="A9" s="3451" t="s">
        <v>3570</v>
      </c>
      <c r="B9" s="3451" t="s">
        <v>3483</v>
      </c>
      <c r="C9" s="3451" t="s">
        <v>3484</v>
      </c>
      <c r="D9" s="3451" t="s">
        <v>3541</v>
      </c>
      <c r="E9" s="3451" t="s">
        <v>3553</v>
      </c>
      <c r="F9" s="3451" t="s">
        <v>3571</v>
      </c>
      <c r="G9" s="3451" t="s">
        <v>3572</v>
      </c>
      <c r="H9" s="3451">
        <v>31562.01</v>
      </c>
      <c r="I9" s="3451">
        <v>56811.61</v>
      </c>
      <c r="J9" s="3451">
        <v>1.8</v>
      </c>
      <c r="K9" s="3451" t="s">
        <v>3490</v>
      </c>
      <c r="L9" s="3451" t="s">
        <v>3546</v>
      </c>
      <c r="M9" s="3451">
        <v>0</v>
      </c>
      <c r="N9" s="3451" t="s">
        <v>633</v>
      </c>
      <c r="O9" s="3451" t="s">
        <v>3556</v>
      </c>
      <c r="P9" s="3451" t="s">
        <v>633</v>
      </c>
      <c r="Q9" s="3451" t="s">
        <v>633</v>
      </c>
      <c r="R9" s="3451" t="s">
        <v>633</v>
      </c>
      <c r="S9" s="3451" t="s">
        <v>633</v>
      </c>
      <c r="T9" s="3451" t="s">
        <v>633</v>
      </c>
      <c r="U9" s="3451" t="s">
        <v>3492</v>
      </c>
      <c r="V9" s="3451" t="s">
        <v>3558</v>
      </c>
      <c r="W9" s="3451" t="s">
        <v>3573</v>
      </c>
      <c r="X9" s="3451" t="s">
        <v>3494</v>
      </c>
      <c r="Y9" s="3451" t="s">
        <v>3560</v>
      </c>
      <c r="Z9" s="3451" t="s">
        <v>3561</v>
      </c>
      <c r="AA9" s="3451" t="s">
        <v>3562</v>
      </c>
      <c r="AB9" s="3451" t="s">
        <v>3562</v>
      </c>
      <c r="AC9" s="3451" t="s">
        <v>3572</v>
      </c>
      <c r="AD9" s="3451" t="s">
        <v>3498</v>
      </c>
      <c r="AE9" s="3451" t="s">
        <v>3574</v>
      </c>
      <c r="AF9" s="3451" t="s">
        <v>3574</v>
      </c>
      <c r="AG9" s="3451">
        <v>29000</v>
      </c>
      <c r="AH9" s="3451">
        <v>144000</v>
      </c>
      <c r="AI9" s="3451">
        <v>165600</v>
      </c>
      <c r="AJ9" s="3451">
        <v>3041.63</v>
      </c>
      <c r="AK9" s="3451">
        <v>3497.88</v>
      </c>
      <c r="AL9" s="3451">
        <v>25346.93</v>
      </c>
      <c r="AM9" s="3451">
        <v>29148.97</v>
      </c>
      <c r="AN9" s="3451" t="s">
        <v>633</v>
      </c>
      <c r="AO9" s="3451" t="s">
        <v>633</v>
      </c>
      <c r="AP9" s="3451">
        <v>15</v>
      </c>
      <c r="AQ9" s="3451" t="s">
        <v>3501</v>
      </c>
      <c r="AR9" s="3451" t="s">
        <v>633</v>
      </c>
      <c r="AS9" s="3451" t="s">
        <v>633</v>
      </c>
      <c r="AT9" s="3451" t="s">
        <v>633</v>
      </c>
      <c r="AU9" s="3451" t="s">
        <v>3502</v>
      </c>
    </row>
    <row r="10" spans="1:47">
      <c r="A10" s="3451" t="s">
        <v>3575</v>
      </c>
      <c r="B10" s="3451" t="s">
        <v>3483</v>
      </c>
      <c r="C10" s="3451" t="s">
        <v>3484</v>
      </c>
      <c r="D10" s="3451" t="s">
        <v>3519</v>
      </c>
      <c r="E10" s="3451" t="s">
        <v>3576</v>
      </c>
      <c r="F10" s="3451" t="s">
        <v>3577</v>
      </c>
      <c r="G10" s="3451" t="s">
        <v>3578</v>
      </c>
      <c r="H10" s="3451">
        <v>29561.58</v>
      </c>
      <c r="I10" s="3451">
        <v>65035.47</v>
      </c>
      <c r="J10" s="3451">
        <v>2.2000000000000002</v>
      </c>
      <c r="K10" s="3451" t="s">
        <v>3490</v>
      </c>
      <c r="L10" s="3451" t="s">
        <v>3491</v>
      </c>
      <c r="M10" s="3451">
        <v>0</v>
      </c>
      <c r="N10" s="3451" t="s">
        <v>633</v>
      </c>
      <c r="O10" s="3451" t="s">
        <v>633</v>
      </c>
      <c r="P10" s="3451">
        <v>36</v>
      </c>
      <c r="Q10" s="3451" t="s">
        <v>633</v>
      </c>
      <c r="R10" s="3451" t="s">
        <v>633</v>
      </c>
      <c r="S10" s="3451" t="s">
        <v>633</v>
      </c>
      <c r="T10" s="3451" t="s">
        <v>633</v>
      </c>
      <c r="U10" s="3451" t="s">
        <v>3557</v>
      </c>
      <c r="V10" s="3451" t="s">
        <v>3558</v>
      </c>
      <c r="W10" s="3451" t="s">
        <v>633</v>
      </c>
      <c r="X10" s="3451" t="s">
        <v>3494</v>
      </c>
      <c r="Y10" s="3451" t="s">
        <v>3579</v>
      </c>
      <c r="Z10" s="3451" t="s">
        <v>3580</v>
      </c>
      <c r="AA10" s="3451" t="s">
        <v>3560</v>
      </c>
      <c r="AB10" s="3451" t="s">
        <v>3560</v>
      </c>
      <c r="AC10" s="3451" t="s">
        <v>3578</v>
      </c>
      <c r="AD10" s="3451" t="s">
        <v>3498</v>
      </c>
      <c r="AE10" s="3451" t="s">
        <v>3568</v>
      </c>
      <c r="AF10" s="3451" t="s">
        <v>3569</v>
      </c>
      <c r="AG10" s="3451">
        <v>41000</v>
      </c>
      <c r="AH10" s="3451">
        <v>202000</v>
      </c>
      <c r="AI10" s="3451">
        <v>232000</v>
      </c>
      <c r="AJ10" s="3451">
        <v>4555.46</v>
      </c>
      <c r="AK10" s="3451">
        <v>5232.0200000000004</v>
      </c>
      <c r="AL10" s="3451">
        <v>31059.97</v>
      </c>
      <c r="AM10" s="3451">
        <v>35672.839999999997</v>
      </c>
      <c r="AN10" s="3451" t="s">
        <v>633</v>
      </c>
      <c r="AO10" s="3451" t="s">
        <v>633</v>
      </c>
      <c r="AP10" s="3451">
        <v>14.85</v>
      </c>
      <c r="AQ10" s="3451" t="s">
        <v>3581</v>
      </c>
      <c r="AR10" s="3451" t="s">
        <v>633</v>
      </c>
      <c r="AS10" s="3451" t="s">
        <v>633</v>
      </c>
      <c r="AT10" s="3451" t="s">
        <v>633</v>
      </c>
      <c r="AU10" s="3451" t="s">
        <v>3502</v>
      </c>
    </row>
    <row r="11" spans="1:47">
      <c r="A11" s="3451" t="s">
        <v>3582</v>
      </c>
      <c r="B11" s="3451" t="s">
        <v>3483</v>
      </c>
      <c r="C11" s="3451" t="s">
        <v>3484</v>
      </c>
      <c r="D11" s="3451" t="s">
        <v>3504</v>
      </c>
      <c r="E11" s="3451" t="s">
        <v>3528</v>
      </c>
      <c r="F11" s="3451" t="s">
        <v>3583</v>
      </c>
      <c r="G11" s="3451" t="s">
        <v>3584</v>
      </c>
      <c r="H11" s="3451">
        <v>87287.8</v>
      </c>
      <c r="I11" s="3451">
        <v>192033.17</v>
      </c>
      <c r="J11" s="3451">
        <v>2.2000000000000002</v>
      </c>
      <c r="K11" s="3451" t="s">
        <v>3490</v>
      </c>
      <c r="L11" s="3451" t="s">
        <v>3585</v>
      </c>
      <c r="M11" s="3451">
        <v>0</v>
      </c>
      <c r="N11" s="3451" t="s">
        <v>633</v>
      </c>
      <c r="O11" s="3451" t="s">
        <v>633</v>
      </c>
      <c r="P11" s="3451" t="s">
        <v>633</v>
      </c>
      <c r="Q11" s="3451" t="s">
        <v>633</v>
      </c>
      <c r="R11" s="3451" t="s">
        <v>633</v>
      </c>
      <c r="S11" s="3451" t="s">
        <v>633</v>
      </c>
      <c r="T11" s="3451" t="s">
        <v>633</v>
      </c>
      <c r="U11" s="3451" t="s">
        <v>633</v>
      </c>
      <c r="V11" s="3451" t="s">
        <v>633</v>
      </c>
      <c r="W11" s="3451" t="s">
        <v>633</v>
      </c>
      <c r="X11" s="3451" t="s">
        <v>3494</v>
      </c>
      <c r="Y11" s="3451" t="s">
        <v>3586</v>
      </c>
      <c r="Z11" s="3451" t="s">
        <v>3587</v>
      </c>
      <c r="AA11" s="3451" t="s">
        <v>3588</v>
      </c>
      <c r="AB11" s="3451" t="s">
        <v>3588</v>
      </c>
      <c r="AC11" s="3451" t="s">
        <v>3584</v>
      </c>
      <c r="AD11" s="3451" t="s">
        <v>3498</v>
      </c>
      <c r="AE11" s="3451" t="s">
        <v>3589</v>
      </c>
      <c r="AF11" s="3451" t="s">
        <v>3590</v>
      </c>
      <c r="AG11" s="3451">
        <v>83000</v>
      </c>
      <c r="AH11" s="3451">
        <v>275143.78999999998</v>
      </c>
      <c r="AI11" s="3451">
        <v>275143.78999999998</v>
      </c>
      <c r="AJ11" s="3451">
        <v>2101.4299999999998</v>
      </c>
      <c r="AK11" s="3451">
        <v>2101.4299999999998</v>
      </c>
      <c r="AL11" s="3451">
        <v>14327.93</v>
      </c>
      <c r="AM11" s="3451">
        <v>14327.93</v>
      </c>
      <c r="AN11" s="3451" t="s">
        <v>633</v>
      </c>
      <c r="AO11" s="3451" t="s">
        <v>633</v>
      </c>
      <c r="AP11" s="3451">
        <v>0</v>
      </c>
      <c r="AQ11" s="3451" t="s">
        <v>3591</v>
      </c>
      <c r="AR11" s="3451" t="s">
        <v>633</v>
      </c>
      <c r="AS11" s="3451" t="s">
        <v>633</v>
      </c>
      <c r="AT11" s="3451" t="s">
        <v>633</v>
      </c>
      <c r="AU11" s="3451" t="s">
        <v>3517</v>
      </c>
    </row>
    <row r="12" spans="1:47">
      <c r="A12" s="3451" t="s">
        <v>3592</v>
      </c>
      <c r="B12" s="3451" t="s">
        <v>3483</v>
      </c>
      <c r="C12" s="3451" t="s">
        <v>3484</v>
      </c>
      <c r="D12" s="3451" t="s">
        <v>3504</v>
      </c>
      <c r="E12" s="3451" t="s">
        <v>3528</v>
      </c>
      <c r="F12" s="3451" t="s">
        <v>3593</v>
      </c>
      <c r="G12" s="3451" t="s">
        <v>3594</v>
      </c>
      <c r="H12" s="3451">
        <v>59523.360000000001</v>
      </c>
      <c r="I12" s="3451">
        <v>130951.38</v>
      </c>
      <c r="J12" s="3451">
        <v>2.2000000000000002</v>
      </c>
      <c r="K12" s="3451" t="s">
        <v>3490</v>
      </c>
      <c r="L12" s="3451" t="s">
        <v>3585</v>
      </c>
      <c r="M12" s="3451">
        <v>0</v>
      </c>
      <c r="N12" s="3451" t="s">
        <v>633</v>
      </c>
      <c r="O12" s="3451" t="s">
        <v>633</v>
      </c>
      <c r="P12" s="3451" t="s">
        <v>633</v>
      </c>
      <c r="Q12" s="3451" t="s">
        <v>633</v>
      </c>
      <c r="R12" s="3451" t="s">
        <v>633</v>
      </c>
      <c r="S12" s="3451" t="s">
        <v>633</v>
      </c>
      <c r="T12" s="3451" t="s">
        <v>633</v>
      </c>
      <c r="U12" s="3451" t="s">
        <v>633</v>
      </c>
      <c r="V12" s="3451" t="s">
        <v>633</v>
      </c>
      <c r="W12" s="3451" t="s">
        <v>633</v>
      </c>
      <c r="X12" s="3451" t="s">
        <v>3494</v>
      </c>
      <c r="Y12" s="3451" t="s">
        <v>3586</v>
      </c>
      <c r="Z12" s="3451" t="s">
        <v>3595</v>
      </c>
      <c r="AA12" s="3451" t="s">
        <v>3596</v>
      </c>
      <c r="AB12" s="3451" t="s">
        <v>3596</v>
      </c>
      <c r="AC12" s="3451" t="s">
        <v>3594</v>
      </c>
      <c r="AD12" s="3451" t="s">
        <v>3498</v>
      </c>
      <c r="AE12" s="3451" t="s">
        <v>3597</v>
      </c>
      <c r="AF12" s="3451" t="s">
        <v>3598</v>
      </c>
      <c r="AG12" s="3451">
        <v>57000</v>
      </c>
      <c r="AH12" s="3451">
        <v>188205.82</v>
      </c>
      <c r="AI12" s="3451">
        <v>188205.82</v>
      </c>
      <c r="AJ12" s="3451">
        <v>2107.92</v>
      </c>
      <c r="AK12" s="3451">
        <v>2107.92</v>
      </c>
      <c r="AL12" s="3451">
        <v>14372.19</v>
      </c>
      <c r="AM12" s="3451">
        <v>14372.19</v>
      </c>
      <c r="AN12" s="3451" t="s">
        <v>633</v>
      </c>
      <c r="AO12" s="3451" t="s">
        <v>633</v>
      </c>
      <c r="AP12" s="3451">
        <v>0</v>
      </c>
      <c r="AQ12" s="3451" t="s">
        <v>3591</v>
      </c>
      <c r="AR12" s="3451" t="s">
        <v>633</v>
      </c>
      <c r="AS12" s="3451" t="s">
        <v>633</v>
      </c>
      <c r="AT12" s="3451" t="s">
        <v>633</v>
      </c>
      <c r="AU12" s="3451" t="s">
        <v>3517</v>
      </c>
    </row>
    <row r="13" spans="1:47">
      <c r="A13" s="3451" t="s">
        <v>3599</v>
      </c>
      <c r="B13" s="3451" t="s">
        <v>3483</v>
      </c>
      <c r="C13" s="3451" t="s">
        <v>3484</v>
      </c>
      <c r="D13" s="3451" t="s">
        <v>3600</v>
      </c>
      <c r="E13" s="3451" t="s">
        <v>3601</v>
      </c>
      <c r="F13" s="3451" t="s">
        <v>3602</v>
      </c>
      <c r="G13" s="3451" t="s">
        <v>3603</v>
      </c>
      <c r="H13" s="3451">
        <v>49176.79</v>
      </c>
      <c r="I13" s="3451">
        <v>108188.94</v>
      </c>
      <c r="J13" s="3451">
        <v>2.2000000000000002</v>
      </c>
      <c r="K13" s="3451" t="s">
        <v>3490</v>
      </c>
      <c r="L13" s="3451" t="s">
        <v>3491</v>
      </c>
      <c r="M13" s="3451">
        <v>0</v>
      </c>
      <c r="N13" s="3451" t="s">
        <v>633</v>
      </c>
      <c r="O13" s="3451" t="s">
        <v>633</v>
      </c>
      <c r="P13" s="3451" t="s">
        <v>3604</v>
      </c>
      <c r="Q13" s="3451" t="s">
        <v>633</v>
      </c>
      <c r="R13" s="3451" t="s">
        <v>633</v>
      </c>
      <c r="S13" s="3451" t="s">
        <v>633</v>
      </c>
      <c r="T13" s="3451" t="s">
        <v>633</v>
      </c>
      <c r="U13" s="3451" t="s">
        <v>3492</v>
      </c>
      <c r="V13" s="3451" t="s">
        <v>3493</v>
      </c>
      <c r="W13" s="3451" t="s">
        <v>633</v>
      </c>
      <c r="X13" s="3451" t="s">
        <v>3494</v>
      </c>
      <c r="Y13" s="3451" t="s">
        <v>3605</v>
      </c>
      <c r="Z13" s="3451" t="s">
        <v>3606</v>
      </c>
      <c r="AA13" s="3451" t="s">
        <v>3607</v>
      </c>
      <c r="AB13" s="3451" t="s">
        <v>3607</v>
      </c>
      <c r="AC13" s="3451" t="s">
        <v>3603</v>
      </c>
      <c r="AD13" s="3451" t="s">
        <v>3498</v>
      </c>
      <c r="AE13" s="3451" t="s">
        <v>3608</v>
      </c>
      <c r="AF13" s="3451" t="s">
        <v>3608</v>
      </c>
      <c r="AG13" s="3451">
        <v>54000</v>
      </c>
      <c r="AH13" s="3451">
        <v>270000</v>
      </c>
      <c r="AI13" s="3451">
        <v>270000</v>
      </c>
      <c r="AJ13" s="3451">
        <v>3660.26</v>
      </c>
      <c r="AK13" s="3451">
        <v>3660.26</v>
      </c>
      <c r="AL13" s="3451">
        <v>24956.34</v>
      </c>
      <c r="AM13" s="3451">
        <v>24956.34</v>
      </c>
      <c r="AN13" s="3451" t="s">
        <v>633</v>
      </c>
      <c r="AO13" s="3451" t="s">
        <v>633</v>
      </c>
      <c r="AP13" s="3451">
        <v>0</v>
      </c>
      <c r="AQ13" s="3451" t="s">
        <v>3501</v>
      </c>
      <c r="AR13" s="3451" t="s">
        <v>633</v>
      </c>
      <c r="AS13" s="3451" t="s">
        <v>633</v>
      </c>
      <c r="AT13" s="3451" t="s">
        <v>633</v>
      </c>
      <c r="AU13" s="3451" t="s">
        <v>3502</v>
      </c>
    </row>
    <row r="14" spans="1:47">
      <c r="A14" s="3451" t="s">
        <v>3609</v>
      </c>
      <c r="B14" s="3451" t="s">
        <v>3483</v>
      </c>
      <c r="C14" s="3451" t="s">
        <v>3484</v>
      </c>
      <c r="D14" s="3451" t="s">
        <v>3600</v>
      </c>
      <c r="E14" s="3451" t="s">
        <v>3610</v>
      </c>
      <c r="F14" s="3451" t="s">
        <v>3611</v>
      </c>
      <c r="G14" s="3451" t="s">
        <v>3612</v>
      </c>
      <c r="H14" s="3451">
        <v>14652.77</v>
      </c>
      <c r="I14" s="3451">
        <v>36631.919999999998</v>
      </c>
      <c r="J14" s="3451">
        <v>2.5</v>
      </c>
      <c r="K14" s="3451" t="s">
        <v>3490</v>
      </c>
      <c r="L14" s="3451" t="s">
        <v>3491</v>
      </c>
      <c r="M14" s="3451">
        <v>0</v>
      </c>
      <c r="N14" s="3451">
        <v>2.73</v>
      </c>
      <c r="O14" s="3451" t="s">
        <v>633</v>
      </c>
      <c r="P14" s="3451">
        <v>80</v>
      </c>
      <c r="Q14" s="3451" t="s">
        <v>633</v>
      </c>
      <c r="R14" s="3451" t="s">
        <v>633</v>
      </c>
      <c r="S14" s="3451" t="s">
        <v>633</v>
      </c>
      <c r="T14" s="3451" t="s">
        <v>633</v>
      </c>
      <c r="U14" s="3451" t="s">
        <v>3492</v>
      </c>
      <c r="V14" s="3451" t="s">
        <v>3492</v>
      </c>
      <c r="W14" s="3451" t="s">
        <v>633</v>
      </c>
      <c r="X14" s="3451" t="s">
        <v>3494</v>
      </c>
      <c r="Y14" s="3451" t="s">
        <v>3605</v>
      </c>
      <c r="Z14" s="3451" t="s">
        <v>3606</v>
      </c>
      <c r="AA14" s="3451" t="s">
        <v>3607</v>
      </c>
      <c r="AB14" s="3451" t="s">
        <v>3607</v>
      </c>
      <c r="AC14" s="3451" t="s">
        <v>3612</v>
      </c>
      <c r="AD14" s="3451" t="s">
        <v>3498</v>
      </c>
      <c r="AE14" s="3451" t="s">
        <v>3613</v>
      </c>
      <c r="AF14" s="3451" t="s">
        <v>3614</v>
      </c>
      <c r="AG14" s="3451">
        <v>23000</v>
      </c>
      <c r="AH14" s="3451">
        <v>113000</v>
      </c>
      <c r="AI14" s="3451">
        <v>129950</v>
      </c>
      <c r="AJ14" s="3451">
        <v>5141.2299999999996</v>
      </c>
      <c r="AK14" s="3451">
        <v>5912.42</v>
      </c>
      <c r="AL14" s="3451">
        <v>30847.41</v>
      </c>
      <c r="AM14" s="3451">
        <v>35474.53</v>
      </c>
      <c r="AN14" s="3451" t="s">
        <v>633</v>
      </c>
      <c r="AO14" s="3451" t="s">
        <v>633</v>
      </c>
      <c r="AP14" s="3451">
        <v>15</v>
      </c>
      <c r="AQ14" s="3451" t="s">
        <v>3501</v>
      </c>
      <c r="AR14" s="3451" t="s">
        <v>633</v>
      </c>
      <c r="AS14" s="3451" t="s">
        <v>633</v>
      </c>
      <c r="AT14" s="3451" t="s">
        <v>633</v>
      </c>
      <c r="AU14" s="3451" t="s">
        <v>3502</v>
      </c>
    </row>
    <row r="15" spans="1:47" s="3452" customFormat="1">
      <c r="A15" s="3452" t="s">
        <v>3615</v>
      </c>
      <c r="B15" s="3452" t="s">
        <v>3483</v>
      </c>
      <c r="C15" s="3452" t="s">
        <v>3484</v>
      </c>
      <c r="D15" s="3452" t="s">
        <v>3485</v>
      </c>
      <c r="E15" s="3452" t="s">
        <v>3616</v>
      </c>
      <c r="F15" s="3452" t="s">
        <v>3617</v>
      </c>
      <c r="G15" s="3452" t="s">
        <v>3618</v>
      </c>
      <c r="H15" s="3452">
        <v>31231.38</v>
      </c>
      <c r="I15" s="3452">
        <v>78078.45</v>
      </c>
      <c r="J15" s="3452">
        <v>2.5</v>
      </c>
      <c r="K15" s="3452" t="s">
        <v>3490</v>
      </c>
      <c r="L15" s="3452" t="s">
        <v>3491</v>
      </c>
      <c r="M15" s="3452">
        <v>5</v>
      </c>
      <c r="N15" s="3452" t="s">
        <v>633</v>
      </c>
      <c r="O15" s="3452" t="s">
        <v>3556</v>
      </c>
      <c r="P15" s="3452" t="s">
        <v>3619</v>
      </c>
      <c r="Q15" s="3452" t="s">
        <v>633</v>
      </c>
      <c r="R15" s="3452" t="s">
        <v>633</v>
      </c>
      <c r="S15" s="3452" t="s">
        <v>633</v>
      </c>
      <c r="T15" s="3452" t="s">
        <v>633</v>
      </c>
      <c r="U15" s="3452" t="s">
        <v>3620</v>
      </c>
      <c r="V15" s="3452" t="s">
        <v>3510</v>
      </c>
      <c r="W15" s="3452" t="s">
        <v>633</v>
      </c>
      <c r="X15" s="3452" t="s">
        <v>3494</v>
      </c>
      <c r="Y15" s="3452" t="s">
        <v>3621</v>
      </c>
      <c r="Z15" s="3452" t="s">
        <v>3622</v>
      </c>
      <c r="AA15" s="3452" t="s">
        <v>3623</v>
      </c>
      <c r="AB15" s="3452" t="s">
        <v>3623</v>
      </c>
      <c r="AC15" s="3452" t="s">
        <v>3618</v>
      </c>
      <c r="AD15" s="3452" t="s">
        <v>3498</v>
      </c>
      <c r="AE15" s="3452" t="s">
        <v>3624</v>
      </c>
      <c r="AF15" s="3452" t="s">
        <v>3625</v>
      </c>
      <c r="AG15" s="3452">
        <v>35000</v>
      </c>
      <c r="AH15" s="3452">
        <v>172000</v>
      </c>
      <c r="AI15" s="3452">
        <v>172000</v>
      </c>
      <c r="AJ15" s="3452">
        <v>3671.52</v>
      </c>
      <c r="AK15" s="3452">
        <v>3671.52</v>
      </c>
      <c r="AL15" s="3452">
        <v>22029.119999999999</v>
      </c>
      <c r="AM15" s="3452">
        <v>22029.13</v>
      </c>
      <c r="AN15" s="3452" t="s">
        <v>633</v>
      </c>
      <c r="AO15" s="3452" t="s">
        <v>633</v>
      </c>
      <c r="AP15" s="3452">
        <v>0</v>
      </c>
      <c r="AQ15" s="3452" t="s">
        <v>3516</v>
      </c>
      <c r="AR15" s="3452" t="s">
        <v>633</v>
      </c>
      <c r="AS15" s="3452" t="s">
        <v>633</v>
      </c>
      <c r="AT15" s="3452" t="s">
        <v>633</v>
      </c>
      <c r="AU15" s="3452" t="s">
        <v>3502</v>
      </c>
    </row>
    <row r="16" spans="1:47">
      <c r="A16" s="3451" t="s">
        <v>3626</v>
      </c>
      <c r="B16" s="3451" t="s">
        <v>3483</v>
      </c>
      <c r="C16" s="3451" t="s">
        <v>3484</v>
      </c>
      <c r="D16" s="3451" t="s">
        <v>3627</v>
      </c>
      <c r="E16" s="3451" t="s">
        <v>3628</v>
      </c>
      <c r="F16" s="3451" t="s">
        <v>3629</v>
      </c>
      <c r="G16" s="3451" t="s">
        <v>3630</v>
      </c>
      <c r="H16" s="3451">
        <v>30556.98</v>
      </c>
      <c r="I16" s="3451">
        <v>70795</v>
      </c>
      <c r="J16" s="3451">
        <v>2.3199999999999998</v>
      </c>
      <c r="K16" s="3451" t="s">
        <v>3490</v>
      </c>
      <c r="L16" s="3451" t="s">
        <v>3491</v>
      </c>
      <c r="M16" s="3451">
        <v>4</v>
      </c>
      <c r="N16" s="3451" t="s">
        <v>633</v>
      </c>
      <c r="O16" s="3451" t="s">
        <v>633</v>
      </c>
      <c r="P16" s="3451">
        <v>60</v>
      </c>
      <c r="Q16" s="3451" t="s">
        <v>633</v>
      </c>
      <c r="R16" s="3451" t="s">
        <v>633</v>
      </c>
      <c r="S16" s="3451" t="s">
        <v>633</v>
      </c>
      <c r="T16" s="3451" t="s">
        <v>633</v>
      </c>
      <c r="U16" s="3451" t="s">
        <v>3558</v>
      </c>
      <c r="V16" s="3451" t="s">
        <v>3493</v>
      </c>
      <c r="W16" s="3451" t="s">
        <v>3631</v>
      </c>
      <c r="X16" s="3451" t="s">
        <v>3494</v>
      </c>
      <c r="Y16" s="3451" t="s">
        <v>3632</v>
      </c>
      <c r="Z16" s="3451" t="s">
        <v>3633</v>
      </c>
      <c r="AA16" s="3451" t="s">
        <v>3634</v>
      </c>
      <c r="AB16" s="3451" t="s">
        <v>3635</v>
      </c>
      <c r="AC16" s="3451" t="s">
        <v>3630</v>
      </c>
      <c r="AD16" s="3451" t="s">
        <v>3498</v>
      </c>
      <c r="AE16" s="3451" t="s">
        <v>3636</v>
      </c>
      <c r="AF16" s="3451" t="s">
        <v>3637</v>
      </c>
      <c r="AG16" s="3451">
        <v>54000</v>
      </c>
      <c r="AH16" s="3451">
        <v>269000</v>
      </c>
      <c r="AI16" s="3451">
        <v>284000</v>
      </c>
      <c r="AJ16" s="3451">
        <v>5868.82</v>
      </c>
      <c r="AK16" s="3451">
        <v>6196.07</v>
      </c>
      <c r="AL16" s="3451">
        <v>37997.03</v>
      </c>
      <c r="AM16" s="3451">
        <v>40115.83</v>
      </c>
      <c r="AN16" s="3451" t="s">
        <v>633</v>
      </c>
      <c r="AO16" s="3451" t="s">
        <v>633</v>
      </c>
      <c r="AP16" s="3451">
        <v>5.58</v>
      </c>
      <c r="AQ16" s="3451" t="s">
        <v>3501</v>
      </c>
      <c r="AR16" s="3451" t="s">
        <v>633</v>
      </c>
      <c r="AS16" s="3451" t="s">
        <v>633</v>
      </c>
      <c r="AT16" s="3451" t="s">
        <v>633</v>
      </c>
      <c r="AU16" s="3451" t="s">
        <v>3638</v>
      </c>
    </row>
    <row r="17" spans="1:47" s="3452" customFormat="1">
      <c r="A17" s="3452" t="s">
        <v>3639</v>
      </c>
      <c r="B17" s="3452" t="s">
        <v>3483</v>
      </c>
      <c r="C17" s="3452" t="s">
        <v>3484</v>
      </c>
      <c r="D17" s="3452" t="s">
        <v>3640</v>
      </c>
      <c r="E17" s="3452" t="s">
        <v>3641</v>
      </c>
      <c r="F17" s="3452" t="s">
        <v>3642</v>
      </c>
      <c r="G17" s="3452" t="s">
        <v>3643</v>
      </c>
      <c r="H17" s="3452">
        <v>23004.15</v>
      </c>
      <c r="I17" s="3452">
        <v>32205.81</v>
      </c>
      <c r="J17" s="3452">
        <v>1.4</v>
      </c>
      <c r="K17" s="3452" t="s">
        <v>3490</v>
      </c>
      <c r="L17" s="3452" t="s">
        <v>3491</v>
      </c>
      <c r="M17" s="3452">
        <v>4</v>
      </c>
      <c r="N17" s="3452" t="s">
        <v>633</v>
      </c>
      <c r="O17" s="3452" t="s">
        <v>3556</v>
      </c>
      <c r="P17" s="3452">
        <v>18</v>
      </c>
      <c r="Q17" s="3452" t="s">
        <v>633</v>
      </c>
      <c r="R17" s="3452" t="s">
        <v>633</v>
      </c>
      <c r="S17" s="3452" t="s">
        <v>633</v>
      </c>
      <c r="T17" s="3452" t="s">
        <v>633</v>
      </c>
      <c r="U17" s="3452" t="s">
        <v>3558</v>
      </c>
      <c r="V17" s="3452" t="s">
        <v>3493</v>
      </c>
      <c r="W17" s="3452" t="s">
        <v>633</v>
      </c>
      <c r="X17" s="3452" t="s">
        <v>3494</v>
      </c>
      <c r="Y17" s="3452" t="s">
        <v>3632</v>
      </c>
      <c r="Z17" s="3452" t="s">
        <v>3633</v>
      </c>
      <c r="AA17" s="3452" t="s">
        <v>3634</v>
      </c>
      <c r="AB17" s="3452" t="s">
        <v>3634</v>
      </c>
      <c r="AC17" s="3452" t="s">
        <v>3643</v>
      </c>
      <c r="AD17" s="3452" t="s">
        <v>3498</v>
      </c>
      <c r="AE17" s="3452" t="s">
        <v>3644</v>
      </c>
      <c r="AF17" s="3452" t="s">
        <v>3645</v>
      </c>
      <c r="AG17" s="3452">
        <v>16000</v>
      </c>
      <c r="AH17" s="3452">
        <v>79000</v>
      </c>
      <c r="AI17" s="3452">
        <v>79000</v>
      </c>
      <c r="AJ17" s="3452">
        <v>2289.44</v>
      </c>
      <c r="AK17" s="3452">
        <v>2289.44</v>
      </c>
      <c r="AL17" s="3452">
        <v>24529.73</v>
      </c>
      <c r="AM17" s="3452">
        <v>24529.74</v>
      </c>
      <c r="AN17" s="3452" t="s">
        <v>633</v>
      </c>
      <c r="AO17" s="3452" t="s">
        <v>633</v>
      </c>
      <c r="AP17" s="3452">
        <v>0</v>
      </c>
      <c r="AQ17" s="3452" t="s">
        <v>3501</v>
      </c>
      <c r="AR17" s="3452" t="s">
        <v>633</v>
      </c>
      <c r="AS17" s="3452" t="s">
        <v>633</v>
      </c>
      <c r="AT17" s="3452" t="s">
        <v>633</v>
      </c>
      <c r="AU17" s="3452" t="s">
        <v>3502</v>
      </c>
    </row>
    <row r="18" spans="1:47">
      <c r="A18" s="3451" t="s">
        <v>3646</v>
      </c>
      <c r="B18" s="3451" t="s">
        <v>3483</v>
      </c>
      <c r="C18" s="3451" t="s">
        <v>3484</v>
      </c>
      <c r="D18" s="3451" t="s">
        <v>3519</v>
      </c>
      <c r="E18" s="3451" t="s">
        <v>633</v>
      </c>
      <c r="F18" s="3451" t="s">
        <v>3647</v>
      </c>
      <c r="G18" s="3451" t="s">
        <v>3648</v>
      </c>
      <c r="H18" s="3451">
        <v>24837.200000000001</v>
      </c>
      <c r="I18" s="3451">
        <v>49674.400000000001</v>
      </c>
      <c r="J18" s="3451">
        <v>2</v>
      </c>
      <c r="K18" s="3451" t="s">
        <v>3490</v>
      </c>
      <c r="L18" s="3451" t="s">
        <v>3491</v>
      </c>
      <c r="M18" s="3451">
        <v>4</v>
      </c>
      <c r="N18" s="3451" t="s">
        <v>633</v>
      </c>
      <c r="O18" s="3451" t="s">
        <v>633</v>
      </c>
      <c r="P18" s="3451">
        <v>36</v>
      </c>
      <c r="Q18" s="3451" t="s">
        <v>633</v>
      </c>
      <c r="R18" s="3451" t="s">
        <v>633</v>
      </c>
      <c r="S18" s="3451" t="s">
        <v>633</v>
      </c>
      <c r="T18" s="3451" t="s">
        <v>633</v>
      </c>
      <c r="U18" s="3451" t="s">
        <v>3649</v>
      </c>
      <c r="V18" s="3451" t="s">
        <v>3650</v>
      </c>
      <c r="W18" s="3451" t="s">
        <v>633</v>
      </c>
      <c r="X18" s="3451" t="s">
        <v>3494</v>
      </c>
      <c r="Y18" s="3451" t="s">
        <v>3632</v>
      </c>
      <c r="Z18" s="3451" t="s">
        <v>3633</v>
      </c>
      <c r="AA18" s="3451" t="s">
        <v>3634</v>
      </c>
      <c r="AB18" s="3451" t="s">
        <v>3634</v>
      </c>
      <c r="AC18" s="3451" t="s">
        <v>3648</v>
      </c>
      <c r="AD18" s="3451" t="s">
        <v>3498</v>
      </c>
      <c r="AE18" s="3451" t="s">
        <v>3651</v>
      </c>
      <c r="AF18" s="3451" t="s">
        <v>3652</v>
      </c>
      <c r="AG18" s="3451">
        <v>34000</v>
      </c>
      <c r="AH18" s="3451">
        <v>166000</v>
      </c>
      <c r="AI18" s="3451">
        <v>166900</v>
      </c>
      <c r="AJ18" s="3451">
        <v>4455.68</v>
      </c>
      <c r="AK18" s="3451">
        <v>4479.84</v>
      </c>
      <c r="AL18" s="3451">
        <v>33417.61</v>
      </c>
      <c r="AM18" s="3451">
        <v>33598.800000000003</v>
      </c>
      <c r="AN18" s="3451" t="s">
        <v>633</v>
      </c>
      <c r="AO18" s="3451" t="s">
        <v>633</v>
      </c>
      <c r="AP18" s="3451">
        <v>0.54</v>
      </c>
      <c r="AQ18" s="3451" t="s">
        <v>3653</v>
      </c>
      <c r="AR18" s="3451" t="s">
        <v>633</v>
      </c>
      <c r="AS18" s="3451" t="s">
        <v>633</v>
      </c>
      <c r="AT18" s="3451" t="s">
        <v>633</v>
      </c>
      <c r="AU18" s="3451" t="s">
        <v>3502</v>
      </c>
    </row>
    <row r="19" spans="1:47">
      <c r="A19" s="3451" t="s">
        <v>3654</v>
      </c>
      <c r="B19" s="3451" t="s">
        <v>3483</v>
      </c>
      <c r="C19" s="3451" t="s">
        <v>3484</v>
      </c>
      <c r="D19" s="3451" t="s">
        <v>3600</v>
      </c>
      <c r="E19" s="3451" t="s">
        <v>3610</v>
      </c>
      <c r="F19" s="3451" t="s">
        <v>3655</v>
      </c>
      <c r="G19" s="3451" t="s">
        <v>3656</v>
      </c>
      <c r="H19" s="3451">
        <v>32830.720000000001</v>
      </c>
      <c r="I19" s="3451">
        <v>90830.7</v>
      </c>
      <c r="J19" s="3451" t="s">
        <v>3657</v>
      </c>
      <c r="K19" s="3451" t="s">
        <v>3490</v>
      </c>
      <c r="L19" s="3451" t="s">
        <v>3491</v>
      </c>
      <c r="M19" s="3451" t="s">
        <v>3658</v>
      </c>
      <c r="N19" s="3451" t="s">
        <v>633</v>
      </c>
      <c r="O19" s="3451" t="s">
        <v>633</v>
      </c>
      <c r="P19" s="3451">
        <v>80</v>
      </c>
      <c r="Q19" s="3451" t="s">
        <v>633</v>
      </c>
      <c r="R19" s="3451" t="s">
        <v>633</v>
      </c>
      <c r="S19" s="3451" t="s">
        <v>633</v>
      </c>
      <c r="T19" s="3451" t="s">
        <v>633</v>
      </c>
      <c r="U19" s="3451" t="s">
        <v>3558</v>
      </c>
      <c r="V19" s="3451" t="s">
        <v>3493</v>
      </c>
      <c r="W19" s="3451" t="s">
        <v>3659</v>
      </c>
      <c r="X19" s="3451" t="s">
        <v>3494</v>
      </c>
      <c r="Y19" s="3451" t="s">
        <v>3660</v>
      </c>
      <c r="Z19" s="3451" t="s">
        <v>3661</v>
      </c>
      <c r="AA19" s="3451" t="s">
        <v>3662</v>
      </c>
      <c r="AB19" s="3451" t="s">
        <v>3663</v>
      </c>
      <c r="AC19" s="3451" t="s">
        <v>3656</v>
      </c>
      <c r="AD19" s="3451" t="s">
        <v>3498</v>
      </c>
      <c r="AE19" s="3451" t="s">
        <v>3664</v>
      </c>
      <c r="AF19" s="3451" t="s">
        <v>3665</v>
      </c>
      <c r="AG19" s="3451">
        <v>64000</v>
      </c>
      <c r="AH19" s="3451">
        <v>317000</v>
      </c>
      <c r="AI19" s="3451">
        <v>326600</v>
      </c>
      <c r="AJ19" s="3451">
        <v>6437.06</v>
      </c>
      <c r="AK19" s="3451">
        <v>6632</v>
      </c>
      <c r="AL19" s="3451">
        <v>34900.089999999997</v>
      </c>
      <c r="AM19" s="3451">
        <v>35957.01</v>
      </c>
      <c r="AN19" s="3451" t="s">
        <v>633</v>
      </c>
      <c r="AO19" s="3451" t="s">
        <v>633</v>
      </c>
      <c r="AP19" s="3451">
        <v>3.03</v>
      </c>
      <c r="AQ19" s="3451" t="s">
        <v>3516</v>
      </c>
      <c r="AR19" s="3451" t="s">
        <v>633</v>
      </c>
      <c r="AS19" s="3451" t="s">
        <v>633</v>
      </c>
      <c r="AT19" s="3451" t="s">
        <v>633</v>
      </c>
      <c r="AU19" s="3451" t="s">
        <v>3502</v>
      </c>
    </row>
    <row r="20" spans="1:47">
      <c r="A20" s="3451" t="s">
        <v>3666</v>
      </c>
      <c r="B20" s="3451" t="s">
        <v>3483</v>
      </c>
      <c r="C20" s="3451" t="s">
        <v>3484</v>
      </c>
      <c r="D20" s="3451" t="s">
        <v>3504</v>
      </c>
      <c r="E20" s="3451" t="s">
        <v>3565</v>
      </c>
      <c r="F20" s="3451" t="s">
        <v>3667</v>
      </c>
      <c r="G20" s="3451" t="s">
        <v>3668</v>
      </c>
      <c r="H20" s="3451">
        <v>21625</v>
      </c>
      <c r="I20" s="3451">
        <v>43250</v>
      </c>
      <c r="J20" s="3451" t="s">
        <v>3669</v>
      </c>
      <c r="K20" s="3451" t="s">
        <v>3490</v>
      </c>
      <c r="L20" s="3451" t="s">
        <v>3491</v>
      </c>
      <c r="M20" s="3451" t="s">
        <v>3658</v>
      </c>
      <c r="N20" s="3451" t="s">
        <v>633</v>
      </c>
      <c r="O20" s="3451" t="s">
        <v>3556</v>
      </c>
      <c r="P20" s="3451" t="s">
        <v>3670</v>
      </c>
      <c r="Q20" s="3451" t="s">
        <v>633</v>
      </c>
      <c r="R20" s="3451" t="s">
        <v>633</v>
      </c>
      <c r="S20" s="3451" t="s">
        <v>633</v>
      </c>
      <c r="T20" s="3451" t="s">
        <v>633</v>
      </c>
      <c r="U20" s="3451" t="s">
        <v>3671</v>
      </c>
      <c r="V20" s="3451" t="s">
        <v>3650</v>
      </c>
      <c r="W20" s="3451" t="s">
        <v>633</v>
      </c>
      <c r="X20" s="3451" t="s">
        <v>3494</v>
      </c>
      <c r="Y20" s="3451" t="s">
        <v>3660</v>
      </c>
      <c r="Z20" s="3451" t="s">
        <v>3661</v>
      </c>
      <c r="AA20" s="3451" t="s">
        <v>3662</v>
      </c>
      <c r="AB20" s="3451" t="s">
        <v>3662</v>
      </c>
      <c r="AC20" s="3451" t="s">
        <v>3668</v>
      </c>
      <c r="AD20" s="3451" t="s">
        <v>3498</v>
      </c>
      <c r="AE20" s="3451" t="s">
        <v>3672</v>
      </c>
      <c r="AF20" s="3451" t="s">
        <v>3673</v>
      </c>
      <c r="AG20" s="3451">
        <v>29000</v>
      </c>
      <c r="AH20" s="3451">
        <v>143000</v>
      </c>
      <c r="AI20" s="3451">
        <v>143000</v>
      </c>
      <c r="AJ20" s="3451">
        <v>4408.4799999999996</v>
      </c>
      <c r="AK20" s="3451">
        <v>4408.4799999999996</v>
      </c>
      <c r="AL20" s="3451">
        <v>33063.58</v>
      </c>
      <c r="AM20" s="3451">
        <v>33063.58</v>
      </c>
      <c r="AN20" s="3451" t="s">
        <v>633</v>
      </c>
      <c r="AO20" s="3451" t="s">
        <v>633</v>
      </c>
      <c r="AP20" s="3451">
        <v>0</v>
      </c>
      <c r="AQ20" s="3451" t="s">
        <v>3516</v>
      </c>
      <c r="AR20" s="3451" t="s">
        <v>633</v>
      </c>
      <c r="AS20" s="3451" t="s">
        <v>633</v>
      </c>
      <c r="AT20" s="3451" t="s">
        <v>633</v>
      </c>
      <c r="AU20" s="3451" t="s">
        <v>3517</v>
      </c>
    </row>
    <row r="21" spans="1:47">
      <c r="A21" s="3451" t="s">
        <v>3674</v>
      </c>
      <c r="B21" s="3451" t="s">
        <v>3483</v>
      </c>
      <c r="C21" s="3451" t="s">
        <v>3484</v>
      </c>
      <c r="D21" s="3451" t="s">
        <v>3675</v>
      </c>
      <c r="E21" s="3451" t="s">
        <v>3676</v>
      </c>
      <c r="F21" s="3451" t="s">
        <v>3677</v>
      </c>
      <c r="G21" s="3451" t="s">
        <v>3678</v>
      </c>
      <c r="H21" s="3451">
        <v>55570.2</v>
      </c>
      <c r="I21" s="3451">
        <v>122254.44</v>
      </c>
      <c r="J21" s="3451">
        <v>2.2000000000000002</v>
      </c>
      <c r="K21" s="3451" t="s">
        <v>3490</v>
      </c>
      <c r="L21" s="3451" t="s">
        <v>3491</v>
      </c>
      <c r="M21" s="3451" t="s">
        <v>3658</v>
      </c>
      <c r="N21" s="3451" t="s">
        <v>633</v>
      </c>
      <c r="O21" s="3451" t="s">
        <v>3556</v>
      </c>
      <c r="P21" s="3451" t="s">
        <v>3670</v>
      </c>
      <c r="Q21" s="3451" t="s">
        <v>633</v>
      </c>
      <c r="R21" s="3451" t="s">
        <v>633</v>
      </c>
      <c r="S21" s="3451" t="s">
        <v>633</v>
      </c>
      <c r="T21" s="3451" t="s">
        <v>633</v>
      </c>
      <c r="U21" s="3451" t="s">
        <v>3492</v>
      </c>
      <c r="V21" s="3451" t="s">
        <v>3493</v>
      </c>
      <c r="W21" s="3451" t="s">
        <v>3679</v>
      </c>
      <c r="X21" s="3451" t="s">
        <v>3494</v>
      </c>
      <c r="Y21" s="3451" t="s">
        <v>3660</v>
      </c>
      <c r="Z21" s="3451" t="s">
        <v>3661</v>
      </c>
      <c r="AA21" s="3451" t="s">
        <v>3662</v>
      </c>
      <c r="AB21" s="3451" t="s">
        <v>3662</v>
      </c>
      <c r="AC21" s="3451" t="s">
        <v>3678</v>
      </c>
      <c r="AD21" s="3451" t="s">
        <v>3498</v>
      </c>
      <c r="AE21" s="3451" t="s">
        <v>3680</v>
      </c>
      <c r="AF21" s="3451" t="s">
        <v>3681</v>
      </c>
      <c r="AG21" s="3451">
        <v>31000</v>
      </c>
      <c r="AH21" s="3451">
        <v>152000</v>
      </c>
      <c r="AI21" s="3451">
        <v>152000</v>
      </c>
      <c r="AJ21" s="3451">
        <v>1823.52</v>
      </c>
      <c r="AK21" s="3451">
        <v>1823.52</v>
      </c>
      <c r="AL21" s="3451">
        <v>12433.08</v>
      </c>
      <c r="AM21" s="3451">
        <v>12433.09</v>
      </c>
      <c r="AN21" s="3451" t="s">
        <v>633</v>
      </c>
      <c r="AO21" s="3451" t="s">
        <v>633</v>
      </c>
      <c r="AP21" s="3451">
        <v>0</v>
      </c>
      <c r="AQ21" s="3451" t="s">
        <v>3516</v>
      </c>
      <c r="AR21" s="3451" t="s">
        <v>633</v>
      </c>
      <c r="AS21" s="3451" t="s">
        <v>633</v>
      </c>
      <c r="AT21" s="3451" t="s">
        <v>633</v>
      </c>
      <c r="AU21" s="3451" t="s">
        <v>3682</v>
      </c>
    </row>
    <row r="22" spans="1:47">
      <c r="A22" s="3451" t="s">
        <v>3683</v>
      </c>
      <c r="B22" s="3451" t="s">
        <v>3483</v>
      </c>
      <c r="C22" s="3451" t="s">
        <v>3484</v>
      </c>
      <c r="D22" s="3451" t="s">
        <v>3675</v>
      </c>
      <c r="E22" s="3451" t="s">
        <v>3684</v>
      </c>
      <c r="F22" s="3451" t="s">
        <v>3685</v>
      </c>
      <c r="G22" s="3451" t="s">
        <v>3686</v>
      </c>
      <c r="H22" s="3451">
        <v>9953.99</v>
      </c>
      <c r="I22" s="3451">
        <v>19907.98</v>
      </c>
      <c r="J22" s="3451">
        <v>2</v>
      </c>
      <c r="K22" s="3451" t="s">
        <v>3490</v>
      </c>
      <c r="L22" s="3451" t="s">
        <v>3491</v>
      </c>
      <c r="M22" s="3451" t="s">
        <v>3658</v>
      </c>
      <c r="N22" s="3451" t="s">
        <v>633</v>
      </c>
      <c r="O22" s="3451" t="s">
        <v>633</v>
      </c>
      <c r="P22" s="3451">
        <v>30</v>
      </c>
      <c r="Q22" s="3451" t="s">
        <v>633</v>
      </c>
      <c r="R22" s="3451" t="s">
        <v>633</v>
      </c>
      <c r="S22" s="3451" t="s">
        <v>633</v>
      </c>
      <c r="T22" s="3451" t="s">
        <v>633</v>
      </c>
      <c r="U22" s="3451" t="s">
        <v>3492</v>
      </c>
      <c r="V22" s="3451" t="s">
        <v>3493</v>
      </c>
      <c r="W22" s="3451" t="s">
        <v>633</v>
      </c>
      <c r="X22" s="3451" t="s">
        <v>3494</v>
      </c>
      <c r="Y22" s="3451" t="s">
        <v>3660</v>
      </c>
      <c r="Z22" s="3451" t="s">
        <v>3661</v>
      </c>
      <c r="AA22" s="3451" t="s">
        <v>3662</v>
      </c>
      <c r="AB22" s="3451" t="s">
        <v>3662</v>
      </c>
      <c r="AC22" s="3451" t="s">
        <v>3686</v>
      </c>
      <c r="AD22" s="3451" t="s">
        <v>3498</v>
      </c>
      <c r="AE22" s="3451" t="s">
        <v>3687</v>
      </c>
      <c r="AF22" s="3451" t="s">
        <v>3688</v>
      </c>
      <c r="AG22" s="3451">
        <v>4000</v>
      </c>
      <c r="AH22" s="3451">
        <v>18000</v>
      </c>
      <c r="AI22" s="3451">
        <v>18000</v>
      </c>
      <c r="AJ22" s="3451">
        <v>1205.55</v>
      </c>
      <c r="AK22" s="3451">
        <v>1205.55</v>
      </c>
      <c r="AL22" s="3451">
        <v>9041.6</v>
      </c>
      <c r="AM22" s="3451">
        <v>9041.6</v>
      </c>
      <c r="AN22" s="3451" t="s">
        <v>633</v>
      </c>
      <c r="AO22" s="3451" t="s">
        <v>633</v>
      </c>
      <c r="AP22" s="3451">
        <v>0</v>
      </c>
      <c r="AQ22" s="3451" t="s">
        <v>3516</v>
      </c>
      <c r="AR22" s="3451" t="s">
        <v>633</v>
      </c>
      <c r="AS22" s="3451" t="s">
        <v>633</v>
      </c>
      <c r="AT22" s="3451" t="s">
        <v>633</v>
      </c>
      <c r="AU22" s="3451" t="s">
        <v>3517</v>
      </c>
    </row>
    <row r="23" spans="1:47">
      <c r="A23" s="3451" t="s">
        <v>3689</v>
      </c>
      <c r="B23" s="3451" t="s">
        <v>3483</v>
      </c>
      <c r="C23" s="3451" t="s">
        <v>3484</v>
      </c>
      <c r="D23" s="3451" t="s">
        <v>3541</v>
      </c>
      <c r="E23" s="3451" t="s">
        <v>3542</v>
      </c>
      <c r="F23" s="3451" t="s">
        <v>3571</v>
      </c>
      <c r="G23" s="3451" t="s">
        <v>3690</v>
      </c>
      <c r="H23" s="3451">
        <v>69193.56</v>
      </c>
      <c r="I23" s="3451">
        <v>110709.69</v>
      </c>
      <c r="J23" s="3451">
        <v>1.6</v>
      </c>
      <c r="K23" s="3451" t="s">
        <v>3490</v>
      </c>
      <c r="L23" s="3451" t="s">
        <v>3491</v>
      </c>
      <c r="M23" s="3451" t="s">
        <v>3658</v>
      </c>
      <c r="N23" s="3451" t="s">
        <v>633</v>
      </c>
      <c r="O23" s="3451" t="s">
        <v>3556</v>
      </c>
      <c r="P23" s="3451">
        <v>36</v>
      </c>
      <c r="Q23" s="3451" t="s">
        <v>633</v>
      </c>
      <c r="R23" s="3451" t="s">
        <v>633</v>
      </c>
      <c r="S23" s="3451" t="s">
        <v>633</v>
      </c>
      <c r="T23" s="3451" t="s">
        <v>633</v>
      </c>
      <c r="U23" s="3451" t="s">
        <v>3558</v>
      </c>
      <c r="V23" s="3451" t="s">
        <v>3493</v>
      </c>
      <c r="W23" s="3451" t="s">
        <v>633</v>
      </c>
      <c r="X23" s="3451" t="s">
        <v>3494</v>
      </c>
      <c r="Y23" s="3451" t="s">
        <v>3660</v>
      </c>
      <c r="Z23" s="3451" t="s">
        <v>3661</v>
      </c>
      <c r="AA23" s="3451" t="s">
        <v>3662</v>
      </c>
      <c r="AB23" s="3451" t="s">
        <v>3662</v>
      </c>
      <c r="AC23" s="3451" t="s">
        <v>3690</v>
      </c>
      <c r="AD23" s="3451" t="s">
        <v>3498</v>
      </c>
      <c r="AE23" s="3451" t="s">
        <v>3691</v>
      </c>
      <c r="AF23" s="3451" t="s">
        <v>3692</v>
      </c>
      <c r="AG23" s="3451">
        <v>49000</v>
      </c>
      <c r="AH23" s="3451">
        <v>243000</v>
      </c>
      <c r="AI23" s="3451">
        <v>243000</v>
      </c>
      <c r="AJ23" s="3451">
        <v>2341.2600000000002</v>
      </c>
      <c r="AK23" s="3451">
        <v>2341.2600000000002</v>
      </c>
      <c r="AL23" s="3451">
        <v>21949.29</v>
      </c>
      <c r="AM23" s="3451">
        <v>21949.3</v>
      </c>
      <c r="AN23" s="3451" t="s">
        <v>633</v>
      </c>
      <c r="AO23" s="3451" t="s">
        <v>633</v>
      </c>
      <c r="AP23" s="3451">
        <v>0</v>
      </c>
      <c r="AQ23" s="3451" t="s">
        <v>3516</v>
      </c>
      <c r="AR23" s="3451" t="s">
        <v>633</v>
      </c>
      <c r="AS23" s="3451" t="s">
        <v>633</v>
      </c>
      <c r="AT23" s="3451" t="s">
        <v>633</v>
      </c>
      <c r="AU23" s="3451" t="s">
        <v>3517</v>
      </c>
    </row>
    <row r="24" spans="1:47">
      <c r="A24" s="3451" t="s">
        <v>3693</v>
      </c>
      <c r="B24" s="3451" t="s">
        <v>3483</v>
      </c>
      <c r="C24" s="3451" t="s">
        <v>3484</v>
      </c>
      <c r="D24" s="3451" t="s">
        <v>3600</v>
      </c>
      <c r="E24" s="3451" t="s">
        <v>3694</v>
      </c>
      <c r="F24" s="3451" t="s">
        <v>3695</v>
      </c>
      <c r="G24" s="3451" t="s">
        <v>3696</v>
      </c>
      <c r="H24" s="3451">
        <v>50073.34</v>
      </c>
      <c r="I24" s="3451">
        <v>125183.35</v>
      </c>
      <c r="J24" s="3451" t="s">
        <v>3697</v>
      </c>
      <c r="K24" s="3451" t="s">
        <v>3490</v>
      </c>
      <c r="L24" s="3451" t="s">
        <v>3491</v>
      </c>
      <c r="M24" s="3451" t="s">
        <v>3698</v>
      </c>
      <c r="N24" s="3451" t="s">
        <v>633</v>
      </c>
      <c r="O24" s="3451" t="s">
        <v>633</v>
      </c>
      <c r="P24" s="3451">
        <v>60</v>
      </c>
      <c r="Q24" s="3451" t="s">
        <v>633</v>
      </c>
      <c r="R24" s="3451" t="s">
        <v>633</v>
      </c>
      <c r="S24" s="3451" t="s">
        <v>633</v>
      </c>
      <c r="T24" s="3451" t="s">
        <v>633</v>
      </c>
      <c r="U24" s="3451" t="s">
        <v>3699</v>
      </c>
      <c r="V24" s="3451" t="s">
        <v>3700</v>
      </c>
      <c r="W24" s="3451" t="s">
        <v>3701</v>
      </c>
      <c r="X24" s="3451" t="s">
        <v>3494</v>
      </c>
      <c r="Y24" s="3451" t="s">
        <v>3702</v>
      </c>
      <c r="Z24" s="3451" t="s">
        <v>3703</v>
      </c>
      <c r="AA24" s="3451" t="s">
        <v>3704</v>
      </c>
      <c r="AB24" s="3451" t="s">
        <v>3705</v>
      </c>
      <c r="AC24" s="3451" t="s">
        <v>3696</v>
      </c>
      <c r="AD24" s="3451" t="s">
        <v>3498</v>
      </c>
      <c r="AE24" s="3451" t="s">
        <v>3706</v>
      </c>
      <c r="AF24" s="3451" t="s">
        <v>3707</v>
      </c>
      <c r="AG24" s="3451">
        <v>77000</v>
      </c>
      <c r="AH24" s="3451">
        <v>384000</v>
      </c>
      <c r="AI24" s="3451">
        <v>441600</v>
      </c>
      <c r="AJ24" s="3451">
        <v>5112.5</v>
      </c>
      <c r="AK24" s="3451">
        <v>5879.38</v>
      </c>
      <c r="AL24" s="3451">
        <v>30675</v>
      </c>
      <c r="AM24" s="3451">
        <v>35276.26</v>
      </c>
      <c r="AN24" s="3451" t="s">
        <v>633</v>
      </c>
      <c r="AO24" s="3451" t="s">
        <v>633</v>
      </c>
      <c r="AP24" s="3451">
        <v>15</v>
      </c>
      <c r="AQ24" s="3451" t="s">
        <v>3708</v>
      </c>
      <c r="AR24" s="3451" t="s">
        <v>633</v>
      </c>
      <c r="AS24" s="3451" t="s">
        <v>633</v>
      </c>
      <c r="AT24" s="3451" t="s">
        <v>633</v>
      </c>
      <c r="AU24" s="3451" t="s">
        <v>3502</v>
      </c>
    </row>
    <row r="25" spans="1:47">
      <c r="A25" s="3451" t="s">
        <v>3709</v>
      </c>
      <c r="B25" s="3451" t="s">
        <v>3483</v>
      </c>
      <c r="C25" s="3451" t="s">
        <v>3484</v>
      </c>
      <c r="D25" s="3451" t="s">
        <v>3600</v>
      </c>
      <c r="E25" s="3451" t="s">
        <v>633</v>
      </c>
      <c r="F25" s="3451" t="s">
        <v>3710</v>
      </c>
      <c r="G25" s="3451" t="s">
        <v>3711</v>
      </c>
      <c r="H25" s="3451">
        <v>96819.61</v>
      </c>
      <c r="I25" s="3451">
        <v>174275</v>
      </c>
      <c r="J25" s="3451" t="s">
        <v>3712</v>
      </c>
      <c r="K25" s="3451" t="s">
        <v>3490</v>
      </c>
      <c r="L25" s="3451" t="s">
        <v>3491</v>
      </c>
      <c r="M25" s="3451" t="s">
        <v>3698</v>
      </c>
      <c r="N25" s="3451" t="s">
        <v>633</v>
      </c>
      <c r="O25" s="3451" t="s">
        <v>633</v>
      </c>
      <c r="P25" s="3451">
        <v>30</v>
      </c>
      <c r="Q25" s="3451" t="s">
        <v>633</v>
      </c>
      <c r="R25" s="3451" t="s">
        <v>633</v>
      </c>
      <c r="S25" s="3451" t="s">
        <v>633</v>
      </c>
      <c r="T25" s="3451" t="s">
        <v>633</v>
      </c>
      <c r="U25" s="3451" t="s">
        <v>3713</v>
      </c>
      <c r="V25" s="3451" t="s">
        <v>3714</v>
      </c>
      <c r="W25" s="3451" t="s">
        <v>633</v>
      </c>
      <c r="X25" s="3451" t="s">
        <v>3494</v>
      </c>
      <c r="Y25" s="3451" t="s">
        <v>3702</v>
      </c>
      <c r="Z25" s="3451" t="s">
        <v>3703</v>
      </c>
      <c r="AA25" s="3451" t="s">
        <v>3704</v>
      </c>
      <c r="AB25" s="3451" t="s">
        <v>3704</v>
      </c>
      <c r="AC25" s="3451" t="s">
        <v>3711</v>
      </c>
      <c r="AD25" s="3451" t="s">
        <v>3498</v>
      </c>
      <c r="AE25" s="3451" t="s">
        <v>3652</v>
      </c>
      <c r="AF25" s="3451" t="s">
        <v>3652</v>
      </c>
      <c r="AG25" s="3451">
        <v>46000</v>
      </c>
      <c r="AH25" s="3451">
        <v>226000</v>
      </c>
      <c r="AI25" s="3451">
        <v>226000</v>
      </c>
      <c r="AJ25" s="3451">
        <v>1556.16</v>
      </c>
      <c r="AK25" s="3451">
        <v>1556.16</v>
      </c>
      <c r="AL25" s="3451">
        <v>12968.01</v>
      </c>
      <c r="AM25" s="3451">
        <v>12968.01</v>
      </c>
      <c r="AN25" s="3451" t="s">
        <v>633</v>
      </c>
      <c r="AO25" s="3451" t="s">
        <v>633</v>
      </c>
      <c r="AP25" s="3451">
        <v>0</v>
      </c>
      <c r="AQ25" s="3451" t="s">
        <v>3708</v>
      </c>
      <c r="AR25" s="3451" t="s">
        <v>633</v>
      </c>
      <c r="AS25" s="3451" t="s">
        <v>633</v>
      </c>
      <c r="AT25" s="3451" t="s">
        <v>633</v>
      </c>
      <c r="AU25" s="3451" t="s">
        <v>3517</v>
      </c>
    </row>
    <row r="26" spans="1:47">
      <c r="A26" s="3451" t="s">
        <v>3715</v>
      </c>
      <c r="B26" s="3451" t="s">
        <v>3483</v>
      </c>
      <c r="C26" s="3451" t="s">
        <v>3484</v>
      </c>
      <c r="D26" s="3451" t="s">
        <v>3504</v>
      </c>
      <c r="E26" s="3451" t="s">
        <v>3565</v>
      </c>
      <c r="F26" s="3451" t="s">
        <v>3716</v>
      </c>
      <c r="G26" s="3451" t="s">
        <v>3717</v>
      </c>
      <c r="H26" s="3451">
        <v>22115.200000000001</v>
      </c>
      <c r="I26" s="3451">
        <v>44230.400000000001</v>
      </c>
      <c r="J26" s="3451">
        <v>2</v>
      </c>
      <c r="K26" s="3451" t="s">
        <v>3490</v>
      </c>
      <c r="L26" s="3451" t="s">
        <v>3491</v>
      </c>
      <c r="M26" s="3451" t="s">
        <v>3718</v>
      </c>
      <c r="N26" s="3451" t="s">
        <v>633</v>
      </c>
      <c r="O26" s="3451" t="s">
        <v>3556</v>
      </c>
      <c r="P26" s="3451">
        <v>45</v>
      </c>
      <c r="Q26" s="3451" t="s">
        <v>633</v>
      </c>
      <c r="R26" s="3451" t="s">
        <v>633</v>
      </c>
      <c r="S26" s="3451" t="s">
        <v>633</v>
      </c>
      <c r="T26" s="3451" t="s">
        <v>633</v>
      </c>
      <c r="U26" s="3451" t="s">
        <v>3719</v>
      </c>
      <c r="V26" s="3451" t="s">
        <v>3714</v>
      </c>
      <c r="W26" s="3451" t="s">
        <v>633</v>
      </c>
      <c r="X26" s="3451" t="s">
        <v>3494</v>
      </c>
      <c r="Y26" s="3451" t="s">
        <v>3720</v>
      </c>
      <c r="Z26" s="3451" t="s">
        <v>3721</v>
      </c>
      <c r="AA26" s="3451" t="s">
        <v>3722</v>
      </c>
      <c r="AB26" s="3451" t="s">
        <v>3723</v>
      </c>
      <c r="AC26" s="3451" t="s">
        <v>3717</v>
      </c>
      <c r="AD26" s="3451" t="s">
        <v>3498</v>
      </c>
      <c r="AE26" s="3451" t="s">
        <v>3724</v>
      </c>
      <c r="AF26" s="3451" t="s">
        <v>3725</v>
      </c>
      <c r="AG26" s="3451">
        <v>30000</v>
      </c>
      <c r="AH26" s="3451">
        <v>146000</v>
      </c>
      <c r="AI26" s="3451">
        <v>147600</v>
      </c>
      <c r="AJ26" s="3451">
        <v>4401.2</v>
      </c>
      <c r="AK26" s="3451">
        <v>4449.43</v>
      </c>
      <c r="AL26" s="3451">
        <v>33008.97</v>
      </c>
      <c r="AM26" s="3451">
        <v>33370.71</v>
      </c>
      <c r="AN26" s="3451" t="s">
        <v>633</v>
      </c>
      <c r="AO26" s="3451" t="s">
        <v>633</v>
      </c>
      <c r="AP26" s="3451">
        <v>1.1000000000000001</v>
      </c>
      <c r="AQ26" s="3451" t="s">
        <v>3591</v>
      </c>
      <c r="AR26" s="3451" t="s">
        <v>633</v>
      </c>
      <c r="AS26" s="3451" t="s">
        <v>633</v>
      </c>
      <c r="AT26" s="3451" t="s">
        <v>633</v>
      </c>
      <c r="AU26" s="3451" t="s">
        <v>3502</v>
      </c>
    </row>
    <row r="27" spans="1:47">
      <c r="A27" s="3451" t="s">
        <v>3726</v>
      </c>
      <c r="B27" s="3451" t="s">
        <v>3483</v>
      </c>
      <c r="C27" s="3451" t="s">
        <v>3484</v>
      </c>
      <c r="D27" s="3451" t="s">
        <v>3504</v>
      </c>
      <c r="E27" s="3451" t="s">
        <v>633</v>
      </c>
      <c r="F27" s="3451" t="s">
        <v>3727</v>
      </c>
      <c r="G27" s="3451" t="s">
        <v>3728</v>
      </c>
      <c r="H27" s="3451">
        <v>23519.8</v>
      </c>
      <c r="I27" s="3451">
        <v>58799.5</v>
      </c>
      <c r="J27" s="3451">
        <v>2.5</v>
      </c>
      <c r="K27" s="3451" t="s">
        <v>3490</v>
      </c>
      <c r="L27" s="3451" t="s">
        <v>3491</v>
      </c>
      <c r="M27" s="3451" t="s">
        <v>3718</v>
      </c>
      <c r="N27" s="3451">
        <v>0</v>
      </c>
      <c r="O27" s="3451" t="s">
        <v>633</v>
      </c>
      <c r="P27" s="3451">
        <v>60</v>
      </c>
      <c r="Q27" s="3451" t="s">
        <v>633</v>
      </c>
      <c r="R27" s="3451" t="s">
        <v>633</v>
      </c>
      <c r="S27" s="3451" t="s">
        <v>633</v>
      </c>
      <c r="T27" s="3451" t="s">
        <v>633</v>
      </c>
      <c r="U27" s="3451" t="s">
        <v>3729</v>
      </c>
      <c r="V27" s="3451" t="s">
        <v>3730</v>
      </c>
      <c r="W27" s="3451" t="s">
        <v>633</v>
      </c>
      <c r="X27" s="3451" t="s">
        <v>3494</v>
      </c>
      <c r="Y27" s="3451" t="s">
        <v>3720</v>
      </c>
      <c r="Z27" s="3451" t="s">
        <v>3721</v>
      </c>
      <c r="AA27" s="3451" t="s">
        <v>3722</v>
      </c>
      <c r="AB27" s="3451" t="s">
        <v>3723</v>
      </c>
      <c r="AC27" s="3451" t="s">
        <v>3731</v>
      </c>
      <c r="AD27" s="3451" t="s">
        <v>3498</v>
      </c>
      <c r="AE27" s="3451" t="s">
        <v>3732</v>
      </c>
      <c r="AF27" s="3451" t="s">
        <v>3637</v>
      </c>
      <c r="AG27" s="3451">
        <v>45000</v>
      </c>
      <c r="AH27" s="3451">
        <v>223000</v>
      </c>
      <c r="AI27" s="3451">
        <v>248000</v>
      </c>
      <c r="AJ27" s="3451">
        <v>6320.92</v>
      </c>
      <c r="AK27" s="3451">
        <v>7029.54</v>
      </c>
      <c r="AL27" s="3451">
        <v>37925.49</v>
      </c>
      <c r="AM27" s="3451">
        <v>42177.23</v>
      </c>
      <c r="AN27" s="3451" t="s">
        <v>633</v>
      </c>
      <c r="AO27" s="3451" t="s">
        <v>633</v>
      </c>
      <c r="AP27" s="3451">
        <v>11.21</v>
      </c>
      <c r="AQ27" s="3451" t="s">
        <v>3591</v>
      </c>
      <c r="AR27" s="3451" t="s">
        <v>633</v>
      </c>
      <c r="AS27" s="3451" t="s">
        <v>633</v>
      </c>
      <c r="AT27" s="3451" t="s">
        <v>633</v>
      </c>
      <c r="AU27" s="3451" t="s">
        <v>3517</v>
      </c>
    </row>
    <row r="28" spans="1:47">
      <c r="A28" s="3451" t="s">
        <v>3733</v>
      </c>
      <c r="B28" s="3451" t="s">
        <v>3483</v>
      </c>
      <c r="C28" s="3451" t="s">
        <v>3484</v>
      </c>
      <c r="D28" s="3451" t="s">
        <v>3600</v>
      </c>
      <c r="E28" s="3451" t="s">
        <v>3610</v>
      </c>
      <c r="F28" s="3451" t="s">
        <v>3655</v>
      </c>
      <c r="G28" s="3451" t="s">
        <v>3734</v>
      </c>
      <c r="H28" s="3451">
        <v>25642.1</v>
      </c>
      <c r="I28" s="3451">
        <v>71797.87</v>
      </c>
      <c r="J28" s="3451">
        <v>2.8</v>
      </c>
      <c r="K28" s="3451" t="s">
        <v>3490</v>
      </c>
      <c r="L28" s="3451" t="s">
        <v>3491</v>
      </c>
      <c r="M28" s="3451" t="s">
        <v>3718</v>
      </c>
      <c r="N28" s="3451">
        <v>0</v>
      </c>
      <c r="O28" s="3451" t="s">
        <v>633</v>
      </c>
      <c r="P28" s="3451">
        <v>80</v>
      </c>
      <c r="Q28" s="3451" t="s">
        <v>3735</v>
      </c>
      <c r="R28" s="3451" t="s">
        <v>633</v>
      </c>
      <c r="S28" s="3451" t="s">
        <v>633</v>
      </c>
      <c r="T28" s="3451" t="s">
        <v>633</v>
      </c>
      <c r="U28" s="3451" t="s">
        <v>3736</v>
      </c>
      <c r="V28" s="3451" t="s">
        <v>3714</v>
      </c>
      <c r="W28" s="3451" t="s">
        <v>633</v>
      </c>
      <c r="X28" s="3451" t="s">
        <v>3494</v>
      </c>
      <c r="Y28" s="3451" t="s">
        <v>3720</v>
      </c>
      <c r="Z28" s="3451" t="s">
        <v>3721</v>
      </c>
      <c r="AA28" s="3451" t="s">
        <v>3722</v>
      </c>
      <c r="AB28" s="3451" t="s">
        <v>3723</v>
      </c>
      <c r="AC28" s="3451" t="s">
        <v>3734</v>
      </c>
      <c r="AD28" s="3451" t="s">
        <v>3498</v>
      </c>
      <c r="AE28" s="3451" t="s">
        <v>3737</v>
      </c>
      <c r="AF28" s="3451" t="s">
        <v>3665</v>
      </c>
      <c r="AG28" s="3451">
        <v>49000</v>
      </c>
      <c r="AH28" s="3451">
        <v>241000</v>
      </c>
      <c r="AI28" s="3451">
        <v>277150</v>
      </c>
      <c r="AJ28" s="3451">
        <v>6265.74</v>
      </c>
      <c r="AK28" s="3451">
        <v>7205.6</v>
      </c>
      <c r="AL28" s="3451">
        <v>33566.449999999997</v>
      </c>
      <c r="AM28" s="3451">
        <v>38601.42</v>
      </c>
      <c r="AN28" s="3451" t="s">
        <v>633</v>
      </c>
      <c r="AO28" s="3451" t="s">
        <v>633</v>
      </c>
      <c r="AP28" s="3451">
        <v>15</v>
      </c>
      <c r="AQ28" s="3451" t="s">
        <v>3591</v>
      </c>
      <c r="AR28" s="3451" t="s">
        <v>633</v>
      </c>
      <c r="AS28" s="3451" t="s">
        <v>633</v>
      </c>
      <c r="AT28" s="3451" t="s">
        <v>633</v>
      </c>
      <c r="AU28" s="3451" t="s">
        <v>3502</v>
      </c>
    </row>
    <row r="29" spans="1:47">
      <c r="A29" s="3451" t="s">
        <v>3738</v>
      </c>
      <c r="B29" s="3451" t="s">
        <v>3483</v>
      </c>
      <c r="C29" s="3451" t="s">
        <v>3484</v>
      </c>
      <c r="D29" s="3451" t="s">
        <v>3627</v>
      </c>
      <c r="E29" s="3451" t="s">
        <v>3628</v>
      </c>
      <c r="F29" s="3451" t="s">
        <v>3739</v>
      </c>
      <c r="G29" s="3451" t="s">
        <v>3740</v>
      </c>
      <c r="H29" s="3451">
        <v>16391.759999999998</v>
      </c>
      <c r="I29" s="3451">
        <v>45896</v>
      </c>
      <c r="J29" s="3451">
        <v>2.8</v>
      </c>
      <c r="K29" s="3451" t="s">
        <v>3490</v>
      </c>
      <c r="L29" s="3451" t="s">
        <v>3491</v>
      </c>
      <c r="M29" s="3451" t="s">
        <v>3718</v>
      </c>
      <c r="N29" s="3451" t="s">
        <v>633</v>
      </c>
      <c r="O29" s="3451" t="s">
        <v>633</v>
      </c>
      <c r="P29" s="3451">
        <v>60</v>
      </c>
      <c r="Q29" s="3451" t="s">
        <v>633</v>
      </c>
      <c r="R29" s="3451" t="s">
        <v>633</v>
      </c>
      <c r="S29" s="3451" t="s">
        <v>633</v>
      </c>
      <c r="T29" s="3451" t="s">
        <v>633</v>
      </c>
      <c r="U29" s="3451" t="s">
        <v>3719</v>
      </c>
      <c r="V29" s="3451" t="s">
        <v>3714</v>
      </c>
      <c r="W29" s="3451" t="s">
        <v>3741</v>
      </c>
      <c r="X29" s="3451" t="s">
        <v>3494</v>
      </c>
      <c r="Y29" s="3451" t="s">
        <v>3720</v>
      </c>
      <c r="Z29" s="3451" t="s">
        <v>3721</v>
      </c>
      <c r="AA29" s="3451" t="s">
        <v>3722</v>
      </c>
      <c r="AB29" s="3451" t="s">
        <v>3723</v>
      </c>
      <c r="AC29" s="3451" t="s">
        <v>3740</v>
      </c>
      <c r="AD29" s="3451" t="s">
        <v>3498</v>
      </c>
      <c r="AE29" s="3451" t="s">
        <v>3742</v>
      </c>
      <c r="AF29" s="3451" t="s">
        <v>3743</v>
      </c>
      <c r="AG29" s="3451">
        <v>46000</v>
      </c>
      <c r="AH29" s="3451">
        <v>227000</v>
      </c>
      <c r="AI29" s="3451">
        <v>228200</v>
      </c>
      <c r="AJ29" s="3451">
        <v>9232.2800000000007</v>
      </c>
      <c r="AK29" s="3451">
        <v>9281.09</v>
      </c>
      <c r="AL29" s="3451">
        <v>49459.65</v>
      </c>
      <c r="AM29" s="3451">
        <v>49721.11</v>
      </c>
      <c r="AN29" s="3451" t="s">
        <v>633</v>
      </c>
      <c r="AO29" s="3451" t="s">
        <v>633</v>
      </c>
      <c r="AP29" s="3451">
        <v>0.53</v>
      </c>
      <c r="AQ29" s="3451" t="s">
        <v>3591</v>
      </c>
      <c r="AR29" s="3451" t="s">
        <v>633</v>
      </c>
      <c r="AS29" s="3451" t="s">
        <v>633</v>
      </c>
      <c r="AT29" s="3451" t="s">
        <v>633</v>
      </c>
      <c r="AU29" s="3451" t="s">
        <v>3502</v>
      </c>
    </row>
    <row r="30" spans="1:47">
      <c r="A30" s="3451" t="s">
        <v>3744</v>
      </c>
      <c r="B30" s="3451" t="s">
        <v>3483</v>
      </c>
      <c r="C30" s="3451" t="s">
        <v>3484</v>
      </c>
      <c r="D30" s="3451" t="s">
        <v>3541</v>
      </c>
      <c r="E30" s="3451" t="s">
        <v>3745</v>
      </c>
      <c r="F30" s="3451" t="s">
        <v>3746</v>
      </c>
      <c r="G30" s="3451" t="s">
        <v>3747</v>
      </c>
      <c r="H30" s="3451">
        <v>51409.62</v>
      </c>
      <c r="I30" s="3451">
        <v>83593.919999999998</v>
      </c>
      <c r="J30" s="3451">
        <v>1.6</v>
      </c>
      <c r="K30" s="3451" t="s">
        <v>3490</v>
      </c>
      <c r="L30" s="3451" t="s">
        <v>3491</v>
      </c>
      <c r="M30" s="3451" t="s">
        <v>3718</v>
      </c>
      <c r="N30" s="3451" t="s">
        <v>633</v>
      </c>
      <c r="O30" s="3451" t="s">
        <v>3556</v>
      </c>
      <c r="P30" s="3451">
        <v>30</v>
      </c>
      <c r="Q30" s="3451" t="s">
        <v>633</v>
      </c>
      <c r="R30" s="3451" t="s">
        <v>633</v>
      </c>
      <c r="S30" s="3451" t="s">
        <v>633</v>
      </c>
      <c r="T30" s="3451" t="s">
        <v>633</v>
      </c>
      <c r="U30" s="3451" t="s">
        <v>3713</v>
      </c>
      <c r="V30" s="3451" t="s">
        <v>3714</v>
      </c>
      <c r="W30" s="3451" t="s">
        <v>633</v>
      </c>
      <c r="X30" s="3451" t="s">
        <v>3748</v>
      </c>
      <c r="Y30" s="3451" t="s">
        <v>3720</v>
      </c>
      <c r="Z30" s="3451" t="s">
        <v>3721</v>
      </c>
      <c r="AA30" s="3451" t="s">
        <v>3722</v>
      </c>
      <c r="AB30" s="3451" t="s">
        <v>3722</v>
      </c>
      <c r="AC30" s="3451" t="s">
        <v>3747</v>
      </c>
      <c r="AD30" s="3451" t="s">
        <v>3498</v>
      </c>
      <c r="AE30" s="3451" t="s">
        <v>3749</v>
      </c>
      <c r="AF30" s="3451" t="s">
        <v>3750</v>
      </c>
      <c r="AG30" s="3451">
        <v>34000</v>
      </c>
      <c r="AH30" s="3451">
        <v>166000</v>
      </c>
      <c r="AI30" s="3451">
        <v>166000</v>
      </c>
      <c r="AJ30" s="3451">
        <v>2152.65</v>
      </c>
      <c r="AK30" s="3451">
        <v>2152.65</v>
      </c>
      <c r="AL30" s="3451">
        <v>19857.900000000001</v>
      </c>
      <c r="AM30" s="3451">
        <v>19857.900000000001</v>
      </c>
      <c r="AN30" s="3451" t="s">
        <v>633</v>
      </c>
      <c r="AO30" s="3451" t="s">
        <v>633</v>
      </c>
      <c r="AP30" s="3451">
        <v>0</v>
      </c>
      <c r="AQ30" s="3451" t="s">
        <v>3591</v>
      </c>
      <c r="AR30" s="3451" t="s">
        <v>633</v>
      </c>
      <c r="AS30" s="3451" t="s">
        <v>633</v>
      </c>
      <c r="AT30" s="3451" t="s">
        <v>633</v>
      </c>
      <c r="AU30" s="3451" t="s">
        <v>3502</v>
      </c>
    </row>
    <row r="31" spans="1:47">
      <c r="A31" s="3451" t="s">
        <v>3751</v>
      </c>
      <c r="B31" s="3451" t="s">
        <v>3483</v>
      </c>
      <c r="C31" s="3451" t="s">
        <v>3484</v>
      </c>
      <c r="D31" s="3451" t="s">
        <v>3485</v>
      </c>
      <c r="E31" s="3451" t="s">
        <v>3616</v>
      </c>
      <c r="F31" s="3451" t="s">
        <v>3752</v>
      </c>
      <c r="G31" s="3451" t="s">
        <v>3753</v>
      </c>
      <c r="H31" s="3451">
        <v>32057.19</v>
      </c>
      <c r="I31" s="3451">
        <v>51292</v>
      </c>
      <c r="J31" s="3451">
        <v>1.6</v>
      </c>
      <c r="K31" s="3451" t="s">
        <v>3490</v>
      </c>
      <c r="L31" s="3451" t="s">
        <v>3491</v>
      </c>
      <c r="M31" s="3451" t="s">
        <v>3718</v>
      </c>
      <c r="N31" s="3451" t="s">
        <v>633</v>
      </c>
      <c r="O31" s="3451" t="s">
        <v>3556</v>
      </c>
      <c r="P31" s="3451">
        <v>18</v>
      </c>
      <c r="Q31" s="3451" t="s">
        <v>633</v>
      </c>
      <c r="R31" s="3451" t="s">
        <v>633</v>
      </c>
      <c r="S31" s="3451" t="s">
        <v>633</v>
      </c>
      <c r="T31" s="3451" t="s">
        <v>633</v>
      </c>
      <c r="U31" s="3451" t="s">
        <v>3754</v>
      </c>
      <c r="V31" s="3451" t="s">
        <v>3730</v>
      </c>
      <c r="W31" s="3451" t="s">
        <v>633</v>
      </c>
      <c r="X31" s="3451" t="s">
        <v>3494</v>
      </c>
      <c r="Y31" s="3451" t="s">
        <v>3720</v>
      </c>
      <c r="Z31" s="3451" t="s">
        <v>3721</v>
      </c>
      <c r="AA31" s="3451" t="s">
        <v>3722</v>
      </c>
      <c r="AB31" s="3451" t="s">
        <v>3722</v>
      </c>
      <c r="AC31" s="3451" t="s">
        <v>3753</v>
      </c>
      <c r="AD31" s="3451" t="s">
        <v>3498</v>
      </c>
      <c r="AE31" s="3451" t="s">
        <v>3624</v>
      </c>
      <c r="AF31" s="3451" t="s">
        <v>3625</v>
      </c>
      <c r="AG31" s="3451">
        <v>17000</v>
      </c>
      <c r="AH31" s="3451">
        <v>81000</v>
      </c>
      <c r="AI31" s="3451">
        <v>81000</v>
      </c>
      <c r="AJ31" s="3451">
        <v>1684.49</v>
      </c>
      <c r="AK31" s="3451">
        <v>1684.49</v>
      </c>
      <c r="AL31" s="3451">
        <v>15791.93</v>
      </c>
      <c r="AM31" s="3451">
        <v>15791.94</v>
      </c>
      <c r="AN31" s="3451" t="s">
        <v>633</v>
      </c>
      <c r="AO31" s="3451" t="s">
        <v>633</v>
      </c>
      <c r="AP31" s="3451">
        <v>0</v>
      </c>
      <c r="AQ31" s="3451" t="s">
        <v>3591</v>
      </c>
      <c r="AR31" s="3451" t="s">
        <v>633</v>
      </c>
      <c r="AS31" s="3451" t="s">
        <v>633</v>
      </c>
      <c r="AT31" s="3451" t="s">
        <v>633</v>
      </c>
      <c r="AU31" s="3451" t="s">
        <v>3517</v>
      </c>
    </row>
    <row r="32" spans="1:47">
      <c r="A32" s="3451" t="s">
        <v>3755</v>
      </c>
      <c r="B32" s="3451" t="s">
        <v>3483</v>
      </c>
      <c r="C32" s="3451" t="s">
        <v>3484</v>
      </c>
      <c r="D32" s="3451" t="s">
        <v>3600</v>
      </c>
      <c r="E32" s="3451" t="s">
        <v>3610</v>
      </c>
      <c r="F32" s="3451" t="s">
        <v>3756</v>
      </c>
      <c r="G32" s="3451" t="s">
        <v>3757</v>
      </c>
      <c r="H32" s="3451">
        <v>59603.839999999997</v>
      </c>
      <c r="I32" s="3451">
        <v>131128.44</v>
      </c>
      <c r="J32" s="3451">
        <v>2.2000000000000002</v>
      </c>
      <c r="K32" s="3451" t="s">
        <v>3490</v>
      </c>
      <c r="L32" s="3451" t="s">
        <v>3491</v>
      </c>
      <c r="M32" s="3451" t="s">
        <v>3718</v>
      </c>
      <c r="N32" s="3451" t="s">
        <v>633</v>
      </c>
      <c r="O32" s="3451" t="s">
        <v>633</v>
      </c>
      <c r="P32" s="3451">
        <v>45</v>
      </c>
      <c r="Q32" s="3451" t="s">
        <v>633</v>
      </c>
      <c r="R32" s="3451" t="s">
        <v>633</v>
      </c>
      <c r="S32" s="3451" t="s">
        <v>633</v>
      </c>
      <c r="T32" s="3451" t="s">
        <v>633</v>
      </c>
      <c r="U32" s="3451" t="s">
        <v>3729</v>
      </c>
      <c r="V32" s="3451" t="s">
        <v>3730</v>
      </c>
      <c r="W32" s="3451" t="s">
        <v>633</v>
      </c>
      <c r="X32" s="3451" t="s">
        <v>3494</v>
      </c>
      <c r="Y32" s="3451" t="s">
        <v>3720</v>
      </c>
      <c r="Z32" s="3451" t="s">
        <v>3721</v>
      </c>
      <c r="AA32" s="3451" t="s">
        <v>3722</v>
      </c>
      <c r="AB32" s="3451" t="s">
        <v>3722</v>
      </c>
      <c r="AC32" s="3451" t="s">
        <v>3757</v>
      </c>
      <c r="AD32" s="3451" t="s">
        <v>3498</v>
      </c>
      <c r="AE32" s="3451" t="s">
        <v>3732</v>
      </c>
      <c r="AF32" s="3451" t="s">
        <v>3637</v>
      </c>
      <c r="AG32" s="3451">
        <v>66000</v>
      </c>
      <c r="AH32" s="3451">
        <v>326000</v>
      </c>
      <c r="AI32" s="3451">
        <v>326000</v>
      </c>
      <c r="AJ32" s="3451">
        <v>3646.3</v>
      </c>
      <c r="AK32" s="3451">
        <v>3646.3</v>
      </c>
      <c r="AL32" s="3451">
        <v>24861.119999999999</v>
      </c>
      <c r="AM32" s="3451">
        <v>24861.119999999999</v>
      </c>
      <c r="AN32" s="3451" t="s">
        <v>633</v>
      </c>
      <c r="AO32" s="3451" t="s">
        <v>633</v>
      </c>
      <c r="AP32" s="3451">
        <v>0</v>
      </c>
      <c r="AQ32" s="3451" t="s">
        <v>3591</v>
      </c>
      <c r="AR32" s="3451" t="s">
        <v>633</v>
      </c>
      <c r="AS32" s="3451" t="s">
        <v>633</v>
      </c>
      <c r="AT32" s="3451" t="s">
        <v>633</v>
      </c>
      <c r="AU32" s="3451" t="s">
        <v>3517</v>
      </c>
    </row>
    <row r="33" spans="1:47">
      <c r="A33" s="3451" t="s">
        <v>3758</v>
      </c>
      <c r="B33" s="3451" t="s">
        <v>3483</v>
      </c>
      <c r="C33" s="3451" t="s">
        <v>3484</v>
      </c>
      <c r="D33" s="3451" t="s">
        <v>3485</v>
      </c>
      <c r="E33" s="3451" t="s">
        <v>3616</v>
      </c>
      <c r="F33" s="3451" t="s">
        <v>3759</v>
      </c>
      <c r="G33" s="3451" t="s">
        <v>3760</v>
      </c>
      <c r="H33" s="3451">
        <v>45509.77</v>
      </c>
      <c r="I33" s="3451">
        <v>113774</v>
      </c>
      <c r="J33" s="3451">
        <v>2.5</v>
      </c>
      <c r="K33" s="3451" t="s">
        <v>3490</v>
      </c>
      <c r="L33" s="3451" t="s">
        <v>3491</v>
      </c>
      <c r="M33" s="3451" t="s">
        <v>3658</v>
      </c>
      <c r="N33" s="3451" t="s">
        <v>633</v>
      </c>
      <c r="O33" s="3451" t="s">
        <v>3761</v>
      </c>
      <c r="P33" s="3451">
        <v>45</v>
      </c>
      <c r="Q33" s="3451" t="s">
        <v>3735</v>
      </c>
      <c r="R33" s="3451" t="s">
        <v>633</v>
      </c>
      <c r="S33" s="3451" t="s">
        <v>633</v>
      </c>
      <c r="T33" s="3451" t="s">
        <v>633</v>
      </c>
      <c r="U33" s="3451" t="s">
        <v>3754</v>
      </c>
      <c r="V33" s="3451" t="s">
        <v>3762</v>
      </c>
      <c r="W33" s="3451" t="s">
        <v>633</v>
      </c>
      <c r="X33" s="3451" t="s">
        <v>3763</v>
      </c>
      <c r="Y33" s="3451" t="s">
        <v>3764</v>
      </c>
      <c r="Z33" s="3451" t="s">
        <v>3765</v>
      </c>
      <c r="AA33" s="3451" t="s">
        <v>3766</v>
      </c>
      <c r="AB33" s="3451" t="s">
        <v>3767</v>
      </c>
      <c r="AC33" s="3451" t="s">
        <v>3760</v>
      </c>
      <c r="AD33" s="3451" t="s">
        <v>3498</v>
      </c>
      <c r="AE33" s="3451" t="s">
        <v>3624</v>
      </c>
      <c r="AF33" s="3451" t="s">
        <v>3625</v>
      </c>
      <c r="AG33" s="3451">
        <v>33000</v>
      </c>
      <c r="AH33" s="3451">
        <v>162000</v>
      </c>
      <c r="AI33" s="3451">
        <v>186300</v>
      </c>
      <c r="AJ33" s="3451">
        <v>2373.12</v>
      </c>
      <c r="AK33" s="3451">
        <v>2729.08</v>
      </c>
      <c r="AL33" s="3451">
        <v>14238.75</v>
      </c>
      <c r="AM33" s="3451">
        <v>16374.57</v>
      </c>
      <c r="AN33" s="3451" t="s">
        <v>633</v>
      </c>
      <c r="AO33" s="3451" t="s">
        <v>633</v>
      </c>
      <c r="AP33" s="3451">
        <v>15</v>
      </c>
      <c r="AQ33" s="3451" t="s">
        <v>3768</v>
      </c>
      <c r="AR33" s="3451" t="s">
        <v>633</v>
      </c>
      <c r="AS33" s="3451" t="s">
        <v>633</v>
      </c>
      <c r="AT33" s="3451" t="s">
        <v>633</v>
      </c>
      <c r="AU33" s="3451" t="s">
        <v>3502</v>
      </c>
    </row>
    <row r="34" spans="1:47">
      <c r="A34" s="3451" t="s">
        <v>3769</v>
      </c>
      <c r="B34" s="3451" t="s">
        <v>3483</v>
      </c>
      <c r="C34" s="3451" t="s">
        <v>3484</v>
      </c>
      <c r="D34" s="3451" t="s">
        <v>3675</v>
      </c>
      <c r="E34" s="3451" t="s">
        <v>3684</v>
      </c>
      <c r="F34" s="3451" t="s">
        <v>3685</v>
      </c>
      <c r="G34" s="3451" t="s">
        <v>3770</v>
      </c>
      <c r="H34" s="3451">
        <v>103325.51</v>
      </c>
      <c r="I34" s="3451">
        <v>200222.03</v>
      </c>
      <c r="J34" s="3451">
        <v>2</v>
      </c>
      <c r="K34" s="3451" t="s">
        <v>3490</v>
      </c>
      <c r="L34" s="3451" t="s">
        <v>3491</v>
      </c>
      <c r="M34" s="3451" t="s">
        <v>3658</v>
      </c>
      <c r="N34" s="3451" t="s">
        <v>633</v>
      </c>
      <c r="O34" s="3451" t="s">
        <v>633</v>
      </c>
      <c r="P34" s="3451">
        <v>30</v>
      </c>
      <c r="Q34" s="3451" t="s">
        <v>633</v>
      </c>
      <c r="R34" s="3451" t="s">
        <v>633</v>
      </c>
      <c r="S34" s="3451" t="s">
        <v>633</v>
      </c>
      <c r="T34" s="3451" t="s">
        <v>633</v>
      </c>
      <c r="U34" s="3451" t="s">
        <v>3771</v>
      </c>
      <c r="V34" s="3451" t="s">
        <v>3730</v>
      </c>
      <c r="W34" s="3451" t="s">
        <v>633</v>
      </c>
      <c r="X34" s="3451" t="s">
        <v>3748</v>
      </c>
      <c r="Y34" s="3451" t="s">
        <v>3764</v>
      </c>
      <c r="Z34" s="3451" t="s">
        <v>3765</v>
      </c>
      <c r="AA34" s="3451" t="s">
        <v>3766</v>
      </c>
      <c r="AB34" s="3451" t="s">
        <v>3766</v>
      </c>
      <c r="AC34" s="3451" t="s">
        <v>3770</v>
      </c>
      <c r="AD34" s="3451" t="s">
        <v>3498</v>
      </c>
      <c r="AE34" s="3451" t="s">
        <v>3772</v>
      </c>
      <c r="AF34" s="3451" t="s">
        <v>3773</v>
      </c>
      <c r="AG34" s="3451">
        <v>42000</v>
      </c>
      <c r="AH34" s="3451">
        <v>207000</v>
      </c>
      <c r="AI34" s="3451">
        <v>207000</v>
      </c>
      <c r="AJ34" s="3451">
        <v>1335.58</v>
      </c>
      <c r="AK34" s="3451">
        <v>1335.58</v>
      </c>
      <c r="AL34" s="3451">
        <v>10338.52</v>
      </c>
      <c r="AM34" s="3451">
        <v>10338.52</v>
      </c>
      <c r="AN34" s="3451" t="s">
        <v>633</v>
      </c>
      <c r="AO34" s="3451" t="s">
        <v>633</v>
      </c>
      <c r="AP34" s="3451">
        <v>0</v>
      </c>
      <c r="AQ34" s="3451" t="s">
        <v>3774</v>
      </c>
      <c r="AR34" s="3451" t="s">
        <v>633</v>
      </c>
      <c r="AS34" s="3451" t="s">
        <v>633</v>
      </c>
      <c r="AT34" s="3451" t="s">
        <v>633</v>
      </c>
      <c r="AU34" s="3451" t="s">
        <v>3517</v>
      </c>
    </row>
    <row r="35" spans="1:47">
      <c r="A35" s="3451" t="s">
        <v>3775</v>
      </c>
      <c r="B35" s="3451" t="s">
        <v>3483</v>
      </c>
      <c r="C35" s="3451" t="s">
        <v>3484</v>
      </c>
      <c r="D35" s="3451" t="s">
        <v>3640</v>
      </c>
      <c r="E35" s="3451" t="s">
        <v>3641</v>
      </c>
      <c r="F35" s="3451" t="s">
        <v>3642</v>
      </c>
      <c r="G35" s="3451" t="s">
        <v>3776</v>
      </c>
      <c r="H35" s="3451">
        <v>25036.44</v>
      </c>
      <c r="I35" s="3451">
        <v>67598.39</v>
      </c>
      <c r="J35" s="3451">
        <v>2.7</v>
      </c>
      <c r="K35" s="3451" t="s">
        <v>3490</v>
      </c>
      <c r="L35" s="3451" t="s">
        <v>3491</v>
      </c>
      <c r="M35" s="3451" t="s">
        <v>3658</v>
      </c>
      <c r="N35" s="3451" t="s">
        <v>633</v>
      </c>
      <c r="O35" s="3451" t="s">
        <v>633</v>
      </c>
      <c r="P35" s="3451">
        <v>60</v>
      </c>
      <c r="Q35" s="3451" t="s">
        <v>3735</v>
      </c>
      <c r="R35" s="3451" t="s">
        <v>633</v>
      </c>
      <c r="S35" s="3451" t="s">
        <v>633</v>
      </c>
      <c r="T35" s="3451" t="s">
        <v>633</v>
      </c>
      <c r="U35" s="3451" t="s">
        <v>3754</v>
      </c>
      <c r="V35" s="3451" t="s">
        <v>3730</v>
      </c>
      <c r="W35" s="3451" t="s">
        <v>633</v>
      </c>
      <c r="X35" s="3451" t="s">
        <v>3763</v>
      </c>
      <c r="Y35" s="3451" t="s">
        <v>3764</v>
      </c>
      <c r="Z35" s="3451" t="s">
        <v>3765</v>
      </c>
      <c r="AA35" s="3451" t="s">
        <v>3766</v>
      </c>
      <c r="AB35" s="3451" t="s">
        <v>3766</v>
      </c>
      <c r="AC35" s="3451" t="s">
        <v>3776</v>
      </c>
      <c r="AD35" s="3451" t="s">
        <v>3498</v>
      </c>
      <c r="AE35" s="3451" t="s">
        <v>3777</v>
      </c>
      <c r="AF35" s="3451" t="s">
        <v>3778</v>
      </c>
      <c r="AG35" s="3451">
        <v>30000</v>
      </c>
      <c r="AH35" s="3451">
        <v>146000</v>
      </c>
      <c r="AI35" s="3451">
        <v>148400</v>
      </c>
      <c r="AJ35" s="3451">
        <v>3887.67</v>
      </c>
      <c r="AK35" s="3451">
        <v>3951.57</v>
      </c>
      <c r="AL35" s="3451">
        <v>21598.14</v>
      </c>
      <c r="AM35" s="3451">
        <v>21953.19</v>
      </c>
      <c r="AN35" s="3451" t="s">
        <v>633</v>
      </c>
      <c r="AO35" s="3451" t="s">
        <v>633</v>
      </c>
      <c r="AP35" s="3451">
        <v>1.64</v>
      </c>
      <c r="AQ35" s="3451" t="s">
        <v>3779</v>
      </c>
      <c r="AR35" s="3451" t="s">
        <v>633</v>
      </c>
      <c r="AS35" s="3451" t="s">
        <v>633</v>
      </c>
      <c r="AT35" s="3451" t="s">
        <v>633</v>
      </c>
      <c r="AU35" s="3451" t="s">
        <v>3502</v>
      </c>
    </row>
    <row r="36" spans="1:47">
      <c r="A36" s="3451" t="s">
        <v>3780</v>
      </c>
      <c r="B36" s="3451" t="s">
        <v>3483</v>
      </c>
      <c r="C36" s="3451" t="s">
        <v>3484</v>
      </c>
      <c r="D36" s="3451" t="s">
        <v>3640</v>
      </c>
      <c r="E36" s="3451" t="s">
        <v>3641</v>
      </c>
      <c r="F36" s="3451" t="s">
        <v>3642</v>
      </c>
      <c r="G36" s="3451" t="s">
        <v>3781</v>
      </c>
      <c r="H36" s="3451">
        <v>26791.21</v>
      </c>
      <c r="I36" s="3451">
        <v>53582.42</v>
      </c>
      <c r="J36" s="3451">
        <v>2</v>
      </c>
      <c r="K36" s="3451" t="s">
        <v>3490</v>
      </c>
      <c r="L36" s="3451" t="s">
        <v>3491</v>
      </c>
      <c r="M36" s="3451" t="s">
        <v>3658</v>
      </c>
      <c r="N36" s="3451" t="s">
        <v>633</v>
      </c>
      <c r="O36" s="3451" t="s">
        <v>633</v>
      </c>
      <c r="P36" s="3451">
        <v>45</v>
      </c>
      <c r="Q36" s="3451" t="s">
        <v>3735</v>
      </c>
      <c r="R36" s="3451" t="s">
        <v>633</v>
      </c>
      <c r="S36" s="3451" t="s">
        <v>633</v>
      </c>
      <c r="T36" s="3451" t="s">
        <v>633</v>
      </c>
      <c r="U36" s="3451" t="s">
        <v>3754</v>
      </c>
      <c r="V36" s="3451" t="s">
        <v>3730</v>
      </c>
      <c r="W36" s="3451" t="s">
        <v>633</v>
      </c>
      <c r="X36" s="3451" t="s">
        <v>3763</v>
      </c>
      <c r="Y36" s="3451" t="s">
        <v>3764</v>
      </c>
      <c r="Z36" s="3451" t="s">
        <v>3765</v>
      </c>
      <c r="AA36" s="3451" t="s">
        <v>3766</v>
      </c>
      <c r="AB36" s="3451" t="s">
        <v>3766</v>
      </c>
      <c r="AC36" s="3451" t="s">
        <v>3781</v>
      </c>
      <c r="AD36" s="3451" t="s">
        <v>3498</v>
      </c>
      <c r="AE36" s="3451" t="s">
        <v>3782</v>
      </c>
      <c r="AF36" s="3451" t="s">
        <v>3783</v>
      </c>
      <c r="AG36" s="3451">
        <v>23000</v>
      </c>
      <c r="AH36" s="3451">
        <v>115000</v>
      </c>
      <c r="AI36" s="3451">
        <v>116800</v>
      </c>
      <c r="AJ36" s="3451">
        <v>2861.64</v>
      </c>
      <c r="AK36" s="3451">
        <v>2906.43</v>
      </c>
      <c r="AL36" s="3451">
        <v>21462.26</v>
      </c>
      <c r="AM36" s="3451">
        <v>21798.19</v>
      </c>
      <c r="AN36" s="3451" t="s">
        <v>633</v>
      </c>
      <c r="AO36" s="3451" t="s">
        <v>633</v>
      </c>
      <c r="AP36" s="3451">
        <v>1.57</v>
      </c>
      <c r="AQ36" s="3451" t="s">
        <v>3784</v>
      </c>
      <c r="AR36" s="3451" t="s">
        <v>633</v>
      </c>
      <c r="AS36" s="3451" t="s">
        <v>633</v>
      </c>
      <c r="AT36" s="3451" t="s">
        <v>633</v>
      </c>
      <c r="AU36" s="3451" t="s">
        <v>3502</v>
      </c>
    </row>
    <row r="37" spans="1:47">
      <c r="A37" s="3451" t="s">
        <v>3785</v>
      </c>
      <c r="B37" s="3451" t="s">
        <v>3483</v>
      </c>
      <c r="C37" s="3451" t="s">
        <v>3484</v>
      </c>
      <c r="D37" s="3451" t="s">
        <v>3504</v>
      </c>
      <c r="E37" s="3451" t="s">
        <v>3528</v>
      </c>
      <c r="F37" s="3451" t="s">
        <v>3786</v>
      </c>
      <c r="G37" s="3451" t="s">
        <v>3787</v>
      </c>
      <c r="H37" s="3451">
        <v>40082.199999999997</v>
      </c>
      <c r="I37" s="3451">
        <v>60123.3</v>
      </c>
      <c r="J37" s="3451">
        <v>1.5</v>
      </c>
      <c r="K37" s="3451" t="s">
        <v>3490</v>
      </c>
      <c r="L37" s="3451" t="s">
        <v>3788</v>
      </c>
      <c r="M37" s="3451">
        <v>0</v>
      </c>
      <c r="N37" s="3451" t="s">
        <v>633</v>
      </c>
      <c r="O37" s="3451">
        <v>30</v>
      </c>
      <c r="P37" s="3451" t="s">
        <v>633</v>
      </c>
      <c r="Q37" s="3451" t="s">
        <v>633</v>
      </c>
      <c r="R37" s="3451" t="s">
        <v>633</v>
      </c>
      <c r="S37" s="3451" t="s">
        <v>633</v>
      </c>
      <c r="T37" s="3451" t="s">
        <v>633</v>
      </c>
      <c r="U37" s="3451" t="s">
        <v>633</v>
      </c>
      <c r="V37" s="3451" t="s">
        <v>633</v>
      </c>
      <c r="W37" s="3451" t="s">
        <v>633</v>
      </c>
      <c r="X37" s="3451" t="s">
        <v>3763</v>
      </c>
      <c r="Y37" s="3451" t="s">
        <v>3789</v>
      </c>
      <c r="Z37" s="3451" t="s">
        <v>3790</v>
      </c>
      <c r="AA37" s="3451" t="s">
        <v>3791</v>
      </c>
      <c r="AB37" s="3451" t="s">
        <v>3791</v>
      </c>
      <c r="AC37" s="3451" t="s">
        <v>3792</v>
      </c>
      <c r="AD37" s="3451" t="s">
        <v>3498</v>
      </c>
      <c r="AE37" s="3451" t="s">
        <v>3793</v>
      </c>
      <c r="AF37" s="3451" t="s">
        <v>3794</v>
      </c>
      <c r="AG37" s="3451">
        <v>16400</v>
      </c>
      <c r="AH37" s="3451">
        <v>81924.009999999995</v>
      </c>
      <c r="AI37" s="3451">
        <v>81924.009999999995</v>
      </c>
      <c r="AJ37" s="3451">
        <v>1362.6</v>
      </c>
      <c r="AK37" s="3451">
        <v>1362.6</v>
      </c>
      <c r="AL37" s="3451">
        <v>13626</v>
      </c>
      <c r="AM37" s="3451">
        <v>13626</v>
      </c>
      <c r="AN37" s="3451" t="s">
        <v>633</v>
      </c>
      <c r="AO37" s="3451" t="s">
        <v>633</v>
      </c>
      <c r="AP37" s="3451">
        <v>0</v>
      </c>
      <c r="AQ37" s="3451">
        <v>50</v>
      </c>
      <c r="AR37" s="3451" t="s">
        <v>633</v>
      </c>
      <c r="AS37" s="3451" t="s">
        <v>633</v>
      </c>
      <c r="AT37" s="3451" t="s">
        <v>633</v>
      </c>
      <c r="AU37" s="3451" t="s">
        <v>3517</v>
      </c>
    </row>
    <row r="38" spans="1:47">
      <c r="A38" s="3451" t="s">
        <v>3795</v>
      </c>
      <c r="B38" s="3451" t="s">
        <v>3483</v>
      </c>
      <c r="C38" s="3451" t="s">
        <v>3484</v>
      </c>
      <c r="D38" s="3451" t="s">
        <v>3600</v>
      </c>
      <c r="E38" s="3451" t="s">
        <v>3796</v>
      </c>
      <c r="F38" s="3451" t="s">
        <v>3797</v>
      </c>
      <c r="G38" s="3451" t="s">
        <v>3798</v>
      </c>
      <c r="H38" s="3451">
        <v>27077.63</v>
      </c>
      <c r="I38" s="3451">
        <v>56500</v>
      </c>
      <c r="J38" s="3451">
        <v>2.1</v>
      </c>
      <c r="K38" s="3451" t="s">
        <v>3490</v>
      </c>
      <c r="L38" s="3451" t="s">
        <v>3491</v>
      </c>
      <c r="M38" s="3451" t="s">
        <v>3698</v>
      </c>
      <c r="N38" s="3451" t="s">
        <v>633</v>
      </c>
      <c r="O38" s="3451" t="s">
        <v>633</v>
      </c>
      <c r="P38" s="3451" t="s">
        <v>3799</v>
      </c>
      <c r="Q38" s="3451" t="s">
        <v>633</v>
      </c>
      <c r="R38" s="3451" t="s">
        <v>633</v>
      </c>
      <c r="S38" s="3451" t="s">
        <v>633</v>
      </c>
      <c r="T38" s="3451" t="s">
        <v>633</v>
      </c>
      <c r="U38" s="3451" t="s">
        <v>3800</v>
      </c>
      <c r="V38" s="3451" t="s">
        <v>3800</v>
      </c>
      <c r="W38" s="3451" t="s">
        <v>633</v>
      </c>
      <c r="X38" s="3451" t="s">
        <v>3748</v>
      </c>
      <c r="Y38" s="3451" t="s">
        <v>3801</v>
      </c>
      <c r="Z38" s="3451" t="s">
        <v>3802</v>
      </c>
      <c r="AA38" s="3451" t="s">
        <v>3803</v>
      </c>
      <c r="AB38" s="3451" t="s">
        <v>3803</v>
      </c>
      <c r="AC38" s="3451" t="s">
        <v>3798</v>
      </c>
      <c r="AD38" s="3451" t="s">
        <v>3498</v>
      </c>
      <c r="AE38" s="3451" t="s">
        <v>3804</v>
      </c>
      <c r="AF38" s="3451" t="s">
        <v>3805</v>
      </c>
      <c r="AG38" s="3451">
        <v>16500</v>
      </c>
      <c r="AH38" s="3451">
        <v>82500</v>
      </c>
      <c r="AI38" s="3451">
        <v>94875</v>
      </c>
      <c r="AJ38" s="3451">
        <v>2031.2</v>
      </c>
      <c r="AK38" s="3451">
        <v>2335.88</v>
      </c>
      <c r="AL38" s="3451">
        <v>14601.77</v>
      </c>
      <c r="AM38" s="3451">
        <v>16792.04</v>
      </c>
      <c r="AN38" s="3451" t="s">
        <v>633</v>
      </c>
      <c r="AO38" s="3451" t="s">
        <v>633</v>
      </c>
      <c r="AP38" s="3451">
        <v>15</v>
      </c>
      <c r="AQ38" s="3451" t="s">
        <v>3591</v>
      </c>
      <c r="AR38" s="3451" t="s">
        <v>633</v>
      </c>
      <c r="AS38" s="3451" t="s">
        <v>633</v>
      </c>
      <c r="AT38" s="3451" t="s">
        <v>633</v>
      </c>
      <c r="AU38" s="3451" t="s">
        <v>3502</v>
      </c>
    </row>
    <row r="39" spans="1:47">
      <c r="A39" s="3451" t="s">
        <v>3806</v>
      </c>
      <c r="B39" s="3451" t="s">
        <v>3483</v>
      </c>
      <c r="C39" s="3451" t="s">
        <v>3484</v>
      </c>
      <c r="D39" s="3451" t="s">
        <v>3627</v>
      </c>
      <c r="E39" s="3451" t="s">
        <v>3628</v>
      </c>
      <c r="F39" s="3451" t="s">
        <v>3739</v>
      </c>
      <c r="G39" s="3451" t="s">
        <v>3807</v>
      </c>
      <c r="H39" s="3451">
        <v>11822.2</v>
      </c>
      <c r="I39" s="3451">
        <v>35466</v>
      </c>
      <c r="J39" s="3451">
        <v>3</v>
      </c>
      <c r="K39" s="3451" t="s">
        <v>3490</v>
      </c>
      <c r="L39" s="3451" t="s">
        <v>3808</v>
      </c>
      <c r="M39" s="3451" t="s">
        <v>3698</v>
      </c>
      <c r="N39" s="3451">
        <v>30</v>
      </c>
      <c r="O39" s="3451" t="s">
        <v>633</v>
      </c>
      <c r="P39" s="3451">
        <v>60</v>
      </c>
      <c r="Q39" s="3451" t="s">
        <v>3735</v>
      </c>
      <c r="R39" s="3451" t="s">
        <v>633</v>
      </c>
      <c r="S39" s="3451" t="s">
        <v>633</v>
      </c>
      <c r="T39" s="3451" t="s">
        <v>633</v>
      </c>
      <c r="U39" s="3451" t="s">
        <v>3713</v>
      </c>
      <c r="V39" s="3451" t="s">
        <v>3714</v>
      </c>
      <c r="W39" s="3451" t="s">
        <v>633</v>
      </c>
      <c r="X39" s="3451" t="s">
        <v>3748</v>
      </c>
      <c r="Y39" s="3451" t="s">
        <v>3801</v>
      </c>
      <c r="Z39" s="3451" t="s">
        <v>3802</v>
      </c>
      <c r="AA39" s="3451" t="s">
        <v>3809</v>
      </c>
      <c r="AB39" s="3451" t="s">
        <v>3809</v>
      </c>
      <c r="AC39" s="3451" t="s">
        <v>3807</v>
      </c>
      <c r="AD39" s="3451" t="s">
        <v>3498</v>
      </c>
      <c r="AE39" s="3451" t="s">
        <v>3732</v>
      </c>
      <c r="AF39" s="3451" t="s">
        <v>3637</v>
      </c>
      <c r="AG39" s="3451">
        <v>23500</v>
      </c>
      <c r="AH39" s="3451">
        <v>116000</v>
      </c>
      <c r="AI39" s="3451">
        <v>116000</v>
      </c>
      <c r="AJ39" s="3451">
        <v>6541.37</v>
      </c>
      <c r="AK39" s="3451">
        <v>6541.37</v>
      </c>
      <c r="AL39" s="3451">
        <v>32707.38</v>
      </c>
      <c r="AM39" s="3451">
        <v>32707.38</v>
      </c>
      <c r="AN39" s="3451" t="s">
        <v>633</v>
      </c>
      <c r="AO39" s="3451" t="s">
        <v>633</v>
      </c>
      <c r="AP39" s="3451">
        <v>0</v>
      </c>
      <c r="AQ39" s="3451" t="s">
        <v>3708</v>
      </c>
      <c r="AR39" s="3451" t="s">
        <v>633</v>
      </c>
      <c r="AS39" s="3451" t="s">
        <v>633</v>
      </c>
      <c r="AT39" s="3451" t="s">
        <v>633</v>
      </c>
      <c r="AU39" s="3451" t="s">
        <v>3502</v>
      </c>
    </row>
    <row r="40" spans="1:47">
      <c r="A40" s="3451" t="s">
        <v>3810</v>
      </c>
      <c r="B40" s="3451" t="s">
        <v>3483</v>
      </c>
      <c r="C40" s="3451" t="s">
        <v>3484</v>
      </c>
      <c r="D40" s="3451" t="s">
        <v>3504</v>
      </c>
      <c r="E40" s="3451" t="s">
        <v>3811</v>
      </c>
      <c r="F40" s="3451" t="s">
        <v>3812</v>
      </c>
      <c r="G40" s="3451" t="s">
        <v>3813</v>
      </c>
      <c r="H40" s="3451">
        <v>71316.899999999994</v>
      </c>
      <c r="I40" s="3451">
        <v>178292.25</v>
      </c>
      <c r="J40" s="3451" t="s">
        <v>3814</v>
      </c>
      <c r="K40" s="3451" t="s">
        <v>3490</v>
      </c>
      <c r="L40" s="3451" t="s">
        <v>3491</v>
      </c>
      <c r="M40" s="3451" t="s">
        <v>3698</v>
      </c>
      <c r="N40" s="3451" t="s">
        <v>633</v>
      </c>
      <c r="O40" s="3451" t="s">
        <v>3619</v>
      </c>
      <c r="P40" s="3451" t="s">
        <v>3619</v>
      </c>
      <c r="Q40" s="3451" t="s">
        <v>3735</v>
      </c>
      <c r="R40" s="3451" t="s">
        <v>633</v>
      </c>
      <c r="S40" s="3451" t="s">
        <v>633</v>
      </c>
      <c r="T40" s="3451" t="s">
        <v>633</v>
      </c>
      <c r="U40" s="3451" t="s">
        <v>3762</v>
      </c>
      <c r="V40" s="3451" t="s">
        <v>3730</v>
      </c>
      <c r="W40" s="3451" t="s">
        <v>633</v>
      </c>
      <c r="X40" s="3451" t="s">
        <v>3748</v>
      </c>
      <c r="Y40" s="3451" t="s">
        <v>3801</v>
      </c>
      <c r="Z40" s="3451" t="s">
        <v>3802</v>
      </c>
      <c r="AA40" s="3451" t="s">
        <v>3809</v>
      </c>
      <c r="AB40" s="3451" t="s">
        <v>3809</v>
      </c>
      <c r="AC40" s="3451" t="s">
        <v>3813</v>
      </c>
      <c r="AD40" s="3451" t="s">
        <v>3498</v>
      </c>
      <c r="AE40" s="3451" t="s">
        <v>3815</v>
      </c>
      <c r="AF40" s="3451" t="s">
        <v>3816</v>
      </c>
      <c r="AG40" s="3451">
        <v>137000</v>
      </c>
      <c r="AH40" s="3451">
        <v>685000</v>
      </c>
      <c r="AI40" s="3451">
        <v>685000</v>
      </c>
      <c r="AJ40" s="3451">
        <v>6403.34</v>
      </c>
      <c r="AK40" s="3451">
        <v>6403.34</v>
      </c>
      <c r="AL40" s="3451">
        <v>38420.06</v>
      </c>
      <c r="AM40" s="3451">
        <v>38420.07</v>
      </c>
      <c r="AN40" s="3451" t="s">
        <v>633</v>
      </c>
      <c r="AO40" s="3451" t="s">
        <v>633</v>
      </c>
      <c r="AP40" s="3451">
        <v>0</v>
      </c>
      <c r="AQ40" s="3451" t="s">
        <v>3708</v>
      </c>
      <c r="AR40" s="3451" t="s">
        <v>633</v>
      </c>
      <c r="AS40" s="3451" t="s">
        <v>633</v>
      </c>
      <c r="AT40" s="3451" t="s">
        <v>633</v>
      </c>
      <c r="AU40" s="3451" t="s">
        <v>3502</v>
      </c>
    </row>
    <row r="41" spans="1:47">
      <c r="A41" s="3451" t="s">
        <v>3817</v>
      </c>
      <c r="B41" s="3451" t="s">
        <v>3483</v>
      </c>
      <c r="C41" s="3451" t="s">
        <v>3484</v>
      </c>
      <c r="D41" s="3451" t="s">
        <v>3485</v>
      </c>
      <c r="E41" s="3451" t="s">
        <v>3818</v>
      </c>
      <c r="F41" s="3451" t="s">
        <v>3819</v>
      </c>
      <c r="G41" s="3451" t="s">
        <v>3820</v>
      </c>
      <c r="H41" s="3451">
        <v>72250</v>
      </c>
      <c r="I41" s="3451">
        <v>79475</v>
      </c>
      <c r="J41" s="3451">
        <v>1.1000000000000001</v>
      </c>
      <c r="K41" s="3451" t="s">
        <v>3490</v>
      </c>
      <c r="L41" s="3451" t="s">
        <v>3491</v>
      </c>
      <c r="M41" s="3451" t="s">
        <v>3698</v>
      </c>
      <c r="N41" s="3451" t="s">
        <v>633</v>
      </c>
      <c r="O41" s="3451" t="s">
        <v>633</v>
      </c>
      <c r="P41" s="3451" t="s">
        <v>633</v>
      </c>
      <c r="Q41" s="3451" t="s">
        <v>633</v>
      </c>
      <c r="R41" s="3451" t="s">
        <v>633</v>
      </c>
      <c r="S41" s="3451" t="s">
        <v>633</v>
      </c>
      <c r="T41" s="3451" t="s">
        <v>633</v>
      </c>
      <c r="U41" s="3451" t="s">
        <v>3762</v>
      </c>
      <c r="V41" s="3451" t="s">
        <v>3730</v>
      </c>
      <c r="W41" s="3451" t="s">
        <v>633</v>
      </c>
      <c r="X41" s="3451" t="s">
        <v>3494</v>
      </c>
      <c r="Y41" s="3451" t="s">
        <v>3801</v>
      </c>
      <c r="Z41" s="3451" t="s">
        <v>3802</v>
      </c>
      <c r="AA41" s="3451" t="s">
        <v>3809</v>
      </c>
      <c r="AB41" s="3451" t="s">
        <v>3809</v>
      </c>
      <c r="AC41" s="3451" t="s">
        <v>3820</v>
      </c>
      <c r="AD41" s="3451" t="s">
        <v>3498</v>
      </c>
      <c r="AE41" s="3451" t="s">
        <v>3821</v>
      </c>
      <c r="AF41" s="3451" t="s">
        <v>3652</v>
      </c>
      <c r="AG41" s="3451">
        <v>20000</v>
      </c>
      <c r="AH41" s="3451">
        <v>98300</v>
      </c>
      <c r="AI41" s="3451">
        <v>98300</v>
      </c>
      <c r="AJ41" s="3451">
        <v>907.04</v>
      </c>
      <c r="AK41" s="3451">
        <v>907.04</v>
      </c>
      <c r="AL41" s="3451">
        <v>12368.66</v>
      </c>
      <c r="AM41" s="3451">
        <v>12368.67</v>
      </c>
      <c r="AN41" s="3451" t="s">
        <v>633</v>
      </c>
      <c r="AO41" s="3451" t="s">
        <v>633</v>
      </c>
      <c r="AP41" s="3451">
        <v>0</v>
      </c>
      <c r="AQ41" s="3451" t="s">
        <v>3591</v>
      </c>
      <c r="AR41" s="3451" t="s">
        <v>633</v>
      </c>
      <c r="AS41" s="3451" t="s">
        <v>633</v>
      </c>
      <c r="AT41" s="3451" t="s">
        <v>633</v>
      </c>
      <c r="AU41" s="3451" t="s">
        <v>3526</v>
      </c>
    </row>
    <row r="42" spans="1:47">
      <c r="A42" s="3451" t="s">
        <v>3822</v>
      </c>
      <c r="B42" s="3451" t="s">
        <v>3483</v>
      </c>
      <c r="C42" s="3451" t="s">
        <v>3484</v>
      </c>
      <c r="D42" s="3451" t="s">
        <v>3675</v>
      </c>
      <c r="E42" s="3451" t="s">
        <v>3823</v>
      </c>
      <c r="F42" s="3451" t="s">
        <v>3824</v>
      </c>
      <c r="G42" s="3451" t="s">
        <v>3825</v>
      </c>
      <c r="H42" s="3451">
        <v>58351.58</v>
      </c>
      <c r="I42" s="3451">
        <v>116703</v>
      </c>
      <c r="J42" s="3451" t="s">
        <v>3669</v>
      </c>
      <c r="K42" s="3451" t="s">
        <v>3490</v>
      </c>
      <c r="L42" s="3451" t="s">
        <v>3491</v>
      </c>
      <c r="M42" s="3451" t="s">
        <v>3718</v>
      </c>
      <c r="N42" s="3451" t="s">
        <v>633</v>
      </c>
      <c r="O42" s="3451" t="s">
        <v>3508</v>
      </c>
      <c r="P42" s="3451" t="s">
        <v>3826</v>
      </c>
      <c r="Q42" s="3451" t="s">
        <v>633</v>
      </c>
      <c r="R42" s="3451" t="s">
        <v>633</v>
      </c>
      <c r="S42" s="3451" t="s">
        <v>633</v>
      </c>
      <c r="T42" s="3451" t="s">
        <v>633</v>
      </c>
      <c r="U42" s="3451" t="s">
        <v>3827</v>
      </c>
      <c r="V42" s="3451" t="s">
        <v>3827</v>
      </c>
      <c r="W42" s="3451" t="s">
        <v>633</v>
      </c>
      <c r="X42" s="3451" t="s">
        <v>3748</v>
      </c>
      <c r="Y42" s="3451" t="s">
        <v>3828</v>
      </c>
      <c r="Z42" s="3451" t="s">
        <v>3829</v>
      </c>
      <c r="AA42" s="3451" t="s">
        <v>3830</v>
      </c>
      <c r="AB42" s="3451" t="s">
        <v>3831</v>
      </c>
      <c r="AC42" s="3451" t="s">
        <v>3825</v>
      </c>
      <c r="AD42" s="3451" t="s">
        <v>3498</v>
      </c>
      <c r="AE42" s="3451" t="s">
        <v>3832</v>
      </c>
      <c r="AF42" s="3451" t="s">
        <v>3833</v>
      </c>
      <c r="AG42" s="3451">
        <v>31000</v>
      </c>
      <c r="AH42" s="3451">
        <v>151200</v>
      </c>
      <c r="AI42" s="3451">
        <v>173800</v>
      </c>
      <c r="AJ42" s="3451">
        <v>1727.46</v>
      </c>
      <c r="AK42" s="3451">
        <v>1985.66</v>
      </c>
      <c r="AL42" s="3451">
        <v>12955.96</v>
      </c>
      <c r="AM42" s="3451">
        <v>14892.5</v>
      </c>
      <c r="AN42" s="3451" t="s">
        <v>633</v>
      </c>
      <c r="AO42" s="3451" t="s">
        <v>633</v>
      </c>
      <c r="AP42" s="3451">
        <v>14.95</v>
      </c>
      <c r="AQ42" s="3451" t="s">
        <v>3539</v>
      </c>
      <c r="AR42" s="3451" t="s">
        <v>633</v>
      </c>
      <c r="AS42" s="3451" t="s">
        <v>633</v>
      </c>
      <c r="AT42" s="3451" t="s">
        <v>633</v>
      </c>
      <c r="AU42" s="3451" t="s">
        <v>3517</v>
      </c>
    </row>
    <row r="43" spans="1:47">
      <c r="A43" s="3451" t="s">
        <v>3834</v>
      </c>
      <c r="B43" s="3451" t="s">
        <v>3483</v>
      </c>
      <c r="C43" s="3451" t="s">
        <v>3484</v>
      </c>
      <c r="D43" s="3451" t="s">
        <v>3600</v>
      </c>
      <c r="E43" s="3451" t="s">
        <v>3694</v>
      </c>
      <c r="F43" s="3451" t="s">
        <v>3835</v>
      </c>
      <c r="G43" s="3451" t="s">
        <v>3836</v>
      </c>
      <c r="H43" s="3451">
        <v>31537.81</v>
      </c>
      <c r="I43" s="3451">
        <v>88306</v>
      </c>
      <c r="J43" s="3451" t="s">
        <v>3489</v>
      </c>
      <c r="K43" s="3451" t="s">
        <v>3490</v>
      </c>
      <c r="L43" s="3451" t="s">
        <v>3491</v>
      </c>
      <c r="M43" s="3451" t="s">
        <v>3718</v>
      </c>
      <c r="N43" s="3451" t="s">
        <v>633</v>
      </c>
      <c r="O43" s="3451" t="s">
        <v>3508</v>
      </c>
      <c r="P43" s="3451" t="s">
        <v>3837</v>
      </c>
      <c r="Q43" s="3451" t="s">
        <v>3838</v>
      </c>
      <c r="R43" s="3451" t="s">
        <v>633</v>
      </c>
      <c r="S43" s="3451" t="s">
        <v>633</v>
      </c>
      <c r="T43" s="3451" t="s">
        <v>633</v>
      </c>
      <c r="U43" s="3451" t="s">
        <v>3839</v>
      </c>
      <c r="V43" s="3451" t="s">
        <v>3839</v>
      </c>
      <c r="W43" s="3451" t="s">
        <v>633</v>
      </c>
      <c r="X43" s="3451" t="s">
        <v>3763</v>
      </c>
      <c r="Y43" s="3451" t="s">
        <v>3828</v>
      </c>
      <c r="Z43" s="3451" t="s">
        <v>3829</v>
      </c>
      <c r="AA43" s="3451" t="s">
        <v>3830</v>
      </c>
      <c r="AB43" s="3451" t="s">
        <v>3840</v>
      </c>
      <c r="AC43" s="3451" t="s">
        <v>3836</v>
      </c>
      <c r="AD43" s="3451" t="s">
        <v>3498</v>
      </c>
      <c r="AE43" s="3451" t="s">
        <v>3841</v>
      </c>
      <c r="AF43" s="3451" t="s">
        <v>3842</v>
      </c>
      <c r="AG43" s="3451">
        <v>69000</v>
      </c>
      <c r="AH43" s="3451">
        <v>343000</v>
      </c>
      <c r="AI43" s="3451">
        <v>361000</v>
      </c>
      <c r="AJ43" s="3451">
        <v>7250.56</v>
      </c>
      <c r="AK43" s="3451">
        <v>7631.05</v>
      </c>
      <c r="AL43" s="3451">
        <v>38842.199999999997</v>
      </c>
      <c r="AM43" s="3451">
        <v>40880.57</v>
      </c>
      <c r="AN43" s="3451" t="s">
        <v>633</v>
      </c>
      <c r="AO43" s="3451" t="s">
        <v>633</v>
      </c>
      <c r="AP43" s="3451">
        <v>5.25</v>
      </c>
      <c r="AQ43" s="3451" t="s">
        <v>3539</v>
      </c>
      <c r="AR43" s="3451" t="s">
        <v>633</v>
      </c>
      <c r="AS43" s="3451" t="s">
        <v>633</v>
      </c>
      <c r="AT43" s="3451" t="s">
        <v>633</v>
      </c>
      <c r="AU43" s="3451" t="s">
        <v>3638</v>
      </c>
    </row>
    <row r="44" spans="1:47">
      <c r="A44" s="3451" t="s">
        <v>3843</v>
      </c>
      <c r="B44" s="3451" t="s">
        <v>3483</v>
      </c>
      <c r="C44" s="3451" t="s">
        <v>3484</v>
      </c>
      <c r="D44" s="3451" t="s">
        <v>3600</v>
      </c>
      <c r="E44" s="3451" t="s">
        <v>3844</v>
      </c>
      <c r="F44" s="3451" t="s">
        <v>3695</v>
      </c>
      <c r="G44" s="3451" t="s">
        <v>3845</v>
      </c>
      <c r="H44" s="3451">
        <v>16028.4</v>
      </c>
      <c r="I44" s="3451">
        <v>25645.439999999999</v>
      </c>
      <c r="J44" s="3451" t="s">
        <v>3846</v>
      </c>
      <c r="K44" s="3451" t="s">
        <v>3490</v>
      </c>
      <c r="L44" s="3451" t="s">
        <v>3491</v>
      </c>
      <c r="M44" s="3451" t="s">
        <v>3718</v>
      </c>
      <c r="N44" s="3451" t="s">
        <v>633</v>
      </c>
      <c r="O44" s="3451" t="s">
        <v>633</v>
      </c>
      <c r="P44" s="3451" t="s">
        <v>3847</v>
      </c>
      <c r="Q44" s="3451" t="s">
        <v>3838</v>
      </c>
      <c r="R44" s="3451" t="s">
        <v>633</v>
      </c>
      <c r="S44" s="3451" t="s">
        <v>633</v>
      </c>
      <c r="T44" s="3451" t="s">
        <v>633</v>
      </c>
      <c r="U44" s="3451" t="s">
        <v>3848</v>
      </c>
      <c r="V44" s="3451" t="s">
        <v>3849</v>
      </c>
      <c r="W44" s="3451" t="s">
        <v>633</v>
      </c>
      <c r="X44" s="3451" t="s">
        <v>3763</v>
      </c>
      <c r="Y44" s="3451" t="s">
        <v>3828</v>
      </c>
      <c r="Z44" s="3451" t="s">
        <v>3829</v>
      </c>
      <c r="AA44" s="3451" t="s">
        <v>3830</v>
      </c>
      <c r="AB44" s="3451" t="s">
        <v>3840</v>
      </c>
      <c r="AC44" s="3451" t="s">
        <v>3845</v>
      </c>
      <c r="AD44" s="3451" t="s">
        <v>3498</v>
      </c>
      <c r="AE44" s="3451" t="s">
        <v>3850</v>
      </c>
      <c r="AF44" s="3451" t="s">
        <v>3850</v>
      </c>
      <c r="AG44" s="3451">
        <v>12000</v>
      </c>
      <c r="AH44" s="3451">
        <v>55500</v>
      </c>
      <c r="AI44" s="3451">
        <v>66600</v>
      </c>
      <c r="AJ44" s="3451">
        <v>2308.4</v>
      </c>
      <c r="AK44" s="3451">
        <v>2770.08</v>
      </c>
      <c r="AL44" s="3451">
        <v>21641.27</v>
      </c>
      <c r="AM44" s="3451">
        <v>25969.53</v>
      </c>
      <c r="AN44" s="3451" t="s">
        <v>633</v>
      </c>
      <c r="AO44" s="3451" t="s">
        <v>633</v>
      </c>
      <c r="AP44" s="3451">
        <v>20</v>
      </c>
      <c r="AQ44" s="3451" t="s">
        <v>3539</v>
      </c>
      <c r="AR44" s="3451" t="s">
        <v>633</v>
      </c>
      <c r="AS44" s="3451" t="s">
        <v>633</v>
      </c>
      <c r="AT44" s="3451" t="s">
        <v>633</v>
      </c>
      <c r="AU44" s="3451" t="s">
        <v>3517</v>
      </c>
    </row>
    <row r="45" spans="1:47">
      <c r="A45" s="3451" t="s">
        <v>3851</v>
      </c>
      <c r="B45" s="3451" t="s">
        <v>3483</v>
      </c>
      <c r="C45" s="3451" t="s">
        <v>3484</v>
      </c>
      <c r="D45" s="3451" t="s">
        <v>3504</v>
      </c>
      <c r="E45" s="3451" t="s">
        <v>3852</v>
      </c>
      <c r="F45" s="3451" t="s">
        <v>3853</v>
      </c>
      <c r="G45" s="3451" t="s">
        <v>3854</v>
      </c>
      <c r="H45" s="3451">
        <v>48407.51</v>
      </c>
      <c r="I45" s="3451">
        <v>96815.01</v>
      </c>
      <c r="J45" s="3451" t="s">
        <v>3669</v>
      </c>
      <c r="K45" s="3451" t="s">
        <v>3490</v>
      </c>
      <c r="L45" s="3451" t="s">
        <v>3491</v>
      </c>
      <c r="M45" s="3451" t="s">
        <v>3718</v>
      </c>
      <c r="N45" s="3451" t="s">
        <v>633</v>
      </c>
      <c r="O45" s="3451" t="s">
        <v>3508</v>
      </c>
      <c r="P45" s="3451" t="s">
        <v>3670</v>
      </c>
      <c r="Q45" s="3451" t="s">
        <v>633</v>
      </c>
      <c r="R45" s="3451" t="s">
        <v>633</v>
      </c>
      <c r="S45" s="3451" t="s">
        <v>633</v>
      </c>
      <c r="T45" s="3451" t="s">
        <v>633</v>
      </c>
      <c r="U45" s="3451" t="s">
        <v>3827</v>
      </c>
      <c r="V45" s="3451" t="s">
        <v>3493</v>
      </c>
      <c r="W45" s="3451" t="s">
        <v>633</v>
      </c>
      <c r="X45" s="3451" t="s">
        <v>3748</v>
      </c>
      <c r="Y45" s="3451" t="s">
        <v>3828</v>
      </c>
      <c r="Z45" s="3451" t="s">
        <v>3829</v>
      </c>
      <c r="AA45" s="3451" t="s">
        <v>3830</v>
      </c>
      <c r="AB45" s="3451" t="s">
        <v>3830</v>
      </c>
      <c r="AC45" s="3451" t="s">
        <v>3854</v>
      </c>
      <c r="AD45" s="3451" t="s">
        <v>3498</v>
      </c>
      <c r="AE45" s="3451" t="s">
        <v>3855</v>
      </c>
      <c r="AF45" s="3451" t="s">
        <v>3856</v>
      </c>
      <c r="AG45" s="3451">
        <v>30000</v>
      </c>
      <c r="AH45" s="3451">
        <v>145800</v>
      </c>
      <c r="AI45" s="3451">
        <v>145800</v>
      </c>
      <c r="AJ45" s="3451">
        <v>2007.95</v>
      </c>
      <c r="AK45" s="3451">
        <v>2007.95</v>
      </c>
      <c r="AL45" s="3451">
        <v>15059.64</v>
      </c>
      <c r="AM45" s="3451">
        <v>15059.65</v>
      </c>
      <c r="AN45" s="3451" t="s">
        <v>633</v>
      </c>
      <c r="AO45" s="3451" t="s">
        <v>633</v>
      </c>
      <c r="AP45" s="3451">
        <v>0</v>
      </c>
      <c r="AQ45" s="3451" t="s">
        <v>3539</v>
      </c>
      <c r="AR45" s="3451" t="s">
        <v>633</v>
      </c>
      <c r="AS45" s="3451" t="s">
        <v>633</v>
      </c>
      <c r="AT45" s="3451" t="s">
        <v>633</v>
      </c>
      <c r="AU45" s="3451" t="s">
        <v>3526</v>
      </c>
    </row>
    <row r="46" spans="1:47">
      <c r="A46" s="3451" t="s">
        <v>3857</v>
      </c>
      <c r="B46" s="3451" t="s">
        <v>3483</v>
      </c>
      <c r="C46" s="3451" t="s">
        <v>3484</v>
      </c>
      <c r="D46" s="3451" t="s">
        <v>3541</v>
      </c>
      <c r="E46" s="3451" t="s">
        <v>3553</v>
      </c>
      <c r="F46" s="3451" t="s">
        <v>3858</v>
      </c>
      <c r="G46" s="3451" t="s">
        <v>3859</v>
      </c>
      <c r="H46" s="3451">
        <v>105143.73</v>
      </c>
      <c r="I46" s="3451">
        <v>262859.32</v>
      </c>
      <c r="J46" s="3451" t="s">
        <v>3697</v>
      </c>
      <c r="K46" s="3451" t="s">
        <v>3490</v>
      </c>
      <c r="L46" s="3451" t="s">
        <v>3491</v>
      </c>
      <c r="M46" s="3451">
        <v>0</v>
      </c>
      <c r="N46" s="3451">
        <v>7.6086330000000002</v>
      </c>
      <c r="O46" s="3451" t="s">
        <v>3860</v>
      </c>
      <c r="P46" s="3451" t="s">
        <v>3670</v>
      </c>
      <c r="Q46" s="3451" t="s">
        <v>633</v>
      </c>
      <c r="R46" s="3451" t="s">
        <v>633</v>
      </c>
      <c r="S46" s="3451" t="s">
        <v>633</v>
      </c>
      <c r="T46" s="3451" t="s">
        <v>633</v>
      </c>
      <c r="U46" s="3451" t="s">
        <v>3861</v>
      </c>
      <c r="V46" s="3451" t="s">
        <v>3861</v>
      </c>
      <c r="W46" s="3451" t="s">
        <v>633</v>
      </c>
      <c r="X46" s="3451" t="s">
        <v>3748</v>
      </c>
      <c r="Y46" s="3451" t="s">
        <v>3862</v>
      </c>
      <c r="Z46" s="3451" t="s">
        <v>3863</v>
      </c>
      <c r="AA46" s="3451" t="s">
        <v>3864</v>
      </c>
      <c r="AB46" s="3451" t="s">
        <v>3864</v>
      </c>
      <c r="AC46" s="3451" t="s">
        <v>3859</v>
      </c>
      <c r="AD46" s="3451" t="s">
        <v>3498</v>
      </c>
      <c r="AE46" s="3451" t="s">
        <v>3865</v>
      </c>
      <c r="AF46" s="3451" t="s">
        <v>3866</v>
      </c>
      <c r="AG46" s="3451">
        <v>101000</v>
      </c>
      <c r="AH46" s="3451">
        <v>502000</v>
      </c>
      <c r="AI46" s="3451">
        <v>677700</v>
      </c>
      <c r="AJ46" s="3451">
        <v>3182.94</v>
      </c>
      <c r="AK46" s="3451">
        <v>4296.9799999999996</v>
      </c>
      <c r="AL46" s="3451">
        <v>19097.66</v>
      </c>
      <c r="AM46" s="3451">
        <v>25781.85</v>
      </c>
      <c r="AN46" s="3451" t="s">
        <v>633</v>
      </c>
      <c r="AO46" s="3451" t="s">
        <v>633</v>
      </c>
      <c r="AP46" s="3451">
        <v>35</v>
      </c>
      <c r="AQ46" s="3451" t="s">
        <v>3539</v>
      </c>
      <c r="AR46" s="3451" t="s">
        <v>633</v>
      </c>
      <c r="AS46" s="3451">
        <v>23</v>
      </c>
      <c r="AT46" s="3451" t="s">
        <v>633</v>
      </c>
      <c r="AU46" s="3451" t="s">
        <v>3502</v>
      </c>
    </row>
    <row r="47" spans="1:47">
      <c r="A47" s="3451" t="s">
        <v>3867</v>
      </c>
      <c r="B47" s="3451" t="s">
        <v>3483</v>
      </c>
      <c r="C47" s="3451" t="s">
        <v>3484</v>
      </c>
      <c r="D47" s="3451" t="s">
        <v>3541</v>
      </c>
      <c r="E47" s="3451" t="s">
        <v>3745</v>
      </c>
      <c r="F47" s="3451" t="s">
        <v>3868</v>
      </c>
      <c r="G47" s="3451" t="s">
        <v>3869</v>
      </c>
      <c r="H47" s="3451">
        <v>57208.800000000003</v>
      </c>
      <c r="I47" s="3451">
        <v>91534.080000000002</v>
      </c>
      <c r="J47" s="3451" t="s">
        <v>3846</v>
      </c>
      <c r="K47" s="3451" t="s">
        <v>3490</v>
      </c>
      <c r="L47" s="3451" t="s">
        <v>3546</v>
      </c>
      <c r="M47" s="3451">
        <v>0</v>
      </c>
      <c r="N47" s="3451" t="s">
        <v>633</v>
      </c>
      <c r="O47" s="3451" t="s">
        <v>3508</v>
      </c>
      <c r="P47" s="3451" t="s">
        <v>3870</v>
      </c>
      <c r="Q47" s="3451" t="s">
        <v>633</v>
      </c>
      <c r="R47" s="3451" t="s">
        <v>633</v>
      </c>
      <c r="S47" s="3451" t="s">
        <v>633</v>
      </c>
      <c r="T47" s="3451" t="s">
        <v>633</v>
      </c>
      <c r="U47" s="3451" t="s">
        <v>3871</v>
      </c>
      <c r="V47" s="3451" t="s">
        <v>3493</v>
      </c>
      <c r="W47" s="3451" t="s">
        <v>633</v>
      </c>
      <c r="X47" s="3451" t="s">
        <v>3748</v>
      </c>
      <c r="Y47" s="3451" t="s">
        <v>3872</v>
      </c>
      <c r="Z47" s="3451" t="s">
        <v>3873</v>
      </c>
      <c r="AA47" s="3451" t="s">
        <v>3874</v>
      </c>
      <c r="AB47" s="3451" t="s">
        <v>3874</v>
      </c>
      <c r="AC47" s="3451" t="s">
        <v>3869</v>
      </c>
      <c r="AD47" s="3451" t="s">
        <v>3498</v>
      </c>
      <c r="AE47" s="3451" t="s">
        <v>3875</v>
      </c>
      <c r="AF47" s="3451" t="s">
        <v>3750</v>
      </c>
      <c r="AG47" s="3451">
        <v>36000</v>
      </c>
      <c r="AH47" s="3451">
        <v>177000</v>
      </c>
      <c r="AI47" s="3451">
        <v>205000</v>
      </c>
      <c r="AJ47" s="3451">
        <v>2062.62</v>
      </c>
      <c r="AK47" s="3451">
        <v>2388.91</v>
      </c>
      <c r="AL47" s="3451">
        <v>19337.060000000001</v>
      </c>
      <c r="AM47" s="3451">
        <v>22396.03</v>
      </c>
      <c r="AN47" s="3451" t="s">
        <v>633</v>
      </c>
      <c r="AO47" s="3451" t="s">
        <v>633</v>
      </c>
      <c r="AP47" s="3451">
        <v>15.82</v>
      </c>
      <c r="AQ47" s="3451" t="s">
        <v>3539</v>
      </c>
      <c r="AR47" s="3451" t="s">
        <v>633</v>
      </c>
      <c r="AS47" s="3451" t="s">
        <v>633</v>
      </c>
      <c r="AT47" s="3451" t="s">
        <v>633</v>
      </c>
      <c r="AU47" s="3451" t="s">
        <v>3502</v>
      </c>
    </row>
    <row r="48" spans="1:47">
      <c r="A48" s="3451" t="s">
        <v>3876</v>
      </c>
      <c r="B48" s="3451" t="s">
        <v>3483</v>
      </c>
      <c r="C48" s="3451" t="s">
        <v>3484</v>
      </c>
      <c r="D48" s="3451" t="s">
        <v>3504</v>
      </c>
      <c r="E48" s="3451" t="s">
        <v>3877</v>
      </c>
      <c r="F48" s="3451" t="s">
        <v>3727</v>
      </c>
      <c r="G48" s="3451" t="s">
        <v>3878</v>
      </c>
      <c r="H48" s="3451">
        <v>56860.73</v>
      </c>
      <c r="I48" s="3451">
        <v>133065.75</v>
      </c>
      <c r="J48" s="3451" t="s">
        <v>3879</v>
      </c>
      <c r="K48" s="3451" t="s">
        <v>3490</v>
      </c>
      <c r="L48" s="3451" t="s">
        <v>3491</v>
      </c>
      <c r="M48" s="3451">
        <v>0</v>
      </c>
      <c r="N48" s="3451" t="s">
        <v>633</v>
      </c>
      <c r="O48" s="3451" t="s">
        <v>633</v>
      </c>
      <c r="P48" s="3451" t="s">
        <v>633</v>
      </c>
      <c r="Q48" s="3451" t="s">
        <v>633</v>
      </c>
      <c r="R48" s="3451" t="s">
        <v>633</v>
      </c>
      <c r="S48" s="3451" t="s">
        <v>633</v>
      </c>
      <c r="T48" s="3451" t="s">
        <v>633</v>
      </c>
      <c r="U48" s="3451" t="s">
        <v>3871</v>
      </c>
      <c r="V48" s="3451" t="s">
        <v>3493</v>
      </c>
      <c r="W48" s="3451" t="s">
        <v>633</v>
      </c>
      <c r="X48" s="3451" t="s">
        <v>3763</v>
      </c>
      <c r="Y48" s="3451" t="s">
        <v>3872</v>
      </c>
      <c r="Z48" s="3451" t="s">
        <v>3873</v>
      </c>
      <c r="AA48" s="3451" t="s">
        <v>3874</v>
      </c>
      <c r="AB48" s="3451" t="s">
        <v>3874</v>
      </c>
      <c r="AC48" s="3451" t="s">
        <v>3878</v>
      </c>
      <c r="AD48" s="3451" t="s">
        <v>3498</v>
      </c>
      <c r="AE48" s="3451" t="s">
        <v>3880</v>
      </c>
      <c r="AF48" s="3451" t="s">
        <v>3881</v>
      </c>
      <c r="AG48" s="3451">
        <v>85000</v>
      </c>
      <c r="AH48" s="3451">
        <v>420000</v>
      </c>
      <c r="AI48" s="3451">
        <v>465700</v>
      </c>
      <c r="AJ48" s="3451">
        <v>4924.3100000000004</v>
      </c>
      <c r="AK48" s="3451">
        <v>5460.12</v>
      </c>
      <c r="AL48" s="3451">
        <v>31563.34</v>
      </c>
      <c r="AM48" s="3451">
        <v>34997.74</v>
      </c>
      <c r="AN48" s="3451" t="s">
        <v>633</v>
      </c>
      <c r="AO48" s="3451" t="s">
        <v>633</v>
      </c>
      <c r="AP48" s="3451">
        <v>10.88</v>
      </c>
      <c r="AQ48" s="3451" t="s">
        <v>3539</v>
      </c>
      <c r="AR48" s="3451">
        <v>21</v>
      </c>
      <c r="AS48" s="3451" t="s">
        <v>633</v>
      </c>
      <c r="AT48" s="3451" t="s">
        <v>633</v>
      </c>
      <c r="AU48" s="3451" t="s">
        <v>3502</v>
      </c>
    </row>
    <row r="49" spans="1:47">
      <c r="A49" s="3451" t="s">
        <v>3882</v>
      </c>
      <c r="B49" s="3451" t="s">
        <v>3483</v>
      </c>
      <c r="C49" s="3451" t="s">
        <v>3484</v>
      </c>
      <c r="D49" s="3451" t="s">
        <v>3627</v>
      </c>
      <c r="E49" s="3451" t="s">
        <v>3628</v>
      </c>
      <c r="F49" s="3451" t="s">
        <v>3883</v>
      </c>
      <c r="G49" s="3451" t="s">
        <v>3884</v>
      </c>
      <c r="H49" s="3451">
        <v>13681.37</v>
      </c>
      <c r="I49" s="3451">
        <v>38307.82</v>
      </c>
      <c r="J49" s="3451" t="s">
        <v>3489</v>
      </c>
      <c r="K49" s="3451" t="s">
        <v>3490</v>
      </c>
      <c r="L49" s="3451" t="s">
        <v>3546</v>
      </c>
      <c r="M49" s="3451">
        <v>0</v>
      </c>
      <c r="N49" s="3451" t="s">
        <v>633</v>
      </c>
      <c r="O49" s="3451" t="s">
        <v>633</v>
      </c>
      <c r="P49" s="3451" t="s">
        <v>3885</v>
      </c>
      <c r="Q49" s="3451" t="s">
        <v>633</v>
      </c>
      <c r="R49" s="3451" t="s">
        <v>633</v>
      </c>
      <c r="S49" s="3451" t="s">
        <v>633</v>
      </c>
      <c r="T49" s="3451" t="s">
        <v>633</v>
      </c>
      <c r="U49" s="3451" t="s">
        <v>3871</v>
      </c>
      <c r="V49" s="3451" t="s">
        <v>3493</v>
      </c>
      <c r="W49" s="3451" t="s">
        <v>633</v>
      </c>
      <c r="X49" s="3451" t="s">
        <v>3748</v>
      </c>
      <c r="Y49" s="3451" t="s">
        <v>3886</v>
      </c>
      <c r="Z49" s="3451" t="s">
        <v>3862</v>
      </c>
      <c r="AA49" s="3451" t="s">
        <v>3887</v>
      </c>
      <c r="AB49" s="3451" t="s">
        <v>3887</v>
      </c>
      <c r="AC49" s="3451" t="s">
        <v>3884</v>
      </c>
      <c r="AD49" s="3451" t="s">
        <v>3498</v>
      </c>
      <c r="AE49" s="3451" t="s">
        <v>3888</v>
      </c>
      <c r="AF49" s="3451" t="s">
        <v>3637</v>
      </c>
      <c r="AG49" s="3451">
        <v>35000</v>
      </c>
      <c r="AH49" s="3451">
        <v>173500</v>
      </c>
      <c r="AI49" s="3451">
        <v>179000</v>
      </c>
      <c r="AJ49" s="3451">
        <v>8454.32</v>
      </c>
      <c r="AK49" s="3451">
        <v>8722.32</v>
      </c>
      <c r="AL49" s="3451">
        <v>45291.01</v>
      </c>
      <c r="AM49" s="3451">
        <v>46726.75</v>
      </c>
      <c r="AN49" s="3451" t="s">
        <v>633</v>
      </c>
      <c r="AO49" s="3451" t="s">
        <v>633</v>
      </c>
      <c r="AP49" s="3451">
        <v>3.17</v>
      </c>
      <c r="AQ49" s="3451" t="s">
        <v>3539</v>
      </c>
      <c r="AR49" s="3451" t="s">
        <v>633</v>
      </c>
      <c r="AS49" s="3451" t="s">
        <v>633</v>
      </c>
      <c r="AT49" s="3451" t="s">
        <v>633</v>
      </c>
      <c r="AU49" s="3451" t="s">
        <v>3638</v>
      </c>
    </row>
    <row r="50" spans="1:47">
      <c r="A50" s="3451" t="s">
        <v>3889</v>
      </c>
      <c r="B50" s="3451" t="s">
        <v>3483</v>
      </c>
      <c r="C50" s="3451" t="s">
        <v>3484</v>
      </c>
      <c r="D50" s="3451" t="s">
        <v>3890</v>
      </c>
      <c r="E50" s="3451" t="s">
        <v>3891</v>
      </c>
      <c r="F50" s="3451" t="s">
        <v>3892</v>
      </c>
      <c r="G50" s="3451" t="s">
        <v>3893</v>
      </c>
      <c r="H50" s="3451">
        <v>42031.040000000001</v>
      </c>
      <c r="I50" s="3451">
        <v>84062</v>
      </c>
      <c r="J50" s="3451" t="s">
        <v>3669</v>
      </c>
      <c r="K50" s="3451" t="s">
        <v>3490</v>
      </c>
      <c r="L50" s="3451" t="s">
        <v>3491</v>
      </c>
      <c r="M50" s="3451">
        <v>0</v>
      </c>
      <c r="N50" s="3451" t="s">
        <v>633</v>
      </c>
      <c r="O50" s="3451" t="s">
        <v>3508</v>
      </c>
      <c r="P50" s="3451" t="s">
        <v>3870</v>
      </c>
      <c r="Q50" s="3451" t="s">
        <v>633</v>
      </c>
      <c r="R50" s="3451" t="s">
        <v>633</v>
      </c>
      <c r="S50" s="3451" t="s">
        <v>633</v>
      </c>
      <c r="T50" s="3451" t="s">
        <v>633</v>
      </c>
      <c r="U50" s="3451" t="s">
        <v>3871</v>
      </c>
      <c r="V50" s="3451" t="s">
        <v>3493</v>
      </c>
      <c r="W50" s="3451" t="s">
        <v>633</v>
      </c>
      <c r="X50" s="3451" t="s">
        <v>3748</v>
      </c>
      <c r="Y50" s="3451" t="s">
        <v>3894</v>
      </c>
      <c r="Z50" s="3451" t="s">
        <v>3895</v>
      </c>
      <c r="AA50" s="3451" t="s">
        <v>3896</v>
      </c>
      <c r="AB50" s="3451" t="s">
        <v>3896</v>
      </c>
      <c r="AC50" s="3451" t="s">
        <v>3893</v>
      </c>
      <c r="AD50" s="3451" t="s">
        <v>3498</v>
      </c>
      <c r="AE50" s="3451" t="s">
        <v>3897</v>
      </c>
      <c r="AF50" s="3451" t="s">
        <v>3898</v>
      </c>
      <c r="AG50" s="3451">
        <v>39500</v>
      </c>
      <c r="AH50" s="3451">
        <v>197100</v>
      </c>
      <c r="AI50" s="3451">
        <v>197100</v>
      </c>
      <c r="AJ50" s="3451">
        <v>3126.26</v>
      </c>
      <c r="AK50" s="3451">
        <v>3126.26</v>
      </c>
      <c r="AL50" s="3451">
        <v>23446.98</v>
      </c>
      <c r="AM50" s="3451">
        <v>23446.98</v>
      </c>
      <c r="AN50" s="3451" t="s">
        <v>633</v>
      </c>
      <c r="AO50" s="3451" t="s">
        <v>633</v>
      </c>
      <c r="AP50" s="3451">
        <v>0</v>
      </c>
      <c r="AQ50" s="3451" t="s">
        <v>3539</v>
      </c>
      <c r="AR50" s="3451" t="s">
        <v>633</v>
      </c>
      <c r="AS50" s="3451" t="s">
        <v>633</v>
      </c>
      <c r="AT50" s="3451" t="s">
        <v>633</v>
      </c>
      <c r="AU50" s="3451" t="s">
        <v>3526</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14" sqref="M1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9"/>
      <c r="C1" s="1190"/>
      <c r="D1" s="1188"/>
      <c r="E1" s="2801"/>
      <c r="F1" s="2801"/>
      <c r="G1" s="2666"/>
      <c r="H1" s="2801"/>
      <c r="I1" s="2801"/>
      <c r="J1" s="2801"/>
      <c r="K1" s="2802">
        <f>MATCH(C1,'数据-取费表'!A6:A16,0)+5</f>
        <v>9</v>
      </c>
    </row>
    <row r="2" spans="1:33" ht="18" customHeight="1">
      <c r="A2" s="201" t="s">
        <v>1462</v>
      </c>
      <c r="B2" s="204">
        <f ca="1">C32</f>
        <v>333</v>
      </c>
      <c r="C2" s="276" t="s">
        <v>1595</v>
      </c>
      <c r="D2" s="276"/>
      <c r="E2" s="2801"/>
      <c r="F2" s="2801"/>
      <c r="G2" s="2801"/>
      <c r="H2" s="2801"/>
      <c r="I2" s="2801"/>
      <c r="J2" s="2801"/>
      <c r="K2" s="2801"/>
    </row>
    <row r="3" spans="1:33" ht="18" customHeight="1" thickBot="1">
      <c r="A3" s="203" t="s">
        <v>1464</v>
      </c>
      <c r="B3" s="204">
        <f ca="1">ROUND(B2*10000/IF(C1="",'数据-汇总表'!E3,INDIRECT("'数据-取费表'!K"&amp;$K$1)),0)</f>
        <v>18894</v>
      </c>
      <c r="C3" s="276" t="s">
        <v>1596</v>
      </c>
      <c r="D3" s="276"/>
      <c r="E3" s="2801"/>
      <c r="F3" s="2801"/>
      <c r="G3" s="2801"/>
      <c r="H3" s="2801"/>
      <c r="I3" s="2801"/>
      <c r="J3" s="2801"/>
      <c r="K3" s="2801"/>
    </row>
    <row r="4" spans="1:33" s="785" customFormat="1" ht="16.5" customHeight="1">
      <c r="A4" s="782" t="s">
        <v>1597</v>
      </c>
      <c r="B4" s="783"/>
      <c r="C4" s="824">
        <f ca="1">SUM(C8:K8)</f>
        <v>346.089</v>
      </c>
      <c r="D4" s="783"/>
      <c r="E4" s="783"/>
      <c r="F4" s="783"/>
      <c r="G4" s="783"/>
      <c r="H4" s="783"/>
      <c r="I4" s="783"/>
      <c r="J4" s="783"/>
      <c r="K4" s="784"/>
    </row>
    <row r="5" spans="1:33" s="789" customFormat="1" ht="15">
      <c r="A5" s="786" t="s">
        <v>1598</v>
      </c>
      <c r="B5" s="787" t="s">
        <v>1599</v>
      </c>
      <c r="C5" s="1858" t="s">
        <v>3379</v>
      </c>
      <c r="D5" s="1858" t="s">
        <v>3920</v>
      </c>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36945</v>
      </c>
      <c r="D6" s="791">
        <f ca="1">收益法!B3</f>
        <v>8606</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86.91</v>
      </c>
      <c r="D7" s="277">
        <f>SUMIF('数据-汇总表'!$C19:$C33,假设开发法!D5,'数据-汇总表'!$E19:$E33)</f>
        <v>29.05</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f>'比较法-住宅'!B2</f>
        <v>321.089</v>
      </c>
      <c r="D8" s="825">
        <f ca="1">收益法!B2</f>
        <v>25</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176.25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176.25</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0"/>
      <c r="H18" s="1185"/>
      <c r="I18" s="1861"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86.91</v>
      </c>
      <c r="E19" s="21">
        <f>'数据-取费表'!B27</f>
        <v>150</v>
      </c>
      <c r="F19" s="804"/>
      <c r="G19" s="12"/>
      <c r="H19" s="1187"/>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89.34</v>
      </c>
      <c r="E20" s="21">
        <f>'数据-取费表'!B28</f>
        <v>190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4" t="s">
        <v>1646</v>
      </c>
      <c r="B31" s="833" t="s">
        <v>1647</v>
      </c>
      <c r="C31" s="834">
        <f ca="1">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333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3920</v>
      </c>
      <c r="D1" s="1360" t="s">
        <v>3925</v>
      </c>
      <c r="E1" s="1361" t="s">
        <v>678</v>
      </c>
      <c r="F1" s="1061">
        <f ca="1">J53</f>
        <v>46.25</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25</v>
      </c>
      <c r="C2" s="1385" t="s">
        <v>805</v>
      </c>
      <c r="D2" s="1385"/>
      <c r="E2" s="1386"/>
      <c r="F2" s="1387"/>
      <c r="G2" s="2701"/>
      <c r="H2" s="2690"/>
      <c r="I2" s="2690"/>
      <c r="J2" s="2690"/>
      <c r="K2" s="2691"/>
      <c r="L2" s="2690"/>
      <c r="M2" s="2690"/>
    </row>
    <row r="3" spans="1:37" ht="18" customHeight="1" thickBot="1">
      <c r="A3" s="1388" t="s">
        <v>806</v>
      </c>
      <c r="B3" s="1389">
        <f ca="1">IF(ISERROR(B2*10000/F43),0,ROUND(B2*10000/F43,0))</f>
        <v>8606</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v>
      </c>
      <c r="D5" s="1362" t="s">
        <v>693</v>
      </c>
      <c r="E5" s="1070"/>
      <c r="F5" s="1071"/>
      <c r="G5" s="1382"/>
      <c r="H5" s="299">
        <v>1</v>
      </c>
      <c r="I5" s="300" t="s">
        <v>692</v>
      </c>
      <c r="J5" s="1069">
        <f ca="1">J6+J10+J12</f>
        <v>0</v>
      </c>
      <c r="K5" s="1362" t="s">
        <v>693</v>
      </c>
      <c r="L5" s="1070"/>
      <c r="M5" s="1071"/>
    </row>
    <row r="6" spans="1:37" ht="18" customHeight="1">
      <c r="A6" s="1068" t="s">
        <v>398</v>
      </c>
      <c r="B6" s="3833" t="s">
        <v>694</v>
      </c>
      <c r="C6" s="1073">
        <f ca="1">ROUND(F6*F8*F7*(1-F9)/10000,0)</f>
        <v>1</v>
      </c>
      <c r="D6" s="155" t="s">
        <v>2107</v>
      </c>
      <c r="E6" s="302" t="s">
        <v>696</v>
      </c>
      <c r="F6" s="303">
        <f ca="1">INDIRECT("'数据-取费表'!u"&amp;$G$1)</f>
        <v>500</v>
      </c>
      <c r="G6" s="1382"/>
      <c r="H6" s="1068" t="s">
        <v>398</v>
      </c>
      <c r="I6" s="3833" t="s">
        <v>694</v>
      </c>
      <c r="J6" s="301">
        <f ca="1">ROUND(M6*M8*M7*(1-M9)/10000,0)</f>
        <v>0</v>
      </c>
      <c r="K6" s="155" t="s">
        <v>2106</v>
      </c>
      <c r="L6" s="302" t="s">
        <v>696</v>
      </c>
      <c r="M6" s="303">
        <f ca="1">INDIRECT("'数据-取费表'!z"&amp;$G$1)</f>
        <v>0</v>
      </c>
    </row>
    <row r="7" spans="1:37" ht="18" customHeight="1">
      <c r="A7" s="1072"/>
      <c r="B7" s="3834"/>
      <c r="C7" s="1074"/>
      <c r="D7" s="307"/>
      <c r="E7" s="1075" t="s">
        <v>697</v>
      </c>
      <c r="F7" s="303">
        <f ca="1">IF(INDIRECT("'数据-取费表'!ah"&amp;$G$1)="",INDIRECT("'数据-取费表'!k"&amp;$G$1),INDIRECT("'数据-取费表'!ah"&amp;$G$1))</f>
        <v>1</v>
      </c>
      <c r="G7" s="1382"/>
      <c r="H7" s="304"/>
      <c r="I7" s="3834"/>
      <c r="J7" s="306"/>
      <c r="K7" s="307"/>
      <c r="L7" s="302" t="s">
        <v>697</v>
      </c>
      <c r="M7" s="303">
        <f ca="1">F7</f>
        <v>1</v>
      </c>
    </row>
    <row r="8" spans="1:37" ht="18" customHeight="1">
      <c r="A8" s="304"/>
      <c r="B8" s="3834"/>
      <c r="C8" s="306"/>
      <c r="D8" s="307"/>
      <c r="E8" s="302" t="s">
        <v>698</v>
      </c>
      <c r="F8" s="303">
        <f ca="1">INDIRECT("'数据-取费表'!ai"&amp;$G$1)</f>
        <v>12</v>
      </c>
      <c r="G8" s="1382"/>
      <c r="H8" s="304"/>
      <c r="I8" s="3834"/>
      <c r="J8" s="306"/>
      <c r="K8" s="307"/>
      <c r="L8" s="302" t="s">
        <v>698</v>
      </c>
      <c r="M8" s="303">
        <f ca="1">INDIRECT("'数据-取费表'!ai"&amp;$G$1)</f>
        <v>12</v>
      </c>
    </row>
    <row r="9" spans="1:37" ht="18" customHeight="1">
      <c r="A9" s="304"/>
      <c r="B9" s="3835"/>
      <c r="C9" s="306"/>
      <c r="D9" s="307"/>
      <c r="E9" s="302" t="s">
        <v>699</v>
      </c>
      <c r="F9" s="312">
        <f ca="1">INDIRECT("'数据-取费表'!w"&amp;$G$1)</f>
        <v>0.1</v>
      </c>
      <c r="G9" s="1382"/>
      <c r="H9" s="304"/>
      <c r="I9" s="383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t="s">
        <v>3922</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12</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10</v>
      </c>
      <c r="D14" s="1343" t="s">
        <v>708</v>
      </c>
      <c r="E14" s="1340"/>
      <c r="F14" s="319"/>
      <c r="G14" s="1382"/>
      <c r="H14" s="982" t="s">
        <v>398</v>
      </c>
      <c r="I14" s="302" t="s">
        <v>709</v>
      </c>
      <c r="J14" s="21">
        <f ca="1">C29</f>
        <v>12</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1</v>
      </c>
      <c r="D17" s="302" t="s">
        <v>717</v>
      </c>
      <c r="E17" s="302" t="s">
        <v>718</v>
      </c>
      <c r="F17" s="23">
        <f>'数据-取费表'!B35</f>
        <v>200</v>
      </c>
      <c r="G17" s="1394"/>
      <c r="H17" s="982" t="s">
        <v>398</v>
      </c>
      <c r="I17" s="302" t="s">
        <v>719</v>
      </c>
      <c r="J17" s="2311">
        <f ca="1">ROUND(IF(AND(项目基本情况!B11="自然人",项目基本情况!B10="北京市"),J6*M17/(1+'数据-取费表'!C42),J18+J19+J20),2)</f>
        <v>0</v>
      </c>
      <c r="K17" s="1343" t="s">
        <v>720</v>
      </c>
      <c r="L17" s="1342" t="s">
        <v>721</v>
      </c>
      <c r="M17" s="2310"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0</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11</v>
      </c>
      <c r="D19" s="131" t="s">
        <v>726</v>
      </c>
      <c r="E19" s="1358"/>
      <c r="F19" s="23"/>
      <c r="G19" s="1382"/>
      <c r="H19" s="982"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0.12</v>
      </c>
      <c r="K22" s="1342" t="s">
        <v>739</v>
      </c>
      <c r="L22" s="302" t="s">
        <v>712</v>
      </c>
      <c r="M22" s="328">
        <f ca="1">INDIRECT("'数据-取费表'!Ak"&amp;$G$1)</f>
        <v>0.01</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1</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0</v>
      </c>
      <c r="D28" s="323" t="s">
        <v>765</v>
      </c>
      <c r="E28" s="302" t="s">
        <v>712</v>
      </c>
      <c r="F28" s="322">
        <f>'数据-取费表'!B41</f>
        <v>0</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12</v>
      </c>
      <c r="D29" s="1091"/>
      <c r="E29" s="1089"/>
      <c r="F29" s="1092"/>
      <c r="G29" s="1394"/>
      <c r="H29" s="334" t="s">
        <v>396</v>
      </c>
      <c r="I29" s="335" t="s">
        <v>768</v>
      </c>
      <c r="J29" s="336">
        <f ca="1">ROUND(J26/(1+F40)^F41,0)</f>
        <v>0</v>
      </c>
      <c r="K29" s="337" t="s">
        <v>769</v>
      </c>
      <c r="L29" s="338"/>
      <c r="M29" s="339">
        <f ca="1">INDIRECT("'数据-取费表'!k"&amp;$G$1)</f>
        <v>29.05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2"/>
      <c r="I30" s="1396"/>
      <c r="J30" s="1397"/>
      <c r="K30" s="2470"/>
      <c r="L30" s="2693"/>
      <c r="M30" s="2694"/>
    </row>
    <row r="31" spans="1:37" ht="18" customHeight="1">
      <c r="A31" s="982" t="s">
        <v>398</v>
      </c>
      <c r="B31" s="302" t="s">
        <v>719</v>
      </c>
      <c r="C31" s="2311">
        <f ca="1">ROUND(IF(AND(项目基本情况!B11="自然人",项目基本情况!B10="北京市"),C6*F31/(1+'数据-取费表'!C42),C32+C33+C34),2)</f>
        <v>0.12</v>
      </c>
      <c r="D31" s="1343" t="s">
        <v>720</v>
      </c>
      <c r="E31" s="1342" t="s">
        <v>770</v>
      </c>
      <c r="F31" s="2310" t="str">
        <f>IF(项目基本情况!B11="企业","——",IF(M47="住宅",IF(F6*F7*F8/12/(1+'数据-取费表'!F30)&gt;100000,4%,2.5%),IF(F6*F7*F8/12/(1+'数据-取费表'!F30)&gt;100000,12%,7%)))</f>
        <v>——</v>
      </c>
      <c r="G31" s="1382"/>
      <c r="H31" s="2803" t="s">
        <v>2308</v>
      </c>
      <c r="I31" s="1396"/>
      <c r="J31" s="1397"/>
      <c r="K31" s="2470"/>
      <c r="L31" s="2693"/>
      <c r="M31" s="2694"/>
    </row>
    <row r="32" spans="1:37" ht="18" customHeight="1">
      <c r="A32" s="982" t="s">
        <v>397</v>
      </c>
      <c r="B32" s="302" t="s">
        <v>723</v>
      </c>
      <c r="C32" s="21">
        <f ca="1">IF(项目基本情况!B11="自然人","——",ROUND(C6*F32/(1+'数据-取费表'!C42),2))</f>
        <v>0</v>
      </c>
      <c r="D32" s="1342" t="s">
        <v>724</v>
      </c>
      <c r="E32" s="302" t="s">
        <v>712</v>
      </c>
      <c r="F32" s="331">
        <f>'数据-取费表'!B41</f>
        <v>0</v>
      </c>
      <c r="G32" s="1382"/>
      <c r="H32" s="2692"/>
      <c r="I32" s="1396"/>
      <c r="J32" s="1397"/>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0.12</v>
      </c>
      <c r="D33" s="1368" t="s">
        <v>3340</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ROUND(C29*F36,2)</f>
        <v>0.12</v>
      </c>
      <c r="D36" s="1342" t="s">
        <v>771</v>
      </c>
      <c r="E36" s="302" t="s">
        <v>712</v>
      </c>
      <c r="F36" s="328">
        <f ca="1">INDIRECT("'数据-取费表'!Ak"&amp;$G$1)</f>
        <v>0.01</v>
      </c>
      <c r="G36" s="1382"/>
      <c r="H36" s="2695"/>
      <c r="I36" s="1396"/>
      <c r="J36" s="1397"/>
      <c r="K36" s="2539"/>
      <c r="L36" s="2695"/>
      <c r="M36" s="2695"/>
    </row>
    <row r="37" spans="1:18" ht="18" customHeight="1">
      <c r="A37" s="982" t="s">
        <v>437</v>
      </c>
      <c r="B37" s="302" t="s">
        <v>742</v>
      </c>
      <c r="C37" s="21">
        <f ca="1">ROUND(C13*F37,2)</f>
        <v>0.01</v>
      </c>
      <c r="D37" s="1342" t="s">
        <v>743</v>
      </c>
      <c r="E37" s="302" t="s">
        <v>744</v>
      </c>
      <c r="F37" s="330">
        <f ca="1">INDIRECT("'数据-取费表'!Al"&amp;$G$1)</f>
        <v>1E-3</v>
      </c>
      <c r="G37" s="1382"/>
      <c r="H37" s="2695"/>
      <c r="I37" s="1396"/>
      <c r="J37" s="1397"/>
      <c r="K37" s="2539"/>
      <c r="L37" s="2695"/>
      <c r="M37" s="2695"/>
    </row>
    <row r="38" spans="1:18" ht="18" customHeight="1" thickBot="1">
      <c r="A38" s="1088" t="s">
        <v>684</v>
      </c>
      <c r="B38" s="1089" t="s">
        <v>728</v>
      </c>
      <c r="C38" s="1090">
        <f ca="1">ROUND(C5*F38,2)</f>
        <v>0.01</v>
      </c>
      <c r="D38" s="1091" t="s">
        <v>748</v>
      </c>
      <c r="E38" s="1089" t="s">
        <v>744</v>
      </c>
      <c r="F38" s="1085">
        <f ca="1">INDIRECT("'数据-取费表'!Am"&amp;$G$1)</f>
        <v>0.01</v>
      </c>
      <c r="G38" s="1382"/>
      <c r="H38" s="2695"/>
      <c r="I38" s="1396"/>
      <c r="J38" s="1397"/>
      <c r="K38" s="2699"/>
      <c r="L38" s="2695"/>
      <c r="M38" s="2695"/>
    </row>
    <row r="39" spans="1:18" ht="24.6" customHeight="1" thickTop="1">
      <c r="A39" s="1078" t="s">
        <v>394</v>
      </c>
      <c r="B39" s="1093" t="s">
        <v>772</v>
      </c>
      <c r="C39" s="310">
        <f ca="1">C5-C30</f>
        <v>1</v>
      </c>
      <c r="D39" s="1094" t="s">
        <v>773</v>
      </c>
      <c r="E39" s="1095"/>
      <c r="F39" s="1096"/>
      <c r="G39" s="1382"/>
      <c r="H39" s="2695"/>
      <c r="I39" s="1396"/>
      <c r="J39" s="1397"/>
      <c r="K39" s="2699"/>
      <c r="L39" s="2695"/>
      <c r="M39" s="2695"/>
    </row>
    <row r="40" spans="1:18" ht="18" customHeight="1">
      <c r="A40" s="299" t="s">
        <v>395</v>
      </c>
      <c r="B40" s="300" t="s">
        <v>774</v>
      </c>
      <c r="C40" s="301">
        <f ca="1">ROUND(C39*(1-((1+F42)/(1+F40))^F41)/(F40-F42),0)</f>
        <v>25</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46.25</v>
      </c>
      <c r="G41" s="1382"/>
      <c r="H41" s="1189"/>
      <c r="I41" s="1396"/>
      <c r="J41" s="1397"/>
      <c r="K41" s="2539"/>
      <c r="L41" s="1189"/>
      <c r="M41" s="1189"/>
    </row>
    <row r="42" spans="1:18" ht="18" customHeight="1">
      <c r="A42" s="308"/>
      <c r="B42" s="309"/>
      <c r="C42" s="310"/>
      <c r="D42" s="327"/>
      <c r="E42" s="302" t="s">
        <v>766</v>
      </c>
      <c r="F42" s="312">
        <f ca="1">INDIRECT("'数据-取费表'!v"&amp;$G$1)</f>
        <v>2.5000000000000001E-2</v>
      </c>
      <c r="G42" s="1382"/>
      <c r="H42" s="1189"/>
      <c r="I42" s="1396"/>
      <c r="J42" s="1397"/>
      <c r="K42" s="2539"/>
      <c r="L42" s="1189"/>
      <c r="M42" s="1189"/>
    </row>
    <row r="43" spans="1:18" ht="18" customHeight="1" thickBot="1">
      <c r="A43" s="334" t="s">
        <v>396</v>
      </c>
      <c r="B43" s="335" t="s">
        <v>776</v>
      </c>
      <c r="C43" s="336">
        <f ca="1">ROUND(C40*10000/F43,0)</f>
        <v>8606</v>
      </c>
      <c r="D43" s="337" t="s">
        <v>777</v>
      </c>
      <c r="E43" s="338" t="s">
        <v>778</v>
      </c>
      <c r="F43" s="339">
        <f ca="1">INDIRECT("'数据-取费表'!k"&amp;$G$1)</f>
        <v>29.05</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t="s">
        <v>3923</v>
      </c>
      <c r="K47" s="1414" t="s">
        <v>816</v>
      </c>
      <c r="L47" s="1415">
        <f ca="1">INDIRECT("'数据-取费表'!d"&amp;$G$1)</f>
        <v>50</v>
      </c>
      <c r="M47" s="1378" t="str">
        <f>IF(ISNUMBER(FIND("住宅",C1)),"住宅","非住宅")</f>
        <v>非住宅</v>
      </c>
      <c r="O47" s="1416" t="s">
        <v>403</v>
      </c>
      <c r="P47" s="1417" t="s">
        <v>817</v>
      </c>
      <c r="Q47" s="1418">
        <f ca="1">C40+J29</f>
        <v>25</v>
      </c>
      <c r="R47" s="1418" t="s">
        <v>818</v>
      </c>
    </row>
    <row r="48" spans="1:18" s="1382" customFormat="1" ht="28.5" thickBot="1">
      <c r="A48" s="1109" t="s">
        <v>438</v>
      </c>
      <c r="B48" s="300" t="s">
        <v>692</v>
      </c>
      <c r="C48" s="1357">
        <f ca="1">C49+C53+C55</f>
        <v>0</v>
      </c>
      <c r="D48" s="1111"/>
      <c r="E48" s="1112"/>
      <c r="F48" s="962"/>
      <c r="G48" s="722"/>
      <c r="H48" s="723"/>
      <c r="I48" s="1419" t="s">
        <v>819</v>
      </c>
      <c r="J48" s="1420" t="s">
        <v>3924</v>
      </c>
      <c r="K48" s="1421" t="s">
        <v>820</v>
      </c>
      <c r="L48" s="1422">
        <f ca="1">INDIRECT("'数据-取费表'!f"&amp;$G$1)</f>
        <v>46.25</v>
      </c>
      <c r="O48" s="1416" t="s">
        <v>404</v>
      </c>
      <c r="P48" s="1417" t="s">
        <v>821</v>
      </c>
      <c r="Q48" s="1418" t="str">
        <f ca="1">J60</f>
        <v>0</v>
      </c>
      <c r="R48" s="1418" t="s">
        <v>822</v>
      </c>
    </row>
    <row r="49" spans="1:18" s="1382" customFormat="1" ht="13.5" thickBot="1">
      <c r="A49" s="975" t="s">
        <v>439</v>
      </c>
      <c r="B49" s="1369" t="s">
        <v>779</v>
      </c>
      <c r="C49" s="1113">
        <f ca="1">ROUND(F49*F51*F50*(1-F52)/10000,0)</f>
        <v>0</v>
      </c>
      <c r="D49" s="1054" t="s">
        <v>2108</v>
      </c>
      <c r="E49" s="1370" t="s">
        <v>780</v>
      </c>
      <c r="F49" s="1059"/>
      <c r="G49" s="1423"/>
      <c r="H49" s="723"/>
      <c r="I49" s="1419" t="s">
        <v>823</v>
      </c>
      <c r="J49" s="1424">
        <v>2024</v>
      </c>
      <c r="K49" s="1421" t="s">
        <v>824</v>
      </c>
      <c r="L49" s="1425"/>
      <c r="O49" s="1426" t="s">
        <v>405</v>
      </c>
      <c r="P49" s="1417" t="s">
        <v>825</v>
      </c>
      <c r="Q49" s="1418">
        <f ca="1">C29</f>
        <v>12</v>
      </c>
      <c r="R49" s="1418" t="s">
        <v>818</v>
      </c>
    </row>
    <row r="50" spans="1:18" s="1382" customFormat="1" ht="13.5" thickBot="1">
      <c r="A50" s="976"/>
      <c r="B50" s="979"/>
      <c r="C50" s="1117"/>
      <c r="D50" s="953"/>
      <c r="E50" s="1055" t="s">
        <v>697</v>
      </c>
      <c r="F50" s="1056">
        <f ca="1">F7</f>
        <v>1</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7"/>
      <c r="B51" s="979"/>
      <c r="C51" s="980"/>
      <c r="D51" s="953"/>
      <c r="E51" s="981" t="s">
        <v>698</v>
      </c>
      <c r="F51" s="303">
        <f ca="1">F8</f>
        <v>12</v>
      </c>
      <c r="I51" s="1430" t="s">
        <v>829</v>
      </c>
      <c r="J51" s="1431">
        <f>IF(J49="",J50,J49+J50-YEAR('数据-取费表'!B2))</f>
        <v>61</v>
      </c>
      <c r="K51" s="1432" t="s">
        <v>830</v>
      </c>
      <c r="L51" s="1433">
        <f ca="1">ROUND(-PV(INDIRECT("'数据-取费表'!h"&amp;$G$1),J51,(C39-C13*C76),0),0)</f>
        <v>3</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46.25</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3">
        <f ca="1">IF(M47="住宅",IF(D1="——",MAX(J51,L48),MAX(J51,L48-'数据-取费表'!B24)),IF(D1="——",MIN(J51,L48),MIN(J51,L48-'数据-取费表'!B24)))</f>
        <v>46.25</v>
      </c>
      <c r="K53" s="3831" t="s">
        <v>837</v>
      </c>
      <c r="L53" s="3832"/>
      <c r="O53" s="1416" t="s">
        <v>409</v>
      </c>
      <c r="P53" s="1417" t="s">
        <v>838</v>
      </c>
      <c r="Q53" s="1418">
        <f ca="1">Q47+Q48</f>
        <v>25</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7">
        <v>2</v>
      </c>
      <c r="B56" s="958" t="s">
        <v>704</v>
      </c>
      <c r="C56" s="232">
        <f ca="1">C13</f>
        <v>12</v>
      </c>
      <c r="D56" s="1445"/>
      <c r="E56" s="1446"/>
      <c r="F56" s="1438"/>
      <c r="I56" s="1447" t="s">
        <v>842</v>
      </c>
      <c r="J56" s="1448" t="s">
        <v>3430</v>
      </c>
      <c r="K56" s="1419" t="s">
        <v>843</v>
      </c>
      <c r="L56" s="1422" t="str">
        <f ca="1">IF(L48&lt;J51,"——",L48-J53)</f>
        <v>——</v>
      </c>
      <c r="O56" s="1416" t="s">
        <v>403</v>
      </c>
      <c r="P56" s="1417" t="s">
        <v>817</v>
      </c>
      <c r="Q56" s="1418">
        <f ca="1">C40+J29</f>
        <v>25</v>
      </c>
      <c r="R56" s="1418" t="s">
        <v>818</v>
      </c>
    </row>
    <row r="57" spans="1:18" s="1382" customFormat="1" ht="24.75" thickBot="1">
      <c r="A57" s="1449"/>
      <c r="B57" s="950" t="s">
        <v>767</v>
      </c>
      <c r="C57" s="238">
        <f ca="1">C29</f>
        <v>12</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1">
        <f ca="1">ROUND(IF(AND(项目基本情况!B11="自然人",项目基本情况!B10="北京市"),C49*F59/(1+'数据-取费表'!C42),C60+C61+C62),0)</f>
        <v>0</v>
      </c>
      <c r="D59" s="963" t="s">
        <v>720</v>
      </c>
      <c r="E59" s="964" t="s">
        <v>721</v>
      </c>
      <c r="F59" s="2310"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0</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3340</v>
      </c>
      <c r="E61" s="950"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1.5</v>
      </c>
      <c r="I62" s="1460" t="s">
        <v>858</v>
      </c>
      <c r="J62" s="1461" t="s">
        <v>859</v>
      </c>
      <c r="K62" s="1461" t="s">
        <v>860</v>
      </c>
      <c r="L62" s="1461" t="s">
        <v>861</v>
      </c>
      <c r="M62" s="1462" t="s">
        <v>862</v>
      </c>
      <c r="O62" s="1416" t="s">
        <v>409</v>
      </c>
      <c r="P62" s="1417" t="s">
        <v>863</v>
      </c>
      <c r="Q62" s="1418">
        <f ca="1">Q56+Q57</f>
        <v>25</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0.12</v>
      </c>
      <c r="D64" s="964" t="s">
        <v>791</v>
      </c>
      <c r="E64" s="950"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0.01</v>
      </c>
      <c r="D65" s="964" t="s">
        <v>743</v>
      </c>
      <c r="E65" s="950" t="s">
        <v>744</v>
      </c>
      <c r="F65" s="330">
        <f t="shared" ca="1" si="0"/>
        <v>1E-3</v>
      </c>
      <c r="I65" s="1460" t="s">
        <v>867</v>
      </c>
      <c r="J65" s="1461">
        <v>40</v>
      </c>
      <c r="K65" s="1461">
        <v>30</v>
      </c>
      <c r="L65" s="1461">
        <v>50</v>
      </c>
      <c r="M65" s="1463">
        <v>0.02</v>
      </c>
      <c r="O65" s="1416" t="s">
        <v>403</v>
      </c>
      <c r="P65" s="1417" t="s">
        <v>868</v>
      </c>
      <c r="Q65" s="1418">
        <f ca="1">C40+J29</f>
        <v>25</v>
      </c>
      <c r="R65" s="1418" t="s">
        <v>818</v>
      </c>
    </row>
    <row r="66" spans="1:18" s="1382" customFormat="1" ht="16.5" thickBot="1">
      <c r="A66" s="982" t="s">
        <v>793</v>
      </c>
      <c r="B66" s="950" t="s">
        <v>728</v>
      </c>
      <c r="C66" s="21">
        <f ca="1">ROUND(C48*F66,2)</f>
        <v>0</v>
      </c>
      <c r="D66" s="964" t="s">
        <v>794</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3</v>
      </c>
      <c r="R67" s="1418" t="s">
        <v>870</v>
      </c>
    </row>
    <row r="68" spans="1:18" s="1382" customFormat="1" ht="16.5" thickBot="1">
      <c r="A68" s="947" t="s">
        <v>395</v>
      </c>
      <c r="B68" s="948" t="s">
        <v>774</v>
      </c>
      <c r="C68" s="301">
        <f ca="1">ROUND(C67*(1-((1+F70)/(1+F68))^F69)/(F68-F70),0)</f>
        <v>0</v>
      </c>
      <c r="D68" s="965" t="s">
        <v>758</v>
      </c>
      <c r="E68" s="950" t="s">
        <v>759</v>
      </c>
      <c r="F68" s="312">
        <f ca="1">F40</f>
        <v>5.5E-2</v>
      </c>
      <c r="O68" s="1426" t="s">
        <v>406</v>
      </c>
      <c r="P68" s="1465" t="s">
        <v>871</v>
      </c>
      <c r="Q68" s="1418">
        <f ca="1">ROUND(Q69-Q70*Q71,0)</f>
        <v>0</v>
      </c>
      <c r="R68" s="1418" t="s">
        <v>414</v>
      </c>
    </row>
    <row r="69" spans="1:18" s="1382" customFormat="1" ht="13.5" thickBot="1">
      <c r="A69" s="951"/>
      <c r="B69" s="952"/>
      <c r="C69" s="306"/>
      <c r="D69" s="970" t="s">
        <v>762</v>
      </c>
      <c r="E69" s="950" t="s">
        <v>763</v>
      </c>
      <c r="F69" s="333">
        <f ca="1">F41</f>
        <v>46.25</v>
      </c>
      <c r="O69" s="1426" t="s">
        <v>411</v>
      </c>
      <c r="P69" s="1465" t="s">
        <v>872</v>
      </c>
      <c r="Q69" s="1418">
        <f ca="1">C39</f>
        <v>1</v>
      </c>
      <c r="R69" s="1418" t="s">
        <v>818</v>
      </c>
    </row>
    <row r="70" spans="1:18" s="1382" customFormat="1" ht="13.5" thickBot="1">
      <c r="A70" s="954"/>
      <c r="B70" s="955"/>
      <c r="C70" s="310"/>
      <c r="D70" s="966"/>
      <c r="E70" s="950" t="s">
        <v>766</v>
      </c>
      <c r="F70" s="1053"/>
      <c r="O70" s="1426" t="s">
        <v>412</v>
      </c>
      <c r="P70" s="1465" t="s">
        <v>873</v>
      </c>
      <c r="Q70" s="1418">
        <f ca="1">C13</f>
        <v>12</v>
      </c>
      <c r="R70" s="1418" t="s">
        <v>818</v>
      </c>
    </row>
    <row r="71" spans="1:18" s="1382" customFormat="1" ht="13.5" thickBot="1">
      <c r="A71" s="971" t="s">
        <v>396</v>
      </c>
      <c r="B71" s="972" t="s">
        <v>776</v>
      </c>
      <c r="C71" s="336">
        <f ca="1">ROUND(C68*10000/F71,0)</f>
        <v>0</v>
      </c>
      <c r="D71" s="973" t="s">
        <v>777</v>
      </c>
      <c r="E71" s="974" t="s">
        <v>778</v>
      </c>
      <c r="F71" s="339">
        <f ca="1">F43</f>
        <v>29.05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v>
      </c>
      <c r="D75" s="1382"/>
      <c r="E75" s="1382"/>
      <c r="F75" s="1382"/>
      <c r="K75" s="1400"/>
      <c r="L75" s="1382"/>
      <c r="O75" s="1416" t="s">
        <v>409</v>
      </c>
      <c r="P75" s="1417" t="s">
        <v>838</v>
      </c>
      <c r="Q75" s="1418">
        <f ca="1">Q65+Q66</f>
        <v>25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0.52</v>
      </c>
    </row>
    <row r="83" spans="2:3">
      <c r="B83" s="273" t="s">
        <v>803</v>
      </c>
      <c r="C83" s="274">
        <f ca="1">ROUND(C13/C40,3)</f>
        <v>0.48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38" t="s">
        <v>3362</v>
      </c>
      <c r="E2" s="3439"/>
      <c r="F2" s="2841"/>
      <c r="G2" s="2842"/>
      <c r="H2" s="2843"/>
      <c r="I2" s="2844"/>
      <c r="J2" s="3842" t="s">
        <v>2319</v>
      </c>
      <c r="K2" s="3843"/>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844" t="s">
        <v>2329</v>
      </c>
      <c r="K3" s="3845"/>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844" t="s">
        <v>2331</v>
      </c>
      <c r="K4" s="3845"/>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850" t="s">
        <v>2335</v>
      </c>
      <c r="B6" s="3851"/>
      <c r="C6" s="3852"/>
      <c r="D6" s="2865"/>
      <c r="E6" s="2866"/>
      <c r="F6" s="2867"/>
      <c r="G6" s="2868"/>
      <c r="H6" s="2843"/>
      <c r="I6" s="2844"/>
      <c r="J6" s="3836">
        <v>1</v>
      </c>
      <c r="K6" s="3837"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836"/>
      <c r="K7" s="3838"/>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853" t="s">
        <v>2349</v>
      </c>
      <c r="C8" s="3854"/>
      <c r="D8" s="2884" t="s">
        <v>2350</v>
      </c>
      <c r="E8" s="2885" t="s">
        <v>2351</v>
      </c>
      <c r="F8" s="2886" t="s">
        <v>2352</v>
      </c>
      <c r="G8" s="2887"/>
      <c r="H8" s="2843"/>
      <c r="I8" s="2844"/>
      <c r="J8" s="3836"/>
      <c r="K8" s="3838"/>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853" t="s">
        <v>2355</v>
      </c>
      <c r="C9" s="3854"/>
      <c r="D9" s="2884">
        <f>ROUND(D6*E9,0)</f>
        <v>0</v>
      </c>
      <c r="E9" s="2888"/>
      <c r="F9" s="2889" t="s">
        <v>2356</v>
      </c>
      <c r="G9" s="2868"/>
      <c r="H9" s="2843"/>
      <c r="I9" s="2844"/>
      <c r="J9" s="3836"/>
      <c r="K9" s="3838"/>
      <c r="L9" s="2878" t="s">
        <v>2357</v>
      </c>
      <c r="M9" s="2879"/>
      <c r="N9" s="2855"/>
      <c r="O9" s="2880"/>
      <c r="P9" s="2880"/>
      <c r="Q9" s="2881">
        <v>365</v>
      </c>
      <c r="R9" s="2882">
        <f t="shared" si="0"/>
        <v>0</v>
      </c>
      <c r="S9" s="2836"/>
      <c r="T9" s="2836"/>
      <c r="U9" s="2836"/>
      <c r="V9" s="2844"/>
    </row>
    <row r="10" spans="1:22" s="2848" customFormat="1" ht="13.15" customHeight="1">
      <c r="A10" s="2883">
        <v>2</v>
      </c>
      <c r="B10" s="3853" t="s">
        <v>2358</v>
      </c>
      <c r="C10" s="3854"/>
      <c r="D10" s="2884">
        <f>ROUND(D6*E10,0)</f>
        <v>0</v>
      </c>
      <c r="E10" s="2888"/>
      <c r="F10" s="2889" t="s">
        <v>2359</v>
      </c>
      <c r="G10" s="2868"/>
      <c r="H10" s="2843"/>
      <c r="I10" s="2844"/>
      <c r="J10" s="3836"/>
      <c r="K10" s="3838"/>
      <c r="L10" s="2878" t="s">
        <v>2360</v>
      </c>
      <c r="M10" s="2879"/>
      <c r="N10" s="2855"/>
      <c r="O10" s="2880"/>
      <c r="P10" s="2880"/>
      <c r="Q10" s="2881">
        <v>365</v>
      </c>
      <c r="R10" s="2882">
        <f t="shared" si="0"/>
        <v>0</v>
      </c>
      <c r="S10" s="2836"/>
      <c r="T10" s="2836"/>
      <c r="U10" s="2836"/>
      <c r="V10" s="2844"/>
    </row>
    <row r="11" spans="1:22" s="2848" customFormat="1" ht="13.15" customHeight="1">
      <c r="A11" s="2883">
        <v>3</v>
      </c>
      <c r="B11" s="3853" t="s">
        <v>2361</v>
      </c>
      <c r="C11" s="3854"/>
      <c r="D11" s="2884">
        <f>D12+D14+D15+D16</f>
        <v>0</v>
      </c>
      <c r="E11" s="2890" t="e">
        <f>D11/D6</f>
        <v>#DIV/0!</v>
      </c>
      <c r="F11" s="2886"/>
      <c r="G11" s="2887"/>
      <c r="H11" s="2843"/>
      <c r="I11" s="2844"/>
      <c r="J11" s="3836"/>
      <c r="K11" s="3838"/>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846" t="s">
        <v>2364</v>
      </c>
      <c r="C12" s="3847"/>
      <c r="D12" s="2892">
        <f>ROUND(D13*1.2%*(1-30%),0)</f>
        <v>0</v>
      </c>
      <c r="E12" s="2893">
        <v>1.2E-2</v>
      </c>
      <c r="F12" s="2886" t="s">
        <v>2365</v>
      </c>
      <c r="G12" s="2887"/>
      <c r="H12" s="2843"/>
      <c r="I12" s="2844"/>
      <c r="J12" s="3836"/>
      <c r="K12" s="3838"/>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836"/>
      <c r="K13" s="3838"/>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846" t="s">
        <v>2370</v>
      </c>
      <c r="C14" s="3847"/>
      <c r="D14" s="2892">
        <f>ROUND(E14*B5/10000,0)</f>
        <v>0</v>
      </c>
      <c r="E14" s="2881"/>
      <c r="F14" s="2886" t="s">
        <v>2371</v>
      </c>
      <c r="G14" s="2887"/>
      <c r="H14" s="2843"/>
      <c r="I14" s="2844"/>
      <c r="J14" s="3836"/>
      <c r="K14" s="3839"/>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846" t="s">
        <v>2374</v>
      </c>
      <c r="C15" s="3847"/>
      <c r="D15" s="2892">
        <f>ROUND(D6*E15,0)</f>
        <v>0</v>
      </c>
      <c r="E15" s="2893">
        <v>5.5E-2</v>
      </c>
      <c r="F15" s="2886" t="s">
        <v>2375</v>
      </c>
      <c r="G15" s="2868"/>
      <c r="H15" s="2843"/>
      <c r="I15" s="2844"/>
      <c r="J15" s="3836">
        <v>2</v>
      </c>
      <c r="K15" s="3837"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846" t="s">
        <v>2383</v>
      </c>
      <c r="C16" s="3847"/>
      <c r="D16" s="2903">
        <f>D6*E16</f>
        <v>0</v>
      </c>
      <c r="E16" s="2904"/>
      <c r="F16" s="2889" t="s">
        <v>2384</v>
      </c>
      <c r="G16" s="2868"/>
      <c r="H16" s="2843"/>
      <c r="I16" s="2844"/>
      <c r="J16" s="3836"/>
      <c r="K16" s="3838"/>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848" t="s">
        <v>2386</v>
      </c>
      <c r="C17" s="3849"/>
      <c r="D17" s="2906">
        <f>ROUND(D6*E17,0)</f>
        <v>0</v>
      </c>
      <c r="E17" s="2907"/>
      <c r="F17" s="2908" t="s">
        <v>2387</v>
      </c>
      <c r="G17" s="2868"/>
      <c r="H17" s="2843"/>
      <c r="I17" s="2844"/>
      <c r="J17" s="3836"/>
      <c r="K17" s="3838"/>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836"/>
      <c r="K18" s="3838"/>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836"/>
      <c r="K19" s="3839"/>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36">
        <v>3</v>
      </c>
      <c r="K20" s="3837"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836"/>
      <c r="K21" s="3838"/>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836"/>
      <c r="K22" s="3838"/>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836"/>
      <c r="K23" s="3838"/>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836"/>
      <c r="K24" s="3839"/>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840">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84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842" t="s">
        <v>2319</v>
      </c>
      <c r="K32" s="3843"/>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844" t="s">
        <v>2329</v>
      </c>
      <c r="K33" s="3845"/>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844" t="s">
        <v>2331</v>
      </c>
      <c r="K34" s="384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836">
        <v>1</v>
      </c>
      <c r="K36" s="3837"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836"/>
      <c r="K37" s="3838"/>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36"/>
      <c r="K38" s="3838"/>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836"/>
      <c r="K39" s="3838"/>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836"/>
      <c r="K40" s="3839"/>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840">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84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估价对象为北京市房地产，为所有。根据《国有土地使用证》[]，估价对象（分摊）出让国有建设用地使用权面积为0平方米，建筑面积为176.25平方米。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估价对象为北京市房地产,属开发建设的，该项目尚在开发建设中。根据《国有土地使用证》[]，估价对象（分摊）出让国有建设用地使用权面积为0平方米，规划建筑面积为176.25平方米。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2023年7月19日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本次评估采用的主估价方法为比较法和成本法。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2"/>
      <c r="G1" s="1487"/>
      <c r="H1" s="1487"/>
      <c r="I1" s="1487"/>
      <c r="J1" s="1487"/>
      <c r="K1" s="1487"/>
      <c r="L1" s="1487"/>
      <c r="M1" s="1487"/>
      <c r="N1" s="1487"/>
      <c r="O1" s="1487"/>
      <c r="P1" s="1487"/>
      <c r="Q1" s="1487"/>
      <c r="R1" s="1487"/>
      <c r="S1" s="1487"/>
    </row>
    <row r="2" spans="1:22" ht="15.75">
      <c r="A2" s="1868" t="s">
        <v>1462</v>
      </c>
      <c r="B2" s="1869">
        <f ca="1">SUMIF(B6:B13,"&lt;&gt;#ref!",B6:B13)</f>
        <v>23.194499999999998</v>
      </c>
      <c r="C2" s="1870" t="s">
        <v>1651</v>
      </c>
      <c r="D2" s="1871" t="s">
        <v>1652</v>
      </c>
      <c r="E2" s="2602">
        <f>SUM(E6:E13)</f>
        <v>89.34</v>
      </c>
      <c r="F2" s="2702"/>
      <c r="G2" s="1487"/>
      <c r="H2" s="1487"/>
      <c r="I2" s="1487"/>
      <c r="J2" s="1487"/>
      <c r="K2" s="1487"/>
      <c r="L2" s="1487"/>
      <c r="M2" s="1487"/>
      <c r="N2" s="1487"/>
      <c r="O2" s="1487"/>
      <c r="P2" s="1487"/>
      <c r="Q2" s="1487"/>
      <c r="R2" s="1487"/>
      <c r="S2" s="1487"/>
    </row>
    <row r="3" spans="1:22" ht="15.75">
      <c r="A3" s="1868" t="s">
        <v>686</v>
      </c>
      <c r="B3" s="2596">
        <f ca="1">ROUND(B2*10000/E2,0)</f>
        <v>2596</v>
      </c>
      <c r="C3" s="1870" t="s">
        <v>1659</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8" t="s">
        <v>1653</v>
      </c>
      <c r="B5" s="3855" t="s">
        <v>1654</v>
      </c>
      <c r="C5" s="3856"/>
      <c r="D5" s="2703"/>
      <c r="E5" s="1872" t="s">
        <v>1655</v>
      </c>
      <c r="F5" s="1873" t="s">
        <v>1656</v>
      </c>
      <c r="G5" s="1487"/>
      <c r="H5" s="1487"/>
      <c r="I5" s="1487"/>
      <c r="J5" s="1487"/>
      <c r="K5" s="1487"/>
      <c r="L5" s="1487"/>
      <c r="M5" s="1487"/>
      <c r="N5" s="1487"/>
      <c r="O5" s="1487"/>
      <c r="P5" s="1487"/>
      <c r="Q5" s="1487"/>
      <c r="R5" s="1487"/>
      <c r="S5" s="1487"/>
    </row>
    <row r="6" spans="1:22">
      <c r="A6" s="2599">
        <f>'数据-取费表'!AN6</f>
        <v>0</v>
      </c>
      <c r="B6" s="2597" t="e">
        <f ca="1">IF(F6="是",'数据-取费表'!AO6,0)</f>
        <v>#REF!</v>
      </c>
      <c r="C6" s="1870" t="s">
        <v>1651</v>
      </c>
      <c r="D6" s="2704"/>
      <c r="E6" s="2601">
        <f>IF(OR(A6=0,F6="否"),0,'数据-取费表'!K6+'数据-取费表'!S6)</f>
        <v>0</v>
      </c>
      <c r="F6" s="1874" t="s">
        <v>1657</v>
      </c>
      <c r="G6" s="1487"/>
      <c r="H6" s="1487"/>
      <c r="I6" s="1487"/>
      <c r="J6" s="1487"/>
      <c r="K6" s="1487"/>
      <c r="L6" s="1487"/>
      <c r="M6" s="1487"/>
      <c r="N6" s="1487"/>
      <c r="O6" s="1487"/>
      <c r="P6" s="1487"/>
      <c r="Q6" s="1487"/>
      <c r="R6" s="1487"/>
      <c r="S6" s="1487"/>
    </row>
    <row r="7" spans="1:22">
      <c r="A7" s="2599" t="str">
        <f>'数据-取费表'!AN7</f>
        <v>收益法 (元)</v>
      </c>
      <c r="B7" s="2597">
        <f ca="1">IF(F7="是",'数据-取费表'!AO7,0)</f>
        <v>8.1356000000000002</v>
      </c>
      <c r="C7" s="1870" t="s">
        <v>1651</v>
      </c>
      <c r="D7" s="2704"/>
      <c r="E7" s="2601">
        <f>IF(OR(A7=0,F7="否"),0,'数据-取费表'!K7+'数据-取费表'!S7)</f>
        <v>29.05</v>
      </c>
      <c r="F7" s="1874" t="s">
        <v>1657</v>
      </c>
      <c r="G7" s="1487"/>
      <c r="H7" s="1487"/>
      <c r="I7" s="1487"/>
      <c r="J7" s="1487"/>
      <c r="K7" s="1487"/>
      <c r="L7" s="1487"/>
      <c r="M7" s="1487"/>
      <c r="N7" s="1487"/>
      <c r="O7" s="1487"/>
      <c r="P7" s="1487"/>
      <c r="Q7" s="1487"/>
      <c r="R7" s="1487"/>
      <c r="S7" s="1487"/>
    </row>
    <row r="8" spans="1:22">
      <c r="A8" s="2599" t="str">
        <f>'数据-取费表'!AN8</f>
        <v>收益法 (元)-机械车库</v>
      </c>
      <c r="B8" s="2597">
        <f ca="1">IF(F8="是",'数据-取费表'!AO8,0)</f>
        <v>15.0589</v>
      </c>
      <c r="C8" s="1870" t="s">
        <v>1651</v>
      </c>
      <c r="D8" s="2704"/>
      <c r="E8" s="2601">
        <f>IF(OR(A8=0,F8="否"),0,'数据-取费表'!K8+'数据-取费表'!S8)</f>
        <v>60.29</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4"/>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4"/>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4"/>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4"/>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5"/>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1"/>
      <c r="F1" s="1877"/>
      <c r="G1" s="1233" t="s">
        <v>1767</v>
      </c>
      <c r="H1" s="1232"/>
      <c r="I1" s="1232"/>
      <c r="J1" s="1232"/>
      <c r="K1" s="1234"/>
      <c r="L1" s="1235"/>
      <c r="M1" s="1236"/>
      <c r="N1" s="1236"/>
      <c r="O1" s="1236"/>
      <c r="P1" s="1944"/>
      <c r="Q1" s="1945"/>
      <c r="R1" s="1945"/>
      <c r="S1" s="1945"/>
      <c r="T1" s="1945"/>
      <c r="U1" s="1945"/>
      <c r="V1" s="1945"/>
      <c r="W1" s="1945"/>
      <c r="X1" s="1945"/>
      <c r="Y1" s="1945"/>
      <c r="Z1" s="1945"/>
      <c r="AA1" s="1945"/>
      <c r="AB1" s="1945"/>
      <c r="AC1" s="1946"/>
    </row>
    <row r="2" spans="1:29" s="352"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29"/>
      <c r="M2" s="2730"/>
      <c r="N2" s="2730"/>
      <c r="O2" s="2730"/>
      <c r="P2" s="1947"/>
      <c r="Q2" s="912"/>
      <c r="R2" s="912"/>
      <c r="S2" s="912"/>
      <c r="T2" s="912"/>
      <c r="U2" s="912"/>
      <c r="V2" s="912"/>
      <c r="W2" s="912"/>
      <c r="X2" s="912"/>
      <c r="Y2" s="912"/>
      <c r="Z2" s="912"/>
      <c r="AA2" s="912"/>
      <c r="AB2" s="912"/>
      <c r="AC2" s="1948"/>
    </row>
    <row r="3" spans="1:29" s="352" customFormat="1" ht="28.5" customHeight="1" thickBot="1">
      <c r="A3" s="203" t="s">
        <v>1464</v>
      </c>
      <c r="B3" s="558">
        <f>IF(C2="——",C49,ROUND(B2*10000/D3,0))</f>
        <v>0</v>
      </c>
      <c r="C3" s="354" t="s">
        <v>1768</v>
      </c>
      <c r="D3" s="353">
        <f>IF(D1="",'数据-汇总表'!E3,SUMIF('数据-汇总表'!$C19:$C33,D1,'数据-汇总表'!$E19:$E33))</f>
        <v>176.25</v>
      </c>
      <c r="E3" s="1949"/>
      <c r="F3" s="909"/>
      <c r="G3" s="908"/>
      <c r="H3" s="908"/>
      <c r="I3" s="908"/>
      <c r="J3" s="908"/>
      <c r="K3" s="910"/>
      <c r="L3" s="2729"/>
      <c r="M3" s="2730"/>
      <c r="N3" s="2730"/>
      <c r="O3" s="2730"/>
      <c r="P3" s="1947"/>
      <c r="Q3" s="912"/>
      <c r="R3" s="912"/>
      <c r="S3" s="912"/>
      <c r="T3" s="912"/>
      <c r="U3" s="912"/>
      <c r="V3" s="912"/>
      <c r="W3" s="912"/>
      <c r="X3" s="912"/>
      <c r="Y3" s="912"/>
      <c r="Z3" s="912"/>
      <c r="AA3" s="912"/>
      <c r="AB3" s="912"/>
      <c r="AC3" s="1949"/>
    </row>
    <row r="4" spans="1:29" ht="15">
      <c r="A4" s="355" t="s">
        <v>1769</v>
      </c>
      <c r="B4" s="356"/>
      <c r="C4" s="3796" t="s">
        <v>1770</v>
      </c>
      <c r="D4" s="3797"/>
      <c r="E4" s="3798" t="s">
        <v>1771</v>
      </c>
      <c r="F4" s="3799"/>
      <c r="G4" s="3796" t="s">
        <v>1772</v>
      </c>
      <c r="H4" s="3797"/>
      <c r="I4" s="3796" t="s">
        <v>1773</v>
      </c>
      <c r="J4" s="3797"/>
      <c r="K4" s="559" t="s">
        <v>1774</v>
      </c>
      <c r="L4" s="2710"/>
      <c r="M4" s="2711"/>
      <c r="N4" s="2711"/>
      <c r="O4" s="2711"/>
      <c r="P4" s="3800" t="s">
        <v>1775</v>
      </c>
      <c r="Q4" s="3801"/>
      <c r="R4" s="3806" t="s">
        <v>1771</v>
      </c>
      <c r="S4" s="3807"/>
      <c r="T4" s="3806" t="s">
        <v>1772</v>
      </c>
      <c r="U4" s="3807"/>
      <c r="V4" s="3812" t="s">
        <v>1773</v>
      </c>
      <c r="W4" s="3812"/>
      <c r="X4" s="1353"/>
      <c r="Y4" s="3806" t="s">
        <v>1775</v>
      </c>
      <c r="Z4" s="3807"/>
      <c r="AA4" s="3793" t="s">
        <v>1771</v>
      </c>
      <c r="AB4" s="3812" t="s">
        <v>1772</v>
      </c>
      <c r="AC4" s="3793" t="s">
        <v>1773</v>
      </c>
    </row>
    <row r="5" spans="1:29" ht="15">
      <c r="A5" s="358"/>
      <c r="B5" s="359"/>
      <c r="C5" s="3815" t="s">
        <v>1673</v>
      </c>
      <c r="D5" s="3816"/>
      <c r="E5" s="3822" t="s">
        <v>1674</v>
      </c>
      <c r="F5" s="3823"/>
      <c r="G5" s="3815" t="s">
        <v>1675</v>
      </c>
      <c r="H5" s="3816"/>
      <c r="I5" s="3815" t="s">
        <v>1676</v>
      </c>
      <c r="J5" s="3816"/>
      <c r="K5" s="559"/>
      <c r="L5" s="2710"/>
      <c r="M5" s="2711"/>
      <c r="N5" s="2711"/>
      <c r="O5" s="2711"/>
      <c r="P5" s="3802"/>
      <c r="Q5" s="3803"/>
      <c r="R5" s="3808"/>
      <c r="S5" s="3809"/>
      <c r="T5" s="3808"/>
      <c r="U5" s="3809"/>
      <c r="V5" s="3812"/>
      <c r="W5" s="3812"/>
      <c r="X5" s="1353"/>
      <c r="Y5" s="3808"/>
      <c r="Z5" s="3809"/>
      <c r="AA5" s="3794"/>
      <c r="AB5" s="3812"/>
      <c r="AC5" s="3794"/>
    </row>
    <row r="6" spans="1:29" ht="15.75" thickBot="1">
      <c r="A6" s="360"/>
      <c r="B6" s="361"/>
      <c r="C6" s="3813" t="s">
        <v>1677</v>
      </c>
      <c r="D6" s="3814"/>
      <c r="E6" s="3820" t="s">
        <v>1677</v>
      </c>
      <c r="F6" s="3821"/>
      <c r="G6" s="3813" t="s">
        <v>1677</v>
      </c>
      <c r="H6" s="3814"/>
      <c r="I6" s="3813" t="s">
        <v>1677</v>
      </c>
      <c r="J6" s="3814"/>
      <c r="K6" s="559" t="s">
        <v>1678</v>
      </c>
      <c r="L6" s="2710"/>
      <c r="M6" s="2711"/>
      <c r="N6" s="2711"/>
      <c r="O6" s="2711"/>
      <c r="P6" s="3804"/>
      <c r="Q6" s="3805"/>
      <c r="R6" s="3808"/>
      <c r="S6" s="3809"/>
      <c r="T6" s="3810"/>
      <c r="U6" s="3811"/>
      <c r="V6" s="3812"/>
      <c r="W6" s="3812"/>
      <c r="X6" s="1353"/>
      <c r="Y6" s="3810"/>
      <c r="Z6" s="3811"/>
      <c r="AA6" s="3795"/>
      <c r="AB6" s="3812"/>
      <c r="AC6" s="3795"/>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817" t="s">
        <v>1680</v>
      </c>
      <c r="Q7" s="3819"/>
      <c r="R7" s="701" t="s">
        <v>14</v>
      </c>
      <c r="S7" s="702">
        <f t="shared" ref="S7:S15" si="0">F7</f>
        <v>0</v>
      </c>
      <c r="T7" s="701" t="s">
        <v>14</v>
      </c>
      <c r="U7" s="702">
        <f t="shared" ref="U7:U15" si="1">H7</f>
        <v>0</v>
      </c>
      <c r="V7" s="701" t="s">
        <v>14</v>
      </c>
      <c r="W7" s="702">
        <f t="shared" ref="W7:W15" si="2">J7</f>
        <v>0</v>
      </c>
      <c r="X7" s="703"/>
      <c r="Y7" s="3817" t="s">
        <v>1680</v>
      </c>
      <c r="Z7" s="381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817" t="s">
        <v>1683</v>
      </c>
      <c r="Q8" s="3818"/>
      <c r="R8" s="701" t="s">
        <v>14</v>
      </c>
      <c r="S8" s="702">
        <f t="shared" si="0"/>
        <v>100</v>
      </c>
      <c r="T8" s="701" t="s">
        <v>14</v>
      </c>
      <c r="U8" s="702">
        <f t="shared" si="1"/>
        <v>100</v>
      </c>
      <c r="V8" s="701" t="s">
        <v>14</v>
      </c>
      <c r="W8" s="702">
        <f t="shared" si="2"/>
        <v>100</v>
      </c>
      <c r="X8" s="703"/>
      <c r="Y8" s="3817" t="s">
        <v>1683</v>
      </c>
      <c r="Z8" s="381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92" t="s">
        <v>1686</v>
      </c>
      <c r="Q9" s="1341"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92"/>
      <c r="Q10" s="1341"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92"/>
      <c r="Q11" s="1341"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92"/>
      <c r="Q12" s="1341">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92"/>
      <c r="Q13" s="1341">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92"/>
      <c r="Q14" s="1341">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90" t="s">
        <v>1691</v>
      </c>
      <c r="Q15" s="1350" t="str">
        <f t="shared" si="6"/>
        <v>商业繁华度</v>
      </c>
      <c r="R15" s="705" t="s">
        <v>14</v>
      </c>
      <c r="S15" s="706">
        <f t="shared" si="0"/>
        <v>100</v>
      </c>
      <c r="T15" s="705" t="s">
        <v>14</v>
      </c>
      <c r="U15" s="706">
        <f t="shared" si="1"/>
        <v>100</v>
      </c>
      <c r="V15" s="705" t="s">
        <v>14</v>
      </c>
      <c r="W15" s="706">
        <f t="shared" si="2"/>
        <v>100</v>
      </c>
      <c r="X15" s="1353"/>
      <c r="Y15" s="378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791"/>
      <c r="Q16" s="1350"/>
      <c r="R16" s="705"/>
      <c r="S16" s="706"/>
      <c r="T16" s="705"/>
      <c r="U16" s="706"/>
      <c r="V16" s="705"/>
      <c r="W16" s="706"/>
      <c r="X16" s="1353"/>
      <c r="Y16" s="3784"/>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91"/>
      <c r="Q17" s="1350" t="str">
        <f>B17</f>
        <v>交通便捷度</v>
      </c>
      <c r="R17" s="705" t="s">
        <v>14</v>
      </c>
      <c r="S17" s="706">
        <f>F17</f>
        <v>100</v>
      </c>
      <c r="T17" s="705" t="s">
        <v>14</v>
      </c>
      <c r="U17" s="706">
        <f>H17</f>
        <v>100</v>
      </c>
      <c r="V17" s="705" t="s">
        <v>14</v>
      </c>
      <c r="W17" s="706">
        <f>J17</f>
        <v>100</v>
      </c>
      <c r="X17" s="1353"/>
      <c r="Y17" s="3784"/>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2717"/>
      <c r="M18" s="2711"/>
      <c r="N18" s="2711"/>
      <c r="O18" s="2711"/>
      <c r="P18" s="3791"/>
      <c r="Q18" s="1350"/>
      <c r="R18" s="705"/>
      <c r="S18" s="706"/>
      <c r="T18" s="705"/>
      <c r="U18" s="706"/>
      <c r="V18" s="705"/>
      <c r="W18" s="706"/>
      <c r="X18" s="1353"/>
      <c r="Y18" s="3784"/>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91"/>
      <c r="Q19" s="1350" t="str">
        <f>B19</f>
        <v>公共配套设施</v>
      </c>
      <c r="R19" s="705" t="s">
        <v>14</v>
      </c>
      <c r="S19" s="706">
        <f>F19</f>
        <v>100</v>
      </c>
      <c r="T19" s="705" t="s">
        <v>14</v>
      </c>
      <c r="U19" s="706">
        <f>H19</f>
        <v>100</v>
      </c>
      <c r="V19" s="705" t="s">
        <v>14</v>
      </c>
      <c r="W19" s="706">
        <f>J19</f>
        <v>100</v>
      </c>
      <c r="X19" s="1353"/>
      <c r="Y19" s="3784"/>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2717"/>
      <c r="M20" s="2711"/>
      <c r="N20" s="2711"/>
      <c r="O20" s="2711"/>
      <c r="P20" s="3791"/>
      <c r="Q20" s="1350"/>
      <c r="R20" s="705"/>
      <c r="S20" s="706"/>
      <c r="T20" s="705"/>
      <c r="U20" s="706"/>
      <c r="V20" s="705"/>
      <c r="W20" s="706"/>
      <c r="X20" s="1353"/>
      <c r="Y20" s="3784"/>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91"/>
      <c r="Q21" s="1350" t="str">
        <f>B21</f>
        <v>基础设施水平</v>
      </c>
      <c r="R21" s="705" t="s">
        <v>14</v>
      </c>
      <c r="S21" s="706">
        <f>F21</f>
        <v>100</v>
      </c>
      <c r="T21" s="705" t="s">
        <v>14</v>
      </c>
      <c r="U21" s="706">
        <f>H21</f>
        <v>100</v>
      </c>
      <c r="V21" s="705" t="s">
        <v>14</v>
      </c>
      <c r="W21" s="706">
        <f>J21</f>
        <v>100</v>
      </c>
      <c r="X21" s="1353"/>
      <c r="Y21" s="3784"/>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2717"/>
      <c r="M22" s="2711"/>
      <c r="N22" s="2711"/>
      <c r="O22" s="2711"/>
      <c r="P22" s="3791"/>
      <c r="Q22" s="1350"/>
      <c r="R22" s="705"/>
      <c r="S22" s="706"/>
      <c r="T22" s="705"/>
      <c r="U22" s="706"/>
      <c r="V22" s="705"/>
      <c r="W22" s="706"/>
      <c r="X22" s="1353"/>
      <c r="Y22" s="3784"/>
      <c r="Z22" s="1354"/>
      <c r="AA22" s="1351">
        <v>1</v>
      </c>
      <c r="AB22" s="1351">
        <v>1</v>
      </c>
      <c r="AC22" s="1351">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91"/>
      <c r="Q23" s="1350" t="str">
        <f>B23</f>
        <v>自然及人文环境</v>
      </c>
      <c r="R23" s="705" t="s">
        <v>14</v>
      </c>
      <c r="S23" s="706">
        <f>F23</f>
        <v>100</v>
      </c>
      <c r="T23" s="705" t="s">
        <v>14</v>
      </c>
      <c r="U23" s="706">
        <f>H23</f>
        <v>100</v>
      </c>
      <c r="V23" s="705" t="s">
        <v>14</v>
      </c>
      <c r="W23" s="706">
        <f>J23</f>
        <v>100</v>
      </c>
      <c r="X23" s="1353"/>
      <c r="Y23" s="3784"/>
      <c r="Z23" s="1354" t="str">
        <f>Q23</f>
        <v>自然及人文环境</v>
      </c>
      <c r="AA23" s="1351">
        <f t="shared" si="3"/>
        <v>1</v>
      </c>
      <c r="AB23" s="1351">
        <f t="shared" si="4"/>
        <v>1</v>
      </c>
      <c r="AC23" s="1351">
        <f t="shared" si="5"/>
        <v>1</v>
      </c>
    </row>
    <row r="24" spans="1:29" ht="15">
      <c r="A24" s="379"/>
      <c r="B24" s="407"/>
      <c r="C24" s="398"/>
      <c r="D24" s="399"/>
      <c r="E24" s="1895"/>
      <c r="F24" s="400"/>
      <c r="G24" s="1894"/>
      <c r="H24" s="399"/>
      <c r="I24" s="1895"/>
      <c r="J24" s="399"/>
      <c r="K24" s="564"/>
      <c r="L24" s="2717"/>
      <c r="M24" s="2711"/>
      <c r="N24" s="2711"/>
      <c r="O24" s="2711"/>
      <c r="P24" s="3791"/>
      <c r="Q24" s="1350"/>
      <c r="R24" s="705"/>
      <c r="S24" s="706"/>
      <c r="T24" s="705"/>
      <c r="U24" s="706"/>
      <c r="V24" s="705"/>
      <c r="W24" s="706"/>
      <c r="X24" s="1353"/>
      <c r="Y24" s="378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91"/>
      <c r="Q25" s="1350" t="str">
        <f t="shared" ref="Q25:Q46" si="11">B25</f>
        <v>临街状况</v>
      </c>
      <c r="R25" s="705" t="s">
        <v>14</v>
      </c>
      <c r="S25" s="706">
        <f>F25</f>
        <v>100</v>
      </c>
      <c r="T25" s="705" t="s">
        <v>14</v>
      </c>
      <c r="U25" s="706">
        <f>H25</f>
        <v>100</v>
      </c>
      <c r="V25" s="705" t="s">
        <v>14</v>
      </c>
      <c r="W25" s="706">
        <f>J25</f>
        <v>100</v>
      </c>
      <c r="X25" s="1353"/>
      <c r="Y25" s="378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91"/>
      <c r="Q26" s="1350" t="str">
        <f t="shared" si="11"/>
        <v>平面位置/可视性</v>
      </c>
      <c r="R26" s="705" t="s">
        <v>14</v>
      </c>
      <c r="S26" s="706">
        <f>F26</f>
        <v>100</v>
      </c>
      <c r="T26" s="705" t="s">
        <v>14</v>
      </c>
      <c r="U26" s="706">
        <f>H26</f>
        <v>100</v>
      </c>
      <c r="V26" s="705" t="s">
        <v>14</v>
      </c>
      <c r="W26" s="706">
        <f>J26</f>
        <v>100</v>
      </c>
      <c r="X26" s="1353"/>
      <c r="Y26" s="3784"/>
      <c r="Z26" s="1354" t="str">
        <f>Q26</f>
        <v>平面位置/可视性</v>
      </c>
      <c r="AA26" s="1351">
        <f t="shared" si="3"/>
        <v>1</v>
      </c>
      <c r="AB26" s="1351">
        <f t="shared" si="4"/>
        <v>1</v>
      </c>
      <c r="AC26" s="1351">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91"/>
      <c r="Q27" s="1341" t="str">
        <f t="shared" si="11"/>
        <v>人流量</v>
      </c>
      <c r="R27" s="701" t="s">
        <v>14</v>
      </c>
      <c r="S27" s="702">
        <f>F27</f>
        <v>100</v>
      </c>
      <c r="T27" s="701" t="s">
        <v>14</v>
      </c>
      <c r="U27" s="702">
        <f>H27</f>
        <v>100</v>
      </c>
      <c r="V27" s="701" t="s">
        <v>14</v>
      </c>
      <c r="W27" s="702">
        <f>J27</f>
        <v>100</v>
      </c>
      <c r="X27" s="703"/>
      <c r="Y27" s="378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91"/>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8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91"/>
      <c r="Q29" s="1350">
        <f t="shared" si="11"/>
        <v>111</v>
      </c>
      <c r="R29" s="705" t="s">
        <v>14</v>
      </c>
      <c r="S29" s="706">
        <f t="shared" si="12"/>
        <v>100</v>
      </c>
      <c r="T29" s="705" t="s">
        <v>14</v>
      </c>
      <c r="U29" s="706">
        <f t="shared" si="13"/>
        <v>100</v>
      </c>
      <c r="V29" s="705" t="s">
        <v>14</v>
      </c>
      <c r="W29" s="706">
        <f t="shared" si="14"/>
        <v>100</v>
      </c>
      <c r="X29" s="1353"/>
      <c r="Y29" s="378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91"/>
      <c r="Q30" s="1350">
        <f t="shared" si="11"/>
        <v>111</v>
      </c>
      <c r="R30" s="705" t="s">
        <v>14</v>
      </c>
      <c r="S30" s="706">
        <f t="shared" si="12"/>
        <v>100</v>
      </c>
      <c r="T30" s="705" t="s">
        <v>14</v>
      </c>
      <c r="U30" s="706">
        <f t="shared" si="13"/>
        <v>100</v>
      </c>
      <c r="V30" s="705" t="s">
        <v>14</v>
      </c>
      <c r="W30" s="706">
        <f t="shared" si="14"/>
        <v>100</v>
      </c>
      <c r="X30" s="1353"/>
      <c r="Y30" s="378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91"/>
      <c r="Q31" s="1350">
        <f t="shared" si="11"/>
        <v>111</v>
      </c>
      <c r="R31" s="705" t="s">
        <v>14</v>
      </c>
      <c r="S31" s="706">
        <f t="shared" si="12"/>
        <v>100</v>
      </c>
      <c r="T31" s="705" t="s">
        <v>14</v>
      </c>
      <c r="U31" s="706">
        <f t="shared" si="13"/>
        <v>100</v>
      </c>
      <c r="V31" s="705" t="s">
        <v>14</v>
      </c>
      <c r="W31" s="706">
        <f t="shared" si="14"/>
        <v>100</v>
      </c>
      <c r="X31" s="1353"/>
      <c r="Y31" s="3784"/>
      <c r="Z31" s="1354">
        <f t="shared" si="15"/>
        <v>111</v>
      </c>
      <c r="AA31" s="1351">
        <f t="shared" si="3"/>
        <v>1</v>
      </c>
      <c r="AB31" s="1351">
        <f t="shared" si="4"/>
        <v>1</v>
      </c>
      <c r="AC31" s="1351">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785" t="s">
        <v>1696</v>
      </c>
      <c r="Q32" s="1350" t="str">
        <f t="shared" si="11"/>
        <v>商业类型</v>
      </c>
      <c r="R32" s="705" t="s">
        <v>14</v>
      </c>
      <c r="S32" s="706">
        <f t="shared" si="12"/>
        <v>100</v>
      </c>
      <c r="T32" s="705" t="s">
        <v>14</v>
      </c>
      <c r="U32" s="706">
        <f t="shared" si="13"/>
        <v>100</v>
      </c>
      <c r="V32" s="705" t="s">
        <v>14</v>
      </c>
      <c r="W32" s="706">
        <f t="shared" si="14"/>
        <v>100</v>
      </c>
      <c r="X32" s="1353"/>
      <c r="Y32" s="378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86"/>
      <c r="Q33" s="707" t="str">
        <f t="shared" si="11"/>
        <v>项目建筑规模</v>
      </c>
      <c r="R33" s="708" t="s">
        <v>14</v>
      </c>
      <c r="S33" s="709" t="e">
        <f t="shared" si="12"/>
        <v>#N/A</v>
      </c>
      <c r="T33" s="708" t="s">
        <v>14</v>
      </c>
      <c r="U33" s="709" t="e">
        <f t="shared" si="13"/>
        <v>#N/A</v>
      </c>
      <c r="V33" s="708" t="s">
        <v>14</v>
      </c>
      <c r="W33" s="709" t="e">
        <f t="shared" si="14"/>
        <v>#N/A</v>
      </c>
      <c r="X33" s="710"/>
      <c r="Y33" s="3788"/>
      <c r="Z33" s="711" t="str">
        <f t="shared" si="15"/>
        <v>项目建筑规模</v>
      </c>
      <c r="AA33" s="1351" t="e">
        <f t="shared" si="3"/>
        <v>#N/A</v>
      </c>
      <c r="AB33" s="1351" t="e">
        <f t="shared" si="4"/>
        <v>#N/A</v>
      </c>
      <c r="AC33" s="1351"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86"/>
      <c r="Q34" s="1350" t="str">
        <f t="shared" si="11"/>
        <v>建筑结构</v>
      </c>
      <c r="R34" s="705" t="s">
        <v>14</v>
      </c>
      <c r="S34" s="706">
        <f t="shared" si="12"/>
        <v>100</v>
      </c>
      <c r="T34" s="705" t="s">
        <v>14</v>
      </c>
      <c r="U34" s="706">
        <f t="shared" si="13"/>
        <v>100</v>
      </c>
      <c r="V34" s="705" t="s">
        <v>14</v>
      </c>
      <c r="W34" s="706">
        <f t="shared" si="14"/>
        <v>100</v>
      </c>
      <c r="X34" s="1353"/>
      <c r="Y34" s="3788"/>
      <c r="Z34" s="1354" t="str">
        <f t="shared" si="15"/>
        <v>建筑结构</v>
      </c>
      <c r="AA34" s="1351">
        <f t="shared" si="3"/>
        <v>1</v>
      </c>
      <c r="AB34" s="1351">
        <f t="shared" si="4"/>
        <v>1</v>
      </c>
      <c r="AC34" s="1351">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786"/>
      <c r="Q35" s="1350" t="str">
        <f t="shared" si="11"/>
        <v>公共部分装修</v>
      </c>
      <c r="R35" s="705" t="s">
        <v>14</v>
      </c>
      <c r="S35" s="706">
        <f t="shared" si="12"/>
        <v>100</v>
      </c>
      <c r="T35" s="705" t="s">
        <v>14</v>
      </c>
      <c r="U35" s="706">
        <f t="shared" si="13"/>
        <v>100</v>
      </c>
      <c r="V35" s="705" t="s">
        <v>14</v>
      </c>
      <c r="W35" s="706">
        <f t="shared" si="14"/>
        <v>100</v>
      </c>
      <c r="X35" s="1353"/>
      <c r="Y35" s="378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86"/>
      <c r="Q36" s="1350" t="str">
        <f t="shared" si="11"/>
        <v>成新度</v>
      </c>
      <c r="R36" s="705" t="s">
        <v>14</v>
      </c>
      <c r="S36" s="706" t="e">
        <f t="shared" si="12"/>
        <v>#N/A</v>
      </c>
      <c r="T36" s="705" t="s">
        <v>14</v>
      </c>
      <c r="U36" s="706" t="e">
        <f t="shared" si="13"/>
        <v>#N/A</v>
      </c>
      <c r="V36" s="705" t="s">
        <v>14</v>
      </c>
      <c r="W36" s="706" t="e">
        <f t="shared" si="14"/>
        <v>#N/A</v>
      </c>
      <c r="X36" s="1353"/>
      <c r="Y36" s="3788"/>
      <c r="Z36" s="1354" t="str">
        <f t="shared" si="15"/>
        <v>成新度</v>
      </c>
      <c r="AA36" s="1351" t="e">
        <f t="shared" si="3"/>
        <v>#N/A</v>
      </c>
      <c r="AB36" s="1351" t="e">
        <f t="shared" si="4"/>
        <v>#N/A</v>
      </c>
      <c r="AC36" s="1351"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786"/>
      <c r="Q37" s="1341" t="str">
        <f t="shared" si="11"/>
        <v>市政基础设施</v>
      </c>
      <c r="R37" s="701" t="s">
        <v>14</v>
      </c>
      <c r="S37" s="702">
        <f t="shared" si="12"/>
        <v>100</v>
      </c>
      <c r="T37" s="701" t="s">
        <v>14</v>
      </c>
      <c r="U37" s="702">
        <f t="shared" si="13"/>
        <v>100</v>
      </c>
      <c r="V37" s="701" t="s">
        <v>14</v>
      </c>
      <c r="W37" s="702">
        <f t="shared" si="14"/>
        <v>100</v>
      </c>
      <c r="X37" s="703"/>
      <c r="Y37" s="3788"/>
      <c r="Z37" s="52" t="str">
        <f t="shared" si="15"/>
        <v>市政基础设施</v>
      </c>
      <c r="AA37" s="704">
        <f t="shared" si="3"/>
        <v>1</v>
      </c>
      <c r="AB37" s="704">
        <f t="shared" si="4"/>
        <v>1</v>
      </c>
      <c r="AC37" s="704">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786" t="s">
        <v>1696</v>
      </c>
      <c r="Q38" s="1350" t="str">
        <f t="shared" si="11"/>
        <v>业态</v>
      </c>
      <c r="R38" s="705" t="s">
        <v>14</v>
      </c>
      <c r="S38" s="706">
        <f t="shared" si="12"/>
        <v>100</v>
      </c>
      <c r="T38" s="705" t="s">
        <v>14</v>
      </c>
      <c r="U38" s="706">
        <f t="shared" si="13"/>
        <v>100</v>
      </c>
      <c r="V38" s="705" t="s">
        <v>14</v>
      </c>
      <c r="W38" s="706">
        <f t="shared" si="14"/>
        <v>100</v>
      </c>
      <c r="X38" s="1353"/>
      <c r="Y38" s="3788" t="s">
        <v>1696</v>
      </c>
      <c r="Z38" s="1354" t="str">
        <f t="shared" si="15"/>
        <v>业态</v>
      </c>
      <c r="AA38" s="1351">
        <f t="shared" si="3"/>
        <v>1</v>
      </c>
      <c r="AB38" s="1351">
        <f t="shared" si="4"/>
        <v>1</v>
      </c>
      <c r="AC38" s="1351">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786"/>
      <c r="Q39" s="1350" t="str">
        <f t="shared" si="11"/>
        <v>层高</v>
      </c>
      <c r="R39" s="705" t="s">
        <v>14</v>
      </c>
      <c r="S39" s="706">
        <f t="shared" si="12"/>
        <v>100</v>
      </c>
      <c r="T39" s="705" t="s">
        <v>14</v>
      </c>
      <c r="U39" s="706">
        <f t="shared" si="13"/>
        <v>100</v>
      </c>
      <c r="V39" s="705" t="s">
        <v>14</v>
      </c>
      <c r="W39" s="706">
        <f t="shared" si="14"/>
        <v>100</v>
      </c>
      <c r="X39" s="1353"/>
      <c r="Y39" s="378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6"/>
      <c r="Q40" s="1350" t="str">
        <f t="shared" si="11"/>
        <v>单套建筑面积</v>
      </c>
      <c r="R40" s="705" t="s">
        <v>14</v>
      </c>
      <c r="S40" s="706">
        <f t="shared" si="12"/>
        <v>100</v>
      </c>
      <c r="T40" s="705" t="s">
        <v>14</v>
      </c>
      <c r="U40" s="706">
        <f t="shared" si="13"/>
        <v>100</v>
      </c>
      <c r="V40" s="705" t="s">
        <v>14</v>
      </c>
      <c r="W40" s="706">
        <f t="shared" si="14"/>
        <v>100</v>
      </c>
      <c r="X40" s="1353"/>
      <c r="Y40" s="378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6"/>
      <c r="Q41" s="707" t="str">
        <f t="shared" si="11"/>
        <v>进深比</v>
      </c>
      <c r="R41" s="708" t="s">
        <v>14</v>
      </c>
      <c r="S41" s="709">
        <f t="shared" si="12"/>
        <v>100</v>
      </c>
      <c r="T41" s="708" t="s">
        <v>14</v>
      </c>
      <c r="U41" s="709">
        <f t="shared" si="13"/>
        <v>100</v>
      </c>
      <c r="V41" s="708" t="s">
        <v>14</v>
      </c>
      <c r="W41" s="709">
        <f t="shared" si="14"/>
        <v>100</v>
      </c>
      <c r="X41" s="710"/>
      <c r="Y41" s="3788"/>
      <c r="Z41" s="711" t="str">
        <f t="shared" si="15"/>
        <v>进深比</v>
      </c>
      <c r="AA41" s="1351">
        <f t="shared" si="3"/>
        <v>1</v>
      </c>
      <c r="AB41" s="1351">
        <f t="shared" si="4"/>
        <v>1</v>
      </c>
      <c r="AC41" s="1351">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786"/>
      <c r="Q42" s="1350" t="str">
        <f t="shared" si="11"/>
        <v>内部装修</v>
      </c>
      <c r="R42" s="705" t="s">
        <v>14</v>
      </c>
      <c r="S42" s="706">
        <f t="shared" si="12"/>
        <v>100</v>
      </c>
      <c r="T42" s="705" t="s">
        <v>14</v>
      </c>
      <c r="U42" s="706">
        <f t="shared" si="13"/>
        <v>100</v>
      </c>
      <c r="V42" s="705" t="s">
        <v>14</v>
      </c>
      <c r="W42" s="706">
        <f t="shared" si="14"/>
        <v>100</v>
      </c>
      <c r="X42" s="1353"/>
      <c r="Y42" s="3788"/>
      <c r="Z42" s="1354" t="str">
        <f t="shared" si="15"/>
        <v>内部装修</v>
      </c>
      <c r="AA42" s="1351">
        <f t="shared" si="3"/>
        <v>1</v>
      </c>
      <c r="AB42" s="1351">
        <f t="shared" si="4"/>
        <v>1</v>
      </c>
      <c r="AC42" s="1351">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786"/>
      <c r="Q43" s="1350" t="str">
        <f t="shared" si="11"/>
        <v>内部装修维护情况</v>
      </c>
      <c r="R43" s="705" t="s">
        <v>14</v>
      </c>
      <c r="S43" s="706">
        <f t="shared" si="12"/>
        <v>100</v>
      </c>
      <c r="T43" s="705" t="s">
        <v>14</v>
      </c>
      <c r="U43" s="706">
        <f t="shared" si="13"/>
        <v>100</v>
      </c>
      <c r="V43" s="705" t="s">
        <v>14</v>
      </c>
      <c r="W43" s="706">
        <f t="shared" si="14"/>
        <v>100</v>
      </c>
      <c r="X43" s="1353"/>
      <c r="Y43" s="378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6"/>
      <c r="Q44" s="1341">
        <f t="shared" si="11"/>
        <v>111</v>
      </c>
      <c r="R44" s="701" t="s">
        <v>14</v>
      </c>
      <c r="S44" s="702">
        <f t="shared" si="12"/>
        <v>100</v>
      </c>
      <c r="T44" s="701" t="s">
        <v>14</v>
      </c>
      <c r="U44" s="702">
        <f t="shared" si="13"/>
        <v>100</v>
      </c>
      <c r="V44" s="701" t="s">
        <v>14</v>
      </c>
      <c r="W44" s="702">
        <f t="shared" si="14"/>
        <v>100</v>
      </c>
      <c r="X44" s="703"/>
      <c r="Y44" s="378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6"/>
      <c r="Q45" s="1350">
        <f t="shared" si="11"/>
        <v>111</v>
      </c>
      <c r="R45" s="705" t="s">
        <v>14</v>
      </c>
      <c r="S45" s="706">
        <f t="shared" si="12"/>
        <v>100</v>
      </c>
      <c r="T45" s="705" t="s">
        <v>14</v>
      </c>
      <c r="U45" s="706">
        <f t="shared" si="13"/>
        <v>100</v>
      </c>
      <c r="V45" s="705" t="s">
        <v>14</v>
      </c>
      <c r="W45" s="706">
        <f t="shared" si="14"/>
        <v>100</v>
      </c>
      <c r="X45" s="1353"/>
      <c r="Y45" s="3788"/>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7"/>
      <c r="Q46" s="1350">
        <f t="shared" si="11"/>
        <v>111</v>
      </c>
      <c r="R46" s="705" t="s">
        <v>14</v>
      </c>
      <c r="S46" s="706">
        <f t="shared" si="12"/>
        <v>100</v>
      </c>
      <c r="T46" s="705" t="s">
        <v>14</v>
      </c>
      <c r="U46" s="706">
        <f t="shared" si="13"/>
        <v>100</v>
      </c>
      <c r="V46" s="705" t="s">
        <v>14</v>
      </c>
      <c r="W46" s="706">
        <f t="shared" si="14"/>
        <v>100</v>
      </c>
      <c r="X46" s="1353"/>
      <c r="Y46" s="3789"/>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19"/>
      <c r="M47" s="2720"/>
      <c r="N47" s="2711"/>
      <c r="O47" s="2720"/>
      <c r="P47" s="3781" t="str">
        <f>A47</f>
        <v>成交单价（元/平方米）</v>
      </c>
      <c r="Q47" s="3781"/>
      <c r="R47" s="3812">
        <f>E47</f>
        <v>0</v>
      </c>
      <c r="S47" s="3812"/>
      <c r="T47" s="3812">
        <f>G47</f>
        <v>0</v>
      </c>
      <c r="U47" s="3812"/>
      <c r="V47" s="3812">
        <f>I47</f>
        <v>0</v>
      </c>
      <c r="W47" s="3812"/>
      <c r="X47" s="690"/>
      <c r="Y47" s="712"/>
      <c r="Z47" s="690"/>
      <c r="AA47" s="690"/>
      <c r="AB47" s="690"/>
      <c r="AC47" s="690"/>
    </row>
    <row r="48" spans="1:29" ht="15.75" thickBot="1">
      <c r="A48" s="437" t="s">
        <v>1793</v>
      </c>
      <c r="B48" s="438"/>
      <c r="C48" s="1159" t="e">
        <f>R49</f>
        <v>#DIV/0!</v>
      </c>
      <c r="D48" s="2312" t="s">
        <v>2136</v>
      </c>
      <c r="E48" s="1160" t="e">
        <f>R48</f>
        <v>#DIV/0!</v>
      </c>
      <c r="F48" s="2313"/>
      <c r="G48" s="1159" t="e">
        <f>T48</f>
        <v>#DIV/0!</v>
      </c>
      <c r="H48" s="2313"/>
      <c r="I48" s="1160" t="e">
        <f>V48</f>
        <v>#DIV/0!</v>
      </c>
      <c r="J48" s="2313"/>
      <c r="K48" s="2315">
        <f>F48+H48+J48</f>
        <v>0</v>
      </c>
      <c r="L48" s="2719"/>
      <c r="M48" s="2720"/>
      <c r="N48" s="2711"/>
      <c r="O48" s="2720"/>
      <c r="P48" s="3781" t="str">
        <f>A48</f>
        <v>比较价值（元/平方米）</v>
      </c>
      <c r="Q48" s="3781"/>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9"/>
      <c r="M49" s="2720"/>
      <c r="N49" s="2711"/>
      <c r="O49" s="2720"/>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2" t="str">
        <f>YEAR(C7)&amp;"-"&amp;MONTH(C7)</f>
        <v>2023-7</v>
      </c>
      <c r="D58" s="1183">
        <f>EDATE(C58,-1)</f>
        <v>45078</v>
      </c>
      <c r="E58" s="1183">
        <f t="shared" ref="E58:N58" si="16">EDATE(D58,-1)</f>
        <v>45047</v>
      </c>
      <c r="F58" s="1183">
        <f t="shared" si="16"/>
        <v>45017</v>
      </c>
      <c r="G58" s="1183">
        <f t="shared" si="16"/>
        <v>44986</v>
      </c>
      <c r="H58" s="1183">
        <f t="shared" si="16"/>
        <v>44958</v>
      </c>
      <c r="I58" s="1183">
        <f t="shared" si="16"/>
        <v>44927</v>
      </c>
      <c r="J58" s="1183">
        <f t="shared" si="16"/>
        <v>44896</v>
      </c>
      <c r="K58" s="1183">
        <f t="shared" si="16"/>
        <v>44866</v>
      </c>
      <c r="L58" s="1183">
        <f t="shared" si="16"/>
        <v>44835</v>
      </c>
      <c r="M58" s="1183">
        <f t="shared" si="16"/>
        <v>44805</v>
      </c>
      <c r="N58" s="1183">
        <f t="shared" si="16"/>
        <v>44774</v>
      </c>
      <c r="O58" s="1183">
        <f>EDATE(N58,-1)</f>
        <v>44743</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2" t="s">
        <v>1810</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176.25</v>
      </c>
      <c r="E3" s="1949"/>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96" t="s">
        <v>1770</v>
      </c>
      <c r="D4" s="3797"/>
      <c r="E4" s="3798" t="s">
        <v>1771</v>
      </c>
      <c r="F4" s="3799"/>
      <c r="G4" s="3796" t="s">
        <v>1772</v>
      </c>
      <c r="H4" s="3797"/>
      <c r="I4" s="3796" t="s">
        <v>1773</v>
      </c>
      <c r="J4" s="3797"/>
      <c r="K4" s="559" t="s">
        <v>1774</v>
      </c>
      <c r="L4" s="2710"/>
      <c r="M4" s="2711"/>
      <c r="N4" s="2711"/>
      <c r="O4" s="2711"/>
      <c r="P4" s="3863" t="s">
        <v>1775</v>
      </c>
      <c r="Q4" s="3864"/>
      <c r="R4" s="3867" t="s">
        <v>1771</v>
      </c>
      <c r="S4" s="3868"/>
      <c r="T4" s="3867" t="s">
        <v>1772</v>
      </c>
      <c r="U4" s="3868"/>
      <c r="V4" s="3869" t="s">
        <v>1773</v>
      </c>
      <c r="W4" s="3869"/>
      <c r="X4" s="1953"/>
      <c r="Y4" s="3867" t="s">
        <v>1775</v>
      </c>
      <c r="Z4" s="3868"/>
      <c r="AA4" s="3871" t="s">
        <v>1771</v>
      </c>
      <c r="AB4" s="3871" t="s">
        <v>1772</v>
      </c>
      <c r="AC4" s="3860" t="s">
        <v>1773</v>
      </c>
    </row>
    <row r="5" spans="1:29" ht="15">
      <c r="A5" s="358"/>
      <c r="B5" s="359"/>
      <c r="C5" s="3815" t="s">
        <v>1673</v>
      </c>
      <c r="D5" s="3816"/>
      <c r="E5" s="3822" t="s">
        <v>1674</v>
      </c>
      <c r="F5" s="3823"/>
      <c r="G5" s="3815" t="s">
        <v>1675</v>
      </c>
      <c r="H5" s="3816"/>
      <c r="I5" s="3815" t="s">
        <v>1676</v>
      </c>
      <c r="J5" s="3816"/>
      <c r="K5" s="559"/>
      <c r="L5" s="2710"/>
      <c r="M5" s="2711"/>
      <c r="N5" s="2711"/>
      <c r="O5" s="2711"/>
      <c r="P5" s="3865"/>
      <c r="Q5" s="3803"/>
      <c r="R5" s="3808"/>
      <c r="S5" s="3809"/>
      <c r="T5" s="3808"/>
      <c r="U5" s="3809"/>
      <c r="V5" s="3812"/>
      <c r="W5" s="3812"/>
      <c r="X5" s="1353"/>
      <c r="Y5" s="3808"/>
      <c r="Z5" s="3809"/>
      <c r="AA5" s="3794"/>
      <c r="AB5" s="3794"/>
      <c r="AC5" s="3861"/>
    </row>
    <row r="6" spans="1:29" ht="15.75" thickBot="1">
      <c r="A6" s="360"/>
      <c r="B6" s="361"/>
      <c r="C6" s="3813" t="s">
        <v>1677</v>
      </c>
      <c r="D6" s="3814"/>
      <c r="E6" s="3820" t="s">
        <v>1677</v>
      </c>
      <c r="F6" s="3821"/>
      <c r="G6" s="3813" t="s">
        <v>1677</v>
      </c>
      <c r="H6" s="3814"/>
      <c r="I6" s="3813" t="s">
        <v>1677</v>
      </c>
      <c r="J6" s="3814"/>
      <c r="K6" s="559" t="s">
        <v>1678</v>
      </c>
      <c r="L6" s="2710"/>
      <c r="M6" s="2711"/>
      <c r="N6" s="2711"/>
      <c r="O6" s="2711"/>
      <c r="P6" s="3866"/>
      <c r="Q6" s="3805"/>
      <c r="R6" s="3808"/>
      <c r="S6" s="3809"/>
      <c r="T6" s="3810"/>
      <c r="U6" s="3811"/>
      <c r="V6" s="3812"/>
      <c r="W6" s="3812"/>
      <c r="X6" s="1353"/>
      <c r="Y6" s="3810"/>
      <c r="Z6" s="3811"/>
      <c r="AA6" s="3795"/>
      <c r="AB6" s="3795"/>
      <c r="AC6" s="3862"/>
    </row>
    <row r="7" spans="1:29" s="108" customFormat="1" ht="15.75" thickBot="1">
      <c r="A7" s="362" t="s">
        <v>1679</v>
      </c>
      <c r="B7" s="363"/>
      <c r="C7" s="364">
        <f>'数据-取费表'!B2</f>
        <v>45126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70" t="s">
        <v>1680</v>
      </c>
      <c r="Q7" s="3819"/>
      <c r="R7" s="701" t="s">
        <v>14</v>
      </c>
      <c r="S7" s="702">
        <f t="shared" ref="S7:S15" si="0">F7</f>
        <v>0</v>
      </c>
      <c r="T7" s="701" t="s">
        <v>14</v>
      </c>
      <c r="U7" s="702">
        <f t="shared" ref="U7:U15" si="1">H7</f>
        <v>0</v>
      </c>
      <c r="V7" s="701" t="s">
        <v>14</v>
      </c>
      <c r="W7" s="702">
        <f t="shared" ref="W7:W15" si="2">J7</f>
        <v>0</v>
      </c>
      <c r="X7" s="703"/>
      <c r="Y7" s="3817" t="s">
        <v>1680</v>
      </c>
      <c r="Z7" s="3818"/>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70" t="s">
        <v>1683</v>
      </c>
      <c r="Q8" s="3818"/>
      <c r="R8" s="701" t="s">
        <v>14</v>
      </c>
      <c r="S8" s="702">
        <f t="shared" si="0"/>
        <v>100</v>
      </c>
      <c r="T8" s="701" t="s">
        <v>14</v>
      </c>
      <c r="U8" s="702">
        <f t="shared" si="1"/>
        <v>100</v>
      </c>
      <c r="V8" s="701" t="s">
        <v>14</v>
      </c>
      <c r="W8" s="702">
        <f t="shared" si="2"/>
        <v>100</v>
      </c>
      <c r="X8" s="703"/>
      <c r="Y8" s="3817" t="s">
        <v>1683</v>
      </c>
      <c r="Z8" s="3818"/>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92" t="s">
        <v>1686</v>
      </c>
      <c r="Q9" s="1341"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1954">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92"/>
      <c r="Q10" s="1341"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92"/>
      <c r="Q11" s="1341"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1954">
        <f t="shared" si="5"/>
        <v>1</v>
      </c>
    </row>
    <row r="12" spans="1:29" s="108" customFormat="1" ht="15">
      <c r="A12" s="382"/>
      <c r="B12" s="1890">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92"/>
      <c r="Q12" s="1341">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1954">
        <f>D12/J12</f>
        <v>1</v>
      </c>
    </row>
    <row r="13" spans="1:29" ht="15">
      <c r="A13" s="379"/>
      <c r="B13" s="1890">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92"/>
      <c r="Q13" s="1341">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1954">
        <f t="shared" si="5"/>
        <v>1</v>
      </c>
    </row>
    <row r="14" spans="1:29" ht="15.75" thickBot="1">
      <c r="A14" s="387"/>
      <c r="B14" s="1892">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92"/>
      <c r="Q14" s="1341">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90" t="s">
        <v>1691</v>
      </c>
      <c r="Q15" s="1350" t="str">
        <f t="shared" si="6"/>
        <v>办公集聚程度</v>
      </c>
      <c r="R15" s="705" t="s">
        <v>14</v>
      </c>
      <c r="S15" s="706">
        <f t="shared" si="0"/>
        <v>100</v>
      </c>
      <c r="T15" s="705" t="s">
        <v>14</v>
      </c>
      <c r="U15" s="706">
        <f t="shared" si="1"/>
        <v>100</v>
      </c>
      <c r="V15" s="705" t="s">
        <v>14</v>
      </c>
      <c r="W15" s="706">
        <f t="shared" si="2"/>
        <v>100</v>
      </c>
      <c r="X15" s="1353"/>
      <c r="Y15" s="3783" t="s">
        <v>1691</v>
      </c>
      <c r="Z15" s="1354" t="str">
        <f t="shared" si="7"/>
        <v>办公集聚程度</v>
      </c>
      <c r="AA15" s="1351">
        <f t="shared" si="3"/>
        <v>1</v>
      </c>
      <c r="AB15" s="1351">
        <f t="shared" si="4"/>
        <v>1</v>
      </c>
      <c r="AC15" s="1957">
        <f t="shared" si="5"/>
        <v>1</v>
      </c>
    </row>
    <row r="16" spans="1:29" ht="15">
      <c r="A16" s="379"/>
      <c r="B16" s="578"/>
      <c r="C16" s="1901"/>
      <c r="D16" s="399"/>
      <c r="E16" s="398"/>
      <c r="F16" s="399"/>
      <c r="G16" s="1901"/>
      <c r="H16" s="401"/>
      <c r="I16" s="398"/>
      <c r="J16" s="399"/>
      <c r="K16" s="564"/>
      <c r="L16" s="2717"/>
      <c r="M16" s="2711"/>
      <c r="N16" s="2711"/>
      <c r="O16" s="2711"/>
      <c r="P16" s="3791"/>
      <c r="Q16" s="1350"/>
      <c r="R16" s="705"/>
      <c r="S16" s="706"/>
      <c r="T16" s="705"/>
      <c r="U16" s="706"/>
      <c r="V16" s="705"/>
      <c r="W16" s="706"/>
      <c r="X16" s="1353"/>
      <c r="Y16" s="3784"/>
      <c r="Z16" s="1354"/>
      <c r="AA16" s="1351">
        <v>1</v>
      </c>
      <c r="AB16" s="1351">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91"/>
      <c r="Q17" s="1350" t="str">
        <f>B17</f>
        <v>交通便捷度</v>
      </c>
      <c r="R17" s="705" t="s">
        <v>14</v>
      </c>
      <c r="S17" s="706">
        <f>F17</f>
        <v>100</v>
      </c>
      <c r="T17" s="705" t="s">
        <v>14</v>
      </c>
      <c r="U17" s="706">
        <f>H17</f>
        <v>100</v>
      </c>
      <c r="V17" s="705" t="s">
        <v>14</v>
      </c>
      <c r="W17" s="706">
        <f>J17</f>
        <v>100</v>
      </c>
      <c r="X17" s="1353"/>
      <c r="Y17" s="3784"/>
      <c r="Z17" s="1354" t="str">
        <f>Q17</f>
        <v>交通便捷度</v>
      </c>
      <c r="AA17" s="1351">
        <f t="shared" si="3"/>
        <v>1</v>
      </c>
      <c r="AB17" s="1351">
        <f t="shared" si="4"/>
        <v>1</v>
      </c>
      <c r="AC17" s="1957">
        <f t="shared" si="5"/>
        <v>1</v>
      </c>
    </row>
    <row r="18" spans="1:29" ht="15">
      <c r="A18" s="379"/>
      <c r="B18" s="580"/>
      <c r="C18" s="1959"/>
      <c r="D18" s="401"/>
      <c r="E18" s="1899"/>
      <c r="F18" s="401"/>
      <c r="G18" s="1900"/>
      <c r="H18" s="399"/>
      <c r="I18" s="1900"/>
      <c r="J18" s="399"/>
      <c r="K18" s="564"/>
      <c r="L18" s="2717"/>
      <c r="M18" s="2711"/>
      <c r="N18" s="2711"/>
      <c r="O18" s="2711"/>
      <c r="P18" s="3791"/>
      <c r="Q18" s="1350"/>
      <c r="R18" s="705"/>
      <c r="S18" s="706"/>
      <c r="T18" s="705"/>
      <c r="U18" s="706"/>
      <c r="V18" s="705"/>
      <c r="W18" s="706"/>
      <c r="X18" s="1353"/>
      <c r="Y18" s="3784"/>
      <c r="Z18" s="1354"/>
      <c r="AA18" s="1351">
        <v>1</v>
      </c>
      <c r="AB18" s="1351">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91"/>
      <c r="Q19" s="1350" t="str">
        <f>B19</f>
        <v>公共配套设施</v>
      </c>
      <c r="R19" s="705" t="s">
        <v>14</v>
      </c>
      <c r="S19" s="706">
        <f>F19</f>
        <v>100</v>
      </c>
      <c r="T19" s="705" t="s">
        <v>14</v>
      </c>
      <c r="U19" s="706">
        <f>H19</f>
        <v>100</v>
      </c>
      <c r="V19" s="705" t="s">
        <v>14</v>
      </c>
      <c r="W19" s="706">
        <f>J19</f>
        <v>100</v>
      </c>
      <c r="X19" s="1353"/>
      <c r="Y19" s="3784"/>
      <c r="Z19" s="1354" t="str">
        <f>Q19</f>
        <v>公共配套设施</v>
      </c>
      <c r="AA19" s="1351">
        <f t="shared" si="3"/>
        <v>1</v>
      </c>
      <c r="AB19" s="1351">
        <f t="shared" si="4"/>
        <v>1</v>
      </c>
      <c r="AC19" s="1957">
        <f t="shared" si="5"/>
        <v>1</v>
      </c>
    </row>
    <row r="20" spans="1:29" ht="15">
      <c r="A20" s="379"/>
      <c r="B20" s="580"/>
      <c r="C20" s="1901"/>
      <c r="D20" s="399"/>
      <c r="E20" s="1894"/>
      <c r="F20" s="399"/>
      <c r="G20" s="1895"/>
      <c r="H20" s="399"/>
      <c r="I20" s="1895"/>
      <c r="J20" s="399"/>
      <c r="K20" s="564"/>
      <c r="L20" s="2717"/>
      <c r="M20" s="2711"/>
      <c r="N20" s="2711"/>
      <c r="O20" s="2711"/>
      <c r="P20" s="3791"/>
      <c r="Q20" s="1350"/>
      <c r="R20" s="705"/>
      <c r="S20" s="706"/>
      <c r="T20" s="705"/>
      <c r="U20" s="706"/>
      <c r="V20" s="705"/>
      <c r="W20" s="706"/>
      <c r="X20" s="1353"/>
      <c r="Y20" s="3784"/>
      <c r="Z20" s="1354"/>
      <c r="AA20" s="1351">
        <v>1</v>
      </c>
      <c r="AB20" s="1351">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91"/>
      <c r="Q21" s="1350" t="str">
        <f>B21</f>
        <v>基础设施水平</v>
      </c>
      <c r="R21" s="705" t="s">
        <v>14</v>
      </c>
      <c r="S21" s="706">
        <f>F21</f>
        <v>100</v>
      </c>
      <c r="T21" s="705" t="s">
        <v>14</v>
      </c>
      <c r="U21" s="706">
        <f>H21</f>
        <v>100</v>
      </c>
      <c r="V21" s="705" t="s">
        <v>14</v>
      </c>
      <c r="W21" s="706">
        <f>J21</f>
        <v>100</v>
      </c>
      <c r="X21" s="1353"/>
      <c r="Y21" s="3784"/>
      <c r="Z21" s="1354" t="str">
        <f>Q21</f>
        <v>基础设施水平</v>
      </c>
      <c r="AA21" s="1351">
        <f t="shared" ref="AA21" si="8">D21/F21</f>
        <v>1</v>
      </c>
      <c r="AB21" s="1351">
        <f t="shared" ref="AB21" si="9">D21/H21</f>
        <v>1</v>
      </c>
      <c r="AC21" s="1957">
        <f t="shared" ref="AC21" si="10">D21/J21</f>
        <v>1</v>
      </c>
    </row>
    <row r="22" spans="1:29" ht="15">
      <c r="A22" s="379"/>
      <c r="B22" s="581"/>
      <c r="C22" s="1959"/>
      <c r="D22" s="399"/>
      <c r="E22" s="398"/>
      <c r="F22" s="399"/>
      <c r="G22" s="1901"/>
      <c r="H22" s="399"/>
      <c r="I22" s="1901"/>
      <c r="J22" s="399"/>
      <c r="K22" s="1129"/>
      <c r="L22" s="2717"/>
      <c r="M22" s="2711"/>
      <c r="N22" s="2711"/>
      <c r="O22" s="2711"/>
      <c r="P22" s="3791"/>
      <c r="Q22" s="1350"/>
      <c r="R22" s="705"/>
      <c r="S22" s="706"/>
      <c r="T22" s="705"/>
      <c r="U22" s="706"/>
      <c r="V22" s="705"/>
      <c r="W22" s="706"/>
      <c r="X22" s="1353"/>
      <c r="Y22" s="3784"/>
      <c r="Z22" s="1354"/>
      <c r="AA22" s="1351">
        <v>1</v>
      </c>
      <c r="AB22" s="1351">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91"/>
      <c r="Q23" s="1350" t="str">
        <f>B23</f>
        <v>环境质量</v>
      </c>
      <c r="R23" s="705" t="s">
        <v>14</v>
      </c>
      <c r="S23" s="706">
        <f>F23</f>
        <v>100</v>
      </c>
      <c r="T23" s="705" t="s">
        <v>14</v>
      </c>
      <c r="U23" s="706">
        <f>H23</f>
        <v>100</v>
      </c>
      <c r="V23" s="705" t="s">
        <v>14</v>
      </c>
      <c r="W23" s="706">
        <f>J23</f>
        <v>100</v>
      </c>
      <c r="X23" s="1353"/>
      <c r="Y23" s="3784"/>
      <c r="Z23" s="1354" t="str">
        <f>Q23</f>
        <v>环境质量</v>
      </c>
      <c r="AA23" s="1351">
        <f t="shared" si="3"/>
        <v>1</v>
      </c>
      <c r="AB23" s="1351">
        <f t="shared" si="4"/>
        <v>1</v>
      </c>
      <c r="AC23" s="1957">
        <f t="shared" si="5"/>
        <v>1</v>
      </c>
    </row>
    <row r="24" spans="1:29" ht="15">
      <c r="A24" s="379"/>
      <c r="B24" s="581"/>
      <c r="C24" s="1901"/>
      <c r="D24" s="399"/>
      <c r="E24" s="1894"/>
      <c r="F24" s="399"/>
      <c r="G24" s="1895"/>
      <c r="H24" s="399"/>
      <c r="I24" s="1895"/>
      <c r="J24" s="399"/>
      <c r="K24" s="564"/>
      <c r="L24" s="2717"/>
      <c r="M24" s="2711"/>
      <c r="N24" s="2711"/>
      <c r="O24" s="2711"/>
      <c r="P24" s="3791"/>
      <c r="Q24" s="1350"/>
      <c r="R24" s="705"/>
      <c r="S24" s="706"/>
      <c r="T24" s="705"/>
      <c r="U24" s="706"/>
      <c r="V24" s="705"/>
      <c r="W24" s="706"/>
      <c r="X24" s="1353"/>
      <c r="Y24" s="3784"/>
      <c r="Z24" s="1354"/>
      <c r="AA24" s="1351">
        <v>1</v>
      </c>
      <c r="AB24" s="1351">
        <v>1</v>
      </c>
      <c r="AC24" s="1957">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791"/>
      <c r="Q25" s="1350" t="str">
        <f>B25</f>
        <v>毗邻道路的类型与等级</v>
      </c>
      <c r="R25" s="705" t="s">
        <v>14</v>
      </c>
      <c r="S25" s="706">
        <f>F25</f>
        <v>100</v>
      </c>
      <c r="T25" s="705" t="s">
        <v>14</v>
      </c>
      <c r="U25" s="706">
        <f>H25</f>
        <v>100</v>
      </c>
      <c r="V25" s="705" t="s">
        <v>14</v>
      </c>
      <c r="W25" s="706">
        <f>J25</f>
        <v>100</v>
      </c>
      <c r="X25" s="1353"/>
      <c r="Y25" s="3784"/>
      <c r="Z25" s="1354" t="str">
        <f>Q25</f>
        <v>毗邻道路的类型与等级</v>
      </c>
      <c r="AA25" s="1351">
        <f t="shared" si="3"/>
        <v>1</v>
      </c>
      <c r="AB25" s="1351">
        <f t="shared" si="4"/>
        <v>1</v>
      </c>
      <c r="AC25" s="1957">
        <f t="shared" si="5"/>
        <v>1</v>
      </c>
    </row>
    <row r="26" spans="1:29" ht="15">
      <c r="A26" s="358"/>
      <c r="B26" s="580"/>
      <c r="C26" s="582"/>
      <c r="D26" s="386"/>
      <c r="E26" s="565"/>
      <c r="F26" s="386"/>
      <c r="G26" s="582"/>
      <c r="H26" s="386"/>
      <c r="I26" s="565"/>
      <c r="J26" s="386"/>
      <c r="K26" s="564"/>
      <c r="L26" s="2717"/>
      <c r="M26" s="2711"/>
      <c r="N26" s="2711"/>
      <c r="O26" s="2711"/>
      <c r="P26" s="3791"/>
      <c r="Q26" s="1350"/>
      <c r="R26" s="705"/>
      <c r="S26" s="706"/>
      <c r="T26" s="705"/>
      <c r="U26" s="706"/>
      <c r="V26" s="705"/>
      <c r="W26" s="706"/>
      <c r="X26" s="1353"/>
      <c r="Y26" s="3784"/>
      <c r="Z26" s="1354"/>
      <c r="AA26" s="1351">
        <v>1</v>
      </c>
      <c r="AB26" s="1351">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91"/>
      <c r="Q27" s="1350" t="str">
        <f t="shared" ref="Q27:Q47" si="11">B27</f>
        <v>楼层</v>
      </c>
      <c r="R27" s="705" t="s">
        <v>14</v>
      </c>
      <c r="S27" s="706">
        <f>F27</f>
        <v>100</v>
      </c>
      <c r="T27" s="705" t="s">
        <v>14</v>
      </c>
      <c r="U27" s="706">
        <f>H27</f>
        <v>100</v>
      </c>
      <c r="V27" s="705" t="s">
        <v>14</v>
      </c>
      <c r="W27" s="706">
        <f>J27</f>
        <v>100</v>
      </c>
      <c r="X27" s="1353"/>
      <c r="Y27" s="3784"/>
      <c r="Z27" s="1354" t="str">
        <f>Q27</f>
        <v>楼层</v>
      </c>
      <c r="AA27" s="1351">
        <f t="shared" si="3"/>
        <v>1</v>
      </c>
      <c r="AB27" s="1351">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91"/>
      <c r="Q28" s="1341" t="str">
        <f t="shared" si="11"/>
        <v>朝向</v>
      </c>
      <c r="R28" s="701" t="s">
        <v>14</v>
      </c>
      <c r="S28" s="702">
        <f>F28</f>
        <v>100</v>
      </c>
      <c r="T28" s="701" t="s">
        <v>14</v>
      </c>
      <c r="U28" s="702">
        <f>H28</f>
        <v>100</v>
      </c>
      <c r="V28" s="701" t="s">
        <v>14</v>
      </c>
      <c r="W28" s="702">
        <f>J28</f>
        <v>100</v>
      </c>
      <c r="X28" s="703"/>
      <c r="Y28" s="3784"/>
      <c r="Z28" s="52" t="str">
        <f>Q28</f>
        <v>朝向</v>
      </c>
      <c r="AA28" s="1351">
        <f>D28/F28</f>
        <v>1</v>
      </c>
      <c r="AB28" s="1351">
        <f>D28/H28</f>
        <v>1</v>
      </c>
      <c r="AC28" s="1957">
        <f>D28/J28</f>
        <v>1</v>
      </c>
    </row>
    <row r="29" spans="1:29" ht="15">
      <c r="A29" s="379"/>
      <c r="B29" s="1961">
        <v>111</v>
      </c>
      <c r="C29" s="1905"/>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91"/>
      <c r="Q29" s="1350">
        <f t="shared" si="11"/>
        <v>111</v>
      </c>
      <c r="R29" s="705" t="s">
        <v>14</v>
      </c>
      <c r="S29" s="706">
        <f t="shared" ref="S29:S47" si="12">F29</f>
        <v>100</v>
      </c>
      <c r="T29" s="705" t="s">
        <v>14</v>
      </c>
      <c r="U29" s="706">
        <f t="shared" ref="U29:U47" si="13">H29</f>
        <v>100</v>
      </c>
      <c r="V29" s="705" t="s">
        <v>14</v>
      </c>
      <c r="W29" s="706">
        <f t="shared" ref="W29:W47" si="14">J29</f>
        <v>100</v>
      </c>
      <c r="X29" s="1353"/>
      <c r="Y29" s="3784"/>
      <c r="Z29" s="1354">
        <f t="shared" ref="Z29:Z47" si="15">Q29</f>
        <v>111</v>
      </c>
      <c r="AA29" s="1351">
        <f t="shared" si="3"/>
        <v>1</v>
      </c>
      <c r="AB29" s="1351">
        <f t="shared" si="4"/>
        <v>1</v>
      </c>
      <c r="AC29" s="1957">
        <f t="shared" si="5"/>
        <v>1</v>
      </c>
    </row>
    <row r="30" spans="1:29" ht="15">
      <c r="A30" s="379"/>
      <c r="B30" s="1961">
        <v>111</v>
      </c>
      <c r="C30" s="1905"/>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91"/>
      <c r="Q30" s="1350">
        <f t="shared" si="11"/>
        <v>111</v>
      </c>
      <c r="R30" s="705" t="s">
        <v>14</v>
      </c>
      <c r="S30" s="706">
        <f t="shared" si="12"/>
        <v>100</v>
      </c>
      <c r="T30" s="705" t="s">
        <v>14</v>
      </c>
      <c r="U30" s="706">
        <f t="shared" si="13"/>
        <v>100</v>
      </c>
      <c r="V30" s="705" t="s">
        <v>14</v>
      </c>
      <c r="W30" s="706">
        <f t="shared" si="14"/>
        <v>100</v>
      </c>
      <c r="X30" s="1353"/>
      <c r="Y30" s="3784"/>
      <c r="Z30" s="1354">
        <f t="shared" si="15"/>
        <v>111</v>
      </c>
      <c r="AA30" s="1351">
        <f t="shared" si="3"/>
        <v>1</v>
      </c>
      <c r="AB30" s="1351">
        <f t="shared" si="4"/>
        <v>1</v>
      </c>
      <c r="AC30" s="1957">
        <f t="shared" si="5"/>
        <v>1</v>
      </c>
    </row>
    <row r="31" spans="1:29" ht="15">
      <c r="A31" s="379"/>
      <c r="B31" s="1961">
        <v>111</v>
      </c>
      <c r="C31" s="1905"/>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91"/>
      <c r="Q31" s="1350">
        <f t="shared" si="11"/>
        <v>111</v>
      </c>
      <c r="R31" s="705" t="s">
        <v>14</v>
      </c>
      <c r="S31" s="706">
        <f t="shared" si="12"/>
        <v>100</v>
      </c>
      <c r="T31" s="705" t="s">
        <v>14</v>
      </c>
      <c r="U31" s="706">
        <f t="shared" si="13"/>
        <v>100</v>
      </c>
      <c r="V31" s="705" t="s">
        <v>14</v>
      </c>
      <c r="W31" s="706">
        <f t="shared" si="14"/>
        <v>100</v>
      </c>
      <c r="X31" s="1353"/>
      <c r="Y31" s="3784"/>
      <c r="Z31" s="1354">
        <f t="shared" si="15"/>
        <v>111</v>
      </c>
      <c r="AA31" s="1351">
        <f t="shared" si="3"/>
        <v>1</v>
      </c>
      <c r="AB31" s="1351">
        <f t="shared" si="4"/>
        <v>1</v>
      </c>
      <c r="AC31" s="1957">
        <f t="shared" si="5"/>
        <v>1</v>
      </c>
    </row>
    <row r="32" spans="1:29" ht="15.75" thickBot="1">
      <c r="A32" s="387"/>
      <c r="B32" s="583">
        <v>111</v>
      </c>
      <c r="C32" s="1906"/>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91"/>
      <c r="Q32" s="1350">
        <f t="shared" si="11"/>
        <v>111</v>
      </c>
      <c r="R32" s="705" t="s">
        <v>14</v>
      </c>
      <c r="S32" s="706">
        <f t="shared" si="12"/>
        <v>100</v>
      </c>
      <c r="T32" s="705" t="s">
        <v>14</v>
      </c>
      <c r="U32" s="706">
        <f t="shared" si="13"/>
        <v>100</v>
      </c>
      <c r="V32" s="705" t="s">
        <v>14</v>
      </c>
      <c r="W32" s="706">
        <f t="shared" si="14"/>
        <v>100</v>
      </c>
      <c r="X32" s="1353"/>
      <c r="Y32" s="3784"/>
      <c r="Z32" s="1354">
        <f t="shared" si="15"/>
        <v>111</v>
      </c>
      <c r="AA32" s="1351">
        <f t="shared" si="3"/>
        <v>1</v>
      </c>
      <c r="AB32" s="1351">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85" t="s">
        <v>1696</v>
      </c>
      <c r="Q33" s="1350" t="str">
        <f t="shared" si="11"/>
        <v>建筑类型</v>
      </c>
      <c r="R33" s="705" t="s">
        <v>14</v>
      </c>
      <c r="S33" s="706">
        <f t="shared" si="12"/>
        <v>100</v>
      </c>
      <c r="T33" s="705" t="s">
        <v>14</v>
      </c>
      <c r="U33" s="706">
        <f t="shared" si="13"/>
        <v>100</v>
      </c>
      <c r="V33" s="705" t="s">
        <v>14</v>
      </c>
      <c r="W33" s="706">
        <f t="shared" si="14"/>
        <v>100</v>
      </c>
      <c r="X33" s="1353"/>
      <c r="Y33" s="3788" t="s">
        <v>1696</v>
      </c>
      <c r="Z33" s="1354" t="str">
        <f t="shared" si="15"/>
        <v>建筑类型</v>
      </c>
      <c r="AA33" s="1351">
        <f t="shared" si="3"/>
        <v>1</v>
      </c>
      <c r="AB33" s="1351">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86"/>
      <c r="Q34" s="707" t="str">
        <f t="shared" si="11"/>
        <v>项目建筑规模</v>
      </c>
      <c r="R34" s="708" t="s">
        <v>14</v>
      </c>
      <c r="S34" s="709" t="e">
        <f t="shared" si="12"/>
        <v>#N/A</v>
      </c>
      <c r="T34" s="708" t="s">
        <v>14</v>
      </c>
      <c r="U34" s="709" t="e">
        <f t="shared" si="13"/>
        <v>#N/A</v>
      </c>
      <c r="V34" s="708" t="s">
        <v>14</v>
      </c>
      <c r="W34" s="709" t="e">
        <f t="shared" si="14"/>
        <v>#N/A</v>
      </c>
      <c r="X34" s="710"/>
      <c r="Y34" s="3788"/>
      <c r="Z34" s="711" t="str">
        <f t="shared" si="15"/>
        <v>项目建筑规模</v>
      </c>
      <c r="AA34" s="1351" t="e">
        <f t="shared" si="3"/>
        <v>#N/A</v>
      </c>
      <c r="AB34" s="1351"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86"/>
      <c r="Q35" s="1350" t="str">
        <f t="shared" si="11"/>
        <v>建筑结构</v>
      </c>
      <c r="R35" s="705" t="s">
        <v>14</v>
      </c>
      <c r="S35" s="706">
        <f t="shared" si="12"/>
        <v>100</v>
      </c>
      <c r="T35" s="705" t="s">
        <v>14</v>
      </c>
      <c r="U35" s="706">
        <f t="shared" si="13"/>
        <v>100</v>
      </c>
      <c r="V35" s="705" t="s">
        <v>14</v>
      </c>
      <c r="W35" s="706">
        <f t="shared" si="14"/>
        <v>100</v>
      </c>
      <c r="X35" s="1353"/>
      <c r="Y35" s="3788"/>
      <c r="Z35" s="1354" t="str">
        <f t="shared" si="15"/>
        <v>建筑结构</v>
      </c>
      <c r="AA35" s="1351">
        <f t="shared" si="3"/>
        <v>1</v>
      </c>
      <c r="AB35" s="1351">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86"/>
      <c r="Q36" s="1350" t="str">
        <f t="shared" si="11"/>
        <v>公共部分装修</v>
      </c>
      <c r="R36" s="705" t="s">
        <v>14</v>
      </c>
      <c r="S36" s="706">
        <f t="shared" si="12"/>
        <v>100</v>
      </c>
      <c r="T36" s="705" t="s">
        <v>14</v>
      </c>
      <c r="U36" s="706">
        <f t="shared" si="13"/>
        <v>100</v>
      </c>
      <c r="V36" s="705" t="s">
        <v>14</v>
      </c>
      <c r="W36" s="706">
        <f t="shared" si="14"/>
        <v>100</v>
      </c>
      <c r="X36" s="1353"/>
      <c r="Y36" s="3788"/>
      <c r="Z36" s="1354" t="str">
        <f t="shared" si="15"/>
        <v>公共部分装修</v>
      </c>
      <c r="AA36" s="1351">
        <f t="shared" si="3"/>
        <v>1</v>
      </c>
      <c r="AB36" s="1351">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86"/>
      <c r="Q37" s="1350" t="str">
        <f t="shared" si="11"/>
        <v>成新度</v>
      </c>
      <c r="R37" s="705" t="s">
        <v>14</v>
      </c>
      <c r="S37" s="706" t="e">
        <f t="shared" si="12"/>
        <v>#N/A</v>
      </c>
      <c r="T37" s="705" t="s">
        <v>14</v>
      </c>
      <c r="U37" s="706" t="e">
        <f t="shared" si="13"/>
        <v>#N/A</v>
      </c>
      <c r="V37" s="705" t="s">
        <v>14</v>
      </c>
      <c r="W37" s="706" t="e">
        <f t="shared" si="14"/>
        <v>#N/A</v>
      </c>
      <c r="X37" s="1353"/>
      <c r="Y37" s="3788"/>
      <c r="Z37" s="1354" t="str">
        <f t="shared" si="15"/>
        <v>成新度</v>
      </c>
      <c r="AA37" s="1351" t="e">
        <f t="shared" si="3"/>
        <v>#N/A</v>
      </c>
      <c r="AB37" s="1351"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6"/>
      <c r="Q38" s="1341" t="str">
        <f t="shared" si="11"/>
        <v>写字楼等级</v>
      </c>
      <c r="R38" s="701" t="s">
        <v>14</v>
      </c>
      <c r="S38" s="702">
        <f t="shared" si="12"/>
        <v>100</v>
      </c>
      <c r="T38" s="701" t="s">
        <v>14</v>
      </c>
      <c r="U38" s="702">
        <f t="shared" si="13"/>
        <v>100</v>
      </c>
      <c r="V38" s="701" t="s">
        <v>14</v>
      </c>
      <c r="W38" s="702">
        <f t="shared" si="14"/>
        <v>100</v>
      </c>
      <c r="X38" s="703"/>
      <c r="Y38" s="3788"/>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86" t="s">
        <v>1696</v>
      </c>
      <c r="Q39" s="1350" t="str">
        <f t="shared" si="11"/>
        <v>物业管理</v>
      </c>
      <c r="R39" s="705" t="s">
        <v>14</v>
      </c>
      <c r="S39" s="706">
        <f t="shared" si="12"/>
        <v>100</v>
      </c>
      <c r="T39" s="705" t="s">
        <v>14</v>
      </c>
      <c r="U39" s="706">
        <f t="shared" si="13"/>
        <v>100</v>
      </c>
      <c r="V39" s="705" t="s">
        <v>14</v>
      </c>
      <c r="W39" s="706">
        <f t="shared" si="14"/>
        <v>100</v>
      </c>
      <c r="X39" s="1353"/>
      <c r="Y39" s="3788" t="s">
        <v>1696</v>
      </c>
      <c r="Z39" s="1354" t="str">
        <f t="shared" si="15"/>
        <v>物业管理</v>
      </c>
      <c r="AA39" s="1351">
        <f t="shared" si="3"/>
        <v>1</v>
      </c>
      <c r="AB39" s="1351">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86"/>
      <c r="Q40" s="1350" t="str">
        <f t="shared" si="11"/>
        <v>市政基础设施</v>
      </c>
      <c r="R40" s="705" t="s">
        <v>14</v>
      </c>
      <c r="S40" s="706">
        <f t="shared" si="12"/>
        <v>100</v>
      </c>
      <c r="T40" s="705" t="s">
        <v>14</v>
      </c>
      <c r="U40" s="706">
        <f t="shared" si="13"/>
        <v>100</v>
      </c>
      <c r="V40" s="705" t="s">
        <v>14</v>
      </c>
      <c r="W40" s="706">
        <f t="shared" si="14"/>
        <v>100</v>
      </c>
      <c r="X40" s="1353"/>
      <c r="Y40" s="3788"/>
      <c r="Z40" s="1354" t="str">
        <f t="shared" si="15"/>
        <v>市政基础设施</v>
      </c>
      <c r="AA40" s="1351">
        <f t="shared" si="3"/>
        <v>1</v>
      </c>
      <c r="AB40" s="1351">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86"/>
      <c r="Q41" s="1350" t="str">
        <f t="shared" si="11"/>
        <v>层高</v>
      </c>
      <c r="R41" s="705" t="s">
        <v>14</v>
      </c>
      <c r="S41" s="706">
        <f t="shared" si="12"/>
        <v>100</v>
      </c>
      <c r="T41" s="705" t="s">
        <v>14</v>
      </c>
      <c r="U41" s="706">
        <f t="shared" si="13"/>
        <v>100</v>
      </c>
      <c r="V41" s="705" t="s">
        <v>14</v>
      </c>
      <c r="W41" s="706">
        <f t="shared" si="14"/>
        <v>100</v>
      </c>
      <c r="X41" s="1353"/>
      <c r="Y41" s="3788"/>
      <c r="Z41" s="1354" t="str">
        <f t="shared" si="15"/>
        <v>层高</v>
      </c>
      <c r="AA41" s="1351">
        <f t="shared" si="3"/>
        <v>1</v>
      </c>
      <c r="AB41" s="1351">
        <f t="shared" si="4"/>
        <v>1</v>
      </c>
      <c r="AC41" s="1957">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6"/>
      <c r="Q42" s="707" t="str">
        <f t="shared" si="11"/>
        <v>单套建筑面积</v>
      </c>
      <c r="R42" s="708" t="s">
        <v>14</v>
      </c>
      <c r="S42" s="709">
        <f t="shared" si="12"/>
        <v>100</v>
      </c>
      <c r="T42" s="708" t="s">
        <v>14</v>
      </c>
      <c r="U42" s="709">
        <f t="shared" si="13"/>
        <v>100</v>
      </c>
      <c r="V42" s="708" t="s">
        <v>14</v>
      </c>
      <c r="W42" s="709">
        <f t="shared" si="14"/>
        <v>100</v>
      </c>
      <c r="X42" s="710"/>
      <c r="Y42" s="3788"/>
      <c r="Z42" s="711" t="str">
        <f t="shared" si="15"/>
        <v>单套建筑面积</v>
      </c>
      <c r="AA42" s="1351">
        <f t="shared" si="3"/>
        <v>1</v>
      </c>
      <c r="AB42" s="1351">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86"/>
      <c r="Q43" s="1350" t="str">
        <f t="shared" si="11"/>
        <v>内部装修</v>
      </c>
      <c r="R43" s="705" t="s">
        <v>14</v>
      </c>
      <c r="S43" s="706">
        <f t="shared" si="12"/>
        <v>100</v>
      </c>
      <c r="T43" s="705" t="s">
        <v>14</v>
      </c>
      <c r="U43" s="706">
        <f t="shared" si="13"/>
        <v>100</v>
      </c>
      <c r="V43" s="705" t="s">
        <v>14</v>
      </c>
      <c r="W43" s="706">
        <f t="shared" si="14"/>
        <v>100</v>
      </c>
      <c r="X43" s="1353"/>
      <c r="Y43" s="3788"/>
      <c r="Z43" s="1354" t="str">
        <f t="shared" si="15"/>
        <v>内部装修</v>
      </c>
      <c r="AA43" s="1351">
        <f t="shared" si="3"/>
        <v>1</v>
      </c>
      <c r="AB43" s="1351">
        <f t="shared" si="4"/>
        <v>1</v>
      </c>
      <c r="AC43" s="1957">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786"/>
      <c r="Q44" s="1350" t="str">
        <f t="shared" si="11"/>
        <v>内部装修维护情况</v>
      </c>
      <c r="R44" s="705" t="s">
        <v>14</v>
      </c>
      <c r="S44" s="706">
        <f t="shared" si="12"/>
        <v>100</v>
      </c>
      <c r="T44" s="705" t="s">
        <v>14</v>
      </c>
      <c r="U44" s="706">
        <f t="shared" si="13"/>
        <v>100</v>
      </c>
      <c r="V44" s="705" t="s">
        <v>14</v>
      </c>
      <c r="W44" s="706">
        <f t="shared" si="14"/>
        <v>100</v>
      </c>
      <c r="X44" s="1353"/>
      <c r="Y44" s="3788"/>
      <c r="Z44" s="1354" t="str">
        <f t="shared" si="15"/>
        <v>内部装修维护情况</v>
      </c>
      <c r="AA44" s="1351">
        <f t="shared" si="3"/>
        <v>1</v>
      </c>
      <c r="AB44" s="1351">
        <f t="shared" si="4"/>
        <v>1</v>
      </c>
      <c r="AC44" s="1957">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86"/>
      <c r="Q45" s="1341">
        <f t="shared" si="11"/>
        <v>111</v>
      </c>
      <c r="R45" s="701" t="s">
        <v>14</v>
      </c>
      <c r="S45" s="702">
        <f t="shared" si="12"/>
        <v>100</v>
      </c>
      <c r="T45" s="701" t="s">
        <v>14</v>
      </c>
      <c r="U45" s="702">
        <f t="shared" si="13"/>
        <v>100</v>
      </c>
      <c r="V45" s="701" t="s">
        <v>14</v>
      </c>
      <c r="W45" s="702">
        <f t="shared" si="14"/>
        <v>100</v>
      </c>
      <c r="X45" s="703"/>
      <c r="Y45" s="3788"/>
      <c r="Z45" s="52">
        <f t="shared" si="15"/>
        <v>111</v>
      </c>
      <c r="AA45" s="704">
        <f t="shared" si="3"/>
        <v>1</v>
      </c>
      <c r="AB45" s="704">
        <f t="shared" si="4"/>
        <v>1</v>
      </c>
      <c r="AC45" s="1954">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6"/>
      <c r="Q46" s="1350">
        <f t="shared" si="11"/>
        <v>111</v>
      </c>
      <c r="R46" s="705" t="s">
        <v>14</v>
      </c>
      <c r="S46" s="706">
        <f t="shared" si="12"/>
        <v>100</v>
      </c>
      <c r="T46" s="705" t="s">
        <v>14</v>
      </c>
      <c r="U46" s="706">
        <f t="shared" si="13"/>
        <v>100</v>
      </c>
      <c r="V46" s="705" t="s">
        <v>14</v>
      </c>
      <c r="W46" s="706">
        <f t="shared" si="14"/>
        <v>100</v>
      </c>
      <c r="X46" s="1353"/>
      <c r="Y46" s="3788"/>
      <c r="Z46" s="1354">
        <f t="shared" si="15"/>
        <v>111</v>
      </c>
      <c r="AA46" s="1351">
        <f t="shared" si="3"/>
        <v>1</v>
      </c>
      <c r="AB46" s="1351">
        <f t="shared" si="4"/>
        <v>1</v>
      </c>
      <c r="AC46" s="1957">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7"/>
      <c r="Q47" s="1350">
        <f t="shared" si="11"/>
        <v>111</v>
      </c>
      <c r="R47" s="705" t="s">
        <v>14</v>
      </c>
      <c r="S47" s="706">
        <f t="shared" si="12"/>
        <v>100</v>
      </c>
      <c r="T47" s="705" t="s">
        <v>14</v>
      </c>
      <c r="U47" s="706">
        <f t="shared" si="13"/>
        <v>100</v>
      </c>
      <c r="V47" s="705" t="s">
        <v>14</v>
      </c>
      <c r="W47" s="706">
        <f t="shared" si="14"/>
        <v>100</v>
      </c>
      <c r="X47" s="1353"/>
      <c r="Y47" s="3789"/>
      <c r="Z47" s="1354">
        <f t="shared" si="15"/>
        <v>111</v>
      </c>
      <c r="AA47" s="1351">
        <f t="shared" si="3"/>
        <v>1</v>
      </c>
      <c r="AB47" s="1351">
        <f t="shared" si="4"/>
        <v>1</v>
      </c>
      <c r="AC47" s="1957">
        <f t="shared" si="5"/>
        <v>1</v>
      </c>
    </row>
    <row r="48" spans="1:29" ht="15">
      <c r="A48" s="430" t="s">
        <v>1708</v>
      </c>
      <c r="B48" s="431"/>
      <c r="C48" s="1153" t="s">
        <v>0</v>
      </c>
      <c r="D48" s="1154"/>
      <c r="E48" s="1155"/>
      <c r="F48" s="1156"/>
      <c r="G48" s="1157"/>
      <c r="H48" s="1158"/>
      <c r="I48" s="1155"/>
      <c r="J48" s="436"/>
      <c r="K48" s="714"/>
      <c r="L48" s="2719"/>
      <c r="M48" s="2711"/>
      <c r="N48" s="2711"/>
      <c r="O48" s="2711"/>
      <c r="P48" s="3792" t="str">
        <f>A48</f>
        <v>成交单价（元/平方米）</v>
      </c>
      <c r="Q48" s="3781"/>
      <c r="R48" s="3782">
        <f>E48</f>
        <v>0</v>
      </c>
      <c r="S48" s="3782"/>
      <c r="T48" s="3782">
        <f>G48</f>
        <v>0</v>
      </c>
      <c r="U48" s="3782"/>
      <c r="V48" s="3782">
        <f>I48</f>
        <v>0</v>
      </c>
      <c r="W48" s="3782"/>
      <c r="X48" s="397"/>
      <c r="Y48" s="712"/>
      <c r="Z48" s="397"/>
      <c r="AA48" s="397"/>
      <c r="AB48" s="397"/>
      <c r="AC48" s="578"/>
    </row>
    <row r="49" spans="1:29" ht="15.75" thickBot="1">
      <c r="A49" s="437" t="s">
        <v>1793</v>
      </c>
      <c r="B49" s="438"/>
      <c r="C49" s="1159" t="e">
        <f>R50</f>
        <v>#DIV/0!</v>
      </c>
      <c r="D49" s="2312" t="s">
        <v>2136</v>
      </c>
      <c r="E49" s="1160" t="e">
        <f>R49</f>
        <v>#DIV/0!</v>
      </c>
      <c r="F49" s="2313"/>
      <c r="G49" s="1159" t="e">
        <f>T49</f>
        <v>#DIV/0!</v>
      </c>
      <c r="H49" s="2313"/>
      <c r="I49" s="1160" t="e">
        <f>V49</f>
        <v>#DIV/0!</v>
      </c>
      <c r="J49" s="2313"/>
      <c r="K49" s="2315">
        <f>F49+H49+J49</f>
        <v>0</v>
      </c>
      <c r="L49" s="2719"/>
      <c r="M49" s="2711"/>
      <c r="N49" s="2711"/>
      <c r="O49" s="2711"/>
      <c r="P49" s="3792" t="str">
        <f>A49</f>
        <v>比较价值（元/平方米）</v>
      </c>
      <c r="Q49" s="3781"/>
      <c r="R49" s="3782" t="e">
        <f>IF(F1="售价",ROUND(PRODUCT(R48,AA7:AA47),0),ROUND(PRODUCT(R48,AA7:AA47),1))</f>
        <v>#DIV/0!</v>
      </c>
      <c r="S49" s="3782"/>
      <c r="T49" s="3782" t="e">
        <f>IF(F1="售价",ROUND(PRODUCT(T48,AB7:AB47),0),ROUND(PRODUCT(T48,AB7:AB47),1))</f>
        <v>#DIV/0!</v>
      </c>
      <c r="U49" s="3782"/>
      <c r="V49" s="3782" t="e">
        <f>IF(F1="售价",ROUND(PRODUCT(V48,AC7:AC47),0),ROUND(PRODUCT(V48,AC7:AC47),1))</f>
        <v>#DIV/0!</v>
      </c>
      <c r="W49" s="378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19"/>
      <c r="M50" s="2711"/>
      <c r="N50" s="2711"/>
      <c r="O50" s="2711"/>
      <c r="P50" s="3857" t="str">
        <f>A50</f>
        <v>估价对象XX用房的比较价值（楼面单价，元/平方米）</v>
      </c>
      <c r="Q50" s="3858"/>
      <c r="R50" s="3859" t="e">
        <f>IF(F1="售价",ROUND(IF(D49="简单平均",AVERAGE(R49:V49),R49*F49+T49*H49+V49*J49),0),ROUND(IF(D49="简单平均",AVERAGE(R49:V49),R49*F49+T49*H49+V49*J49),1))</f>
        <v>#DIV/0!</v>
      </c>
      <c r="S50" s="3859"/>
      <c r="T50" s="3859"/>
      <c r="U50" s="3859"/>
      <c r="V50" s="3859"/>
      <c r="W50" s="3859"/>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2" t="str">
        <f>YEAR(C7)&amp;"-"&amp;MONTH(C7)</f>
        <v>2023-7</v>
      </c>
      <c r="D59" s="1183">
        <f>EDATE(C59,-1)</f>
        <v>45078</v>
      </c>
      <c r="E59" s="1183">
        <f>EDATE(D59,-1)</f>
        <v>45047</v>
      </c>
      <c r="F59" s="1183">
        <f t="shared" ref="F59:O59" si="16">EDATE(E59,-1)</f>
        <v>45017</v>
      </c>
      <c r="G59" s="1183">
        <f t="shared" si="16"/>
        <v>44986</v>
      </c>
      <c r="H59" s="1183">
        <f t="shared" si="16"/>
        <v>44958</v>
      </c>
      <c r="I59" s="1183">
        <f t="shared" si="16"/>
        <v>44927</v>
      </c>
      <c r="J59" s="1183">
        <f t="shared" si="16"/>
        <v>44896</v>
      </c>
      <c r="K59" s="1183">
        <f t="shared" si="16"/>
        <v>44866</v>
      </c>
      <c r="L59" s="1183">
        <f t="shared" si="16"/>
        <v>44835</v>
      </c>
      <c r="M59" s="1183">
        <f t="shared" si="16"/>
        <v>44805</v>
      </c>
      <c r="N59" s="1183">
        <f t="shared" si="16"/>
        <v>44774</v>
      </c>
      <c r="O59" s="1183">
        <f t="shared" si="16"/>
        <v>44743</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2" t="s">
        <v>1826</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176.25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96" t="s">
        <v>1770</v>
      </c>
      <c r="D4" s="3797"/>
      <c r="E4" s="3798" t="s">
        <v>1771</v>
      </c>
      <c r="F4" s="3799"/>
      <c r="G4" s="3796" t="s">
        <v>1772</v>
      </c>
      <c r="H4" s="3797"/>
      <c r="I4" s="3796" t="s">
        <v>1773</v>
      </c>
      <c r="J4" s="3797"/>
      <c r="K4" s="559" t="s">
        <v>1774</v>
      </c>
      <c r="L4" s="913"/>
      <c r="M4" s="914"/>
      <c r="N4" s="914"/>
      <c r="O4" s="914"/>
      <c r="P4" s="3800" t="s">
        <v>1775</v>
      </c>
      <c r="Q4" s="3801"/>
      <c r="R4" s="3806" t="s">
        <v>1771</v>
      </c>
      <c r="S4" s="3807"/>
      <c r="T4" s="3806" t="s">
        <v>1772</v>
      </c>
      <c r="U4" s="3807"/>
      <c r="V4" s="3812" t="s">
        <v>1773</v>
      </c>
      <c r="W4" s="3812"/>
      <c r="X4" s="1353"/>
      <c r="Y4" s="3806" t="s">
        <v>1775</v>
      </c>
      <c r="Z4" s="3807"/>
      <c r="AA4" s="3793" t="s">
        <v>1771</v>
      </c>
      <c r="AB4" s="3794" t="s">
        <v>1772</v>
      </c>
      <c r="AC4" s="3793" t="s">
        <v>1773</v>
      </c>
    </row>
    <row r="5" spans="1:29" ht="15">
      <c r="A5" s="358"/>
      <c r="B5" s="359"/>
      <c r="C5" s="3815" t="s">
        <v>1673</v>
      </c>
      <c r="D5" s="3816"/>
      <c r="E5" s="3822" t="s">
        <v>1674</v>
      </c>
      <c r="F5" s="3823"/>
      <c r="G5" s="3815" t="s">
        <v>1675</v>
      </c>
      <c r="H5" s="3816"/>
      <c r="I5" s="3815" t="s">
        <v>1676</v>
      </c>
      <c r="J5" s="3816"/>
      <c r="K5" s="559"/>
      <c r="L5" s="913"/>
      <c r="M5" s="914"/>
      <c r="N5" s="914"/>
      <c r="O5" s="914"/>
      <c r="P5" s="3802"/>
      <c r="Q5" s="3803"/>
      <c r="R5" s="3808"/>
      <c r="S5" s="3809"/>
      <c r="T5" s="3808"/>
      <c r="U5" s="3809"/>
      <c r="V5" s="3812"/>
      <c r="W5" s="3812"/>
      <c r="X5" s="1353"/>
      <c r="Y5" s="3808"/>
      <c r="Z5" s="3809"/>
      <c r="AA5" s="3794"/>
      <c r="AB5" s="3794"/>
      <c r="AC5" s="3794"/>
    </row>
    <row r="6" spans="1:29" ht="15.75" thickBot="1">
      <c r="A6" s="360"/>
      <c r="B6" s="361"/>
      <c r="C6" s="3813" t="s">
        <v>1677</v>
      </c>
      <c r="D6" s="3814"/>
      <c r="E6" s="3820" t="s">
        <v>1677</v>
      </c>
      <c r="F6" s="3821"/>
      <c r="G6" s="3813" t="s">
        <v>1677</v>
      </c>
      <c r="H6" s="3814"/>
      <c r="I6" s="3813" t="s">
        <v>1677</v>
      </c>
      <c r="J6" s="3814"/>
      <c r="K6" s="559" t="s">
        <v>1678</v>
      </c>
      <c r="L6" s="913"/>
      <c r="M6" s="914"/>
      <c r="N6" s="914"/>
      <c r="O6" s="914"/>
      <c r="P6" s="3804"/>
      <c r="Q6" s="3805"/>
      <c r="R6" s="3808"/>
      <c r="S6" s="3809"/>
      <c r="T6" s="3810"/>
      <c r="U6" s="3811"/>
      <c r="V6" s="3812"/>
      <c r="W6" s="3812"/>
      <c r="X6" s="1353"/>
      <c r="Y6" s="3810"/>
      <c r="Z6" s="3811"/>
      <c r="AA6" s="3795"/>
      <c r="AB6" s="3795"/>
      <c r="AC6" s="3795"/>
    </row>
    <row r="7" spans="1:29" s="108" customFormat="1" ht="15.75" thickBot="1">
      <c r="A7" s="362" t="s">
        <v>1679</v>
      </c>
      <c r="B7" s="363"/>
      <c r="C7" s="364">
        <f>'数据-取费表'!B2</f>
        <v>45126</v>
      </c>
      <c r="D7" s="365">
        <v>100</v>
      </c>
      <c r="E7" s="366"/>
      <c r="F7" s="367">
        <f>SUMIF(52:52,YEAR(E7)&amp;"-"&amp;MONTH(E7),53:53)</f>
        <v>0</v>
      </c>
      <c r="G7" s="366"/>
      <c r="H7" s="365">
        <f>SUMIF(52:52,YEAR(G7)&amp;"-"&amp;MONTH(G7),53:53)</f>
        <v>0</v>
      </c>
      <c r="I7" s="366"/>
      <c r="J7" s="365">
        <f>SUMIF(52:52,YEAR(I7)&amp;"-"&amp;MONTH(I7),53:53)</f>
        <v>0</v>
      </c>
      <c r="K7" s="560"/>
      <c r="L7" s="915"/>
      <c r="M7" s="916"/>
      <c r="N7" s="916"/>
      <c r="O7" s="916"/>
      <c r="P7" s="3817" t="s">
        <v>1680</v>
      </c>
      <c r="Q7" s="3819"/>
      <c r="R7" s="701" t="s">
        <v>14</v>
      </c>
      <c r="S7" s="702">
        <f t="shared" ref="S7:S15" si="0">F7</f>
        <v>0</v>
      </c>
      <c r="T7" s="701" t="s">
        <v>14</v>
      </c>
      <c r="U7" s="702">
        <f t="shared" ref="U7:U15" si="1">H7</f>
        <v>0</v>
      </c>
      <c r="V7" s="701" t="s">
        <v>14</v>
      </c>
      <c r="W7" s="702">
        <f t="shared" ref="W7:W15" si="2">J7</f>
        <v>0</v>
      </c>
      <c r="X7" s="703"/>
      <c r="Y7" s="3817" t="s">
        <v>1680</v>
      </c>
      <c r="Z7" s="381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7" t="s">
        <v>1683</v>
      </c>
      <c r="Q8" s="3818"/>
      <c r="R8" s="701" t="s">
        <v>14</v>
      </c>
      <c r="S8" s="702">
        <f t="shared" si="0"/>
        <v>100</v>
      </c>
      <c r="T8" s="701" t="s">
        <v>14</v>
      </c>
      <c r="U8" s="702">
        <f t="shared" si="1"/>
        <v>100</v>
      </c>
      <c r="V8" s="701" t="s">
        <v>14</v>
      </c>
      <c r="W8" s="702">
        <f t="shared" si="2"/>
        <v>100</v>
      </c>
      <c r="X8" s="703"/>
      <c r="Y8" s="3817" t="s">
        <v>1683</v>
      </c>
      <c r="Z8" s="381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1" t="s">
        <v>1686</v>
      </c>
      <c r="Q9" s="1341"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81"/>
      <c r="Q10" s="1341"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1"/>
      <c r="Q11" s="1341"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5"/>
      <c r="H12" s="127">
        <f>SUMIF(64:64,G12,65:65)-SUMIF(64:64,C12,65:65)+100</f>
        <v>100</v>
      </c>
      <c r="I12" s="420"/>
      <c r="J12" s="127">
        <f>SUMIF(64:64,I12,65:65)-SUMIF(64:64,C12,65:65)+100</f>
        <v>100</v>
      </c>
      <c r="K12" s="562"/>
      <c r="L12" s="915"/>
      <c r="M12" s="916"/>
      <c r="N12" s="916"/>
      <c r="O12" s="917"/>
      <c r="P12" s="3781"/>
      <c r="Q12" s="1341">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5"/>
      <c r="H13" s="386">
        <f>SUMIF(66:66,G13,67:67)-SUMIF(66:66,C13,67:67)+100</f>
        <v>100</v>
      </c>
      <c r="I13" s="420"/>
      <c r="J13" s="386">
        <f>SUMIF(66:66,I13,67:67)-SUMIF(66:66,C13,67:67)+100</f>
        <v>100</v>
      </c>
      <c r="K13" s="562"/>
      <c r="L13" s="923"/>
      <c r="M13" s="914"/>
      <c r="N13" s="914"/>
      <c r="O13" s="922"/>
      <c r="P13" s="3781"/>
      <c r="Q13" s="1341">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5"/>
      <c r="H14" s="389">
        <f>SUMIF(68:68,G14,69:69)-SUMIF(68:68,C14,69:69)+100</f>
        <v>100</v>
      </c>
      <c r="I14" s="420"/>
      <c r="J14" s="389">
        <f>SUMIF(68:68,I14,69:69)-SUMIF(68:68,C14,69:69)+100</f>
        <v>100</v>
      </c>
      <c r="K14" s="562"/>
      <c r="L14" s="923"/>
      <c r="M14" s="914"/>
      <c r="N14" s="914"/>
      <c r="O14" s="922"/>
      <c r="P14" s="3781"/>
      <c r="Q14" s="1341">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3" t="s">
        <v>1691</v>
      </c>
      <c r="Q15" s="1350" t="str">
        <f t="shared" si="6"/>
        <v>产业集聚程度</v>
      </c>
      <c r="R15" s="705" t="s">
        <v>14</v>
      </c>
      <c r="S15" s="706">
        <f t="shared" si="0"/>
        <v>100</v>
      </c>
      <c r="T15" s="705" t="s">
        <v>14</v>
      </c>
      <c r="U15" s="706">
        <f t="shared" si="1"/>
        <v>100</v>
      </c>
      <c r="V15" s="705" t="s">
        <v>14</v>
      </c>
      <c r="W15" s="706">
        <f t="shared" si="2"/>
        <v>100</v>
      </c>
      <c r="X15" s="1353"/>
      <c r="Y15" s="378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84"/>
      <c r="Q16" s="1350"/>
      <c r="R16" s="705"/>
      <c r="S16" s="706"/>
      <c r="T16" s="705"/>
      <c r="U16" s="706"/>
      <c r="V16" s="705"/>
      <c r="W16" s="706"/>
      <c r="X16" s="1353"/>
      <c r="Y16" s="3784"/>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4"/>
      <c r="Q17" s="1350" t="str">
        <f>B17</f>
        <v>交通便捷度</v>
      </c>
      <c r="R17" s="705" t="s">
        <v>14</v>
      </c>
      <c r="S17" s="706">
        <f>F17</f>
        <v>100</v>
      </c>
      <c r="T17" s="705" t="s">
        <v>14</v>
      </c>
      <c r="U17" s="706">
        <f>H17</f>
        <v>100</v>
      </c>
      <c r="V17" s="705" t="s">
        <v>14</v>
      </c>
      <c r="W17" s="706">
        <f>J17</f>
        <v>100</v>
      </c>
      <c r="X17" s="1353"/>
      <c r="Y17" s="3784"/>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3"/>
      <c r="M18" s="914"/>
      <c r="N18" s="914"/>
      <c r="O18" s="922"/>
      <c r="P18" s="3784"/>
      <c r="Q18" s="1350"/>
      <c r="R18" s="705"/>
      <c r="S18" s="706"/>
      <c r="T18" s="705"/>
      <c r="U18" s="706"/>
      <c r="V18" s="705"/>
      <c r="W18" s="706"/>
      <c r="X18" s="1353"/>
      <c r="Y18" s="3784"/>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4"/>
      <c r="Q19" s="1350" t="str">
        <f>B19</f>
        <v>公共配套设施</v>
      </c>
      <c r="R19" s="705" t="s">
        <v>14</v>
      </c>
      <c r="S19" s="706">
        <f>F19</f>
        <v>100</v>
      </c>
      <c r="T19" s="705" t="s">
        <v>14</v>
      </c>
      <c r="U19" s="706">
        <f>H19</f>
        <v>100</v>
      </c>
      <c r="V19" s="705" t="s">
        <v>14</v>
      </c>
      <c r="W19" s="706">
        <f>J19</f>
        <v>100</v>
      </c>
      <c r="X19" s="1353"/>
      <c r="Y19" s="3784"/>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3"/>
      <c r="M20" s="914"/>
      <c r="N20" s="914"/>
      <c r="O20" s="922"/>
      <c r="P20" s="3784"/>
      <c r="Q20" s="1350"/>
      <c r="R20" s="705"/>
      <c r="S20" s="706"/>
      <c r="T20" s="705"/>
      <c r="U20" s="706"/>
      <c r="V20" s="705"/>
      <c r="W20" s="706"/>
      <c r="X20" s="1353"/>
      <c r="Y20" s="3784"/>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4"/>
      <c r="Q21" s="1350" t="str">
        <f>B21</f>
        <v>基础设施水平</v>
      </c>
      <c r="R21" s="705" t="s">
        <v>14</v>
      </c>
      <c r="S21" s="706">
        <f>F21</f>
        <v>100</v>
      </c>
      <c r="T21" s="705" t="s">
        <v>14</v>
      </c>
      <c r="U21" s="706">
        <f>H21</f>
        <v>100</v>
      </c>
      <c r="V21" s="705" t="s">
        <v>14</v>
      </c>
      <c r="W21" s="706">
        <f>J21</f>
        <v>100</v>
      </c>
      <c r="X21" s="1353"/>
      <c r="Y21" s="3784"/>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3"/>
      <c r="M22" s="914"/>
      <c r="N22" s="914"/>
      <c r="O22" s="922"/>
      <c r="P22" s="3784"/>
      <c r="Q22" s="1350"/>
      <c r="R22" s="705"/>
      <c r="S22" s="706"/>
      <c r="T22" s="705"/>
      <c r="U22" s="706"/>
      <c r="V22" s="705"/>
      <c r="W22" s="706"/>
      <c r="X22" s="1353"/>
      <c r="Y22" s="3784"/>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4"/>
      <c r="Q23" s="1350" t="str">
        <f>B23</f>
        <v>环境质量</v>
      </c>
      <c r="R23" s="705" t="s">
        <v>14</v>
      </c>
      <c r="S23" s="706">
        <f>F23</f>
        <v>100</v>
      </c>
      <c r="T23" s="705" t="s">
        <v>14</v>
      </c>
      <c r="U23" s="706">
        <f>H23</f>
        <v>100</v>
      </c>
      <c r="V23" s="705" t="s">
        <v>14</v>
      </c>
      <c r="W23" s="706">
        <f>J23</f>
        <v>100</v>
      </c>
      <c r="X23" s="1353"/>
      <c r="Y23" s="3784"/>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3"/>
      <c r="M24" s="914"/>
      <c r="N24" s="914"/>
      <c r="O24" s="922"/>
      <c r="P24" s="3784"/>
      <c r="Q24" s="1350"/>
      <c r="R24" s="705"/>
      <c r="S24" s="706"/>
      <c r="T24" s="705"/>
      <c r="U24" s="706"/>
      <c r="V24" s="705"/>
      <c r="W24" s="706"/>
      <c r="X24" s="1353"/>
      <c r="Y24" s="378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4"/>
      <c r="Q25" s="1350">
        <f>B25</f>
        <v>111</v>
      </c>
      <c r="R25" s="705" t="s">
        <v>14</v>
      </c>
      <c r="S25" s="706">
        <f>F25</f>
        <v>100</v>
      </c>
      <c r="T25" s="705" t="s">
        <v>14</v>
      </c>
      <c r="U25" s="706">
        <f>H25</f>
        <v>100</v>
      </c>
      <c r="V25" s="705" t="s">
        <v>14</v>
      </c>
      <c r="W25" s="706">
        <f>J25</f>
        <v>100</v>
      </c>
      <c r="X25" s="1353"/>
      <c r="Y25" s="378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4"/>
      <c r="Q26" s="1350">
        <f t="shared" ref="Q26:Q40" si="11">B26</f>
        <v>111</v>
      </c>
      <c r="R26" s="705" t="s">
        <v>14</v>
      </c>
      <c r="S26" s="706">
        <f>F26</f>
        <v>100</v>
      </c>
      <c r="T26" s="705" t="s">
        <v>14</v>
      </c>
      <c r="U26" s="706">
        <f>H26</f>
        <v>100</v>
      </c>
      <c r="V26" s="705" t="s">
        <v>14</v>
      </c>
      <c r="W26" s="706">
        <f>J26</f>
        <v>100</v>
      </c>
      <c r="X26" s="1353"/>
      <c r="Y26" s="378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4"/>
      <c r="Q27" s="1341">
        <f t="shared" si="11"/>
        <v>111</v>
      </c>
      <c r="R27" s="701" t="s">
        <v>14</v>
      </c>
      <c r="S27" s="702">
        <f>F27</f>
        <v>100</v>
      </c>
      <c r="T27" s="701" t="s">
        <v>14</v>
      </c>
      <c r="U27" s="702">
        <f>H27</f>
        <v>100</v>
      </c>
      <c r="V27" s="701" t="s">
        <v>14</v>
      </c>
      <c r="W27" s="702">
        <f>J27</f>
        <v>100</v>
      </c>
      <c r="X27" s="703"/>
      <c r="Y27" s="378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4"/>
      <c r="Q28" s="1350">
        <f t="shared" si="11"/>
        <v>111</v>
      </c>
      <c r="R28" s="705" t="s">
        <v>14</v>
      </c>
      <c r="S28" s="706">
        <f t="shared" ref="S28:S40" si="12">F28</f>
        <v>100</v>
      </c>
      <c r="T28" s="705" t="s">
        <v>14</v>
      </c>
      <c r="U28" s="706">
        <f t="shared" ref="U28:U40" si="13">H28</f>
        <v>100</v>
      </c>
      <c r="V28" s="705" t="s">
        <v>14</v>
      </c>
      <c r="W28" s="706">
        <f t="shared" ref="W28:W40" si="14">J28</f>
        <v>100</v>
      </c>
      <c r="X28" s="1353"/>
      <c r="Y28" s="3784"/>
      <c r="Z28" s="1354">
        <f t="shared" ref="Z28:Z40" si="15">Q28</f>
        <v>111</v>
      </c>
      <c r="AA28" s="1351">
        <f t="shared" si="3"/>
        <v>1</v>
      </c>
      <c r="AB28" s="1351">
        <f t="shared" si="4"/>
        <v>1</v>
      </c>
      <c r="AC28" s="1351">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23"/>
      <c r="M29" s="914"/>
      <c r="N29" s="914"/>
      <c r="O29" s="922"/>
      <c r="P29" s="3830" t="s">
        <v>1696</v>
      </c>
      <c r="Q29" s="1350" t="str">
        <f t="shared" si="11"/>
        <v>建筑类型</v>
      </c>
      <c r="R29" s="705" t="s">
        <v>14</v>
      </c>
      <c r="S29" s="706">
        <f t="shared" si="12"/>
        <v>100</v>
      </c>
      <c r="T29" s="705" t="s">
        <v>14</v>
      </c>
      <c r="U29" s="706">
        <f t="shared" si="13"/>
        <v>100</v>
      </c>
      <c r="V29" s="705" t="s">
        <v>14</v>
      </c>
      <c r="W29" s="706">
        <f t="shared" si="14"/>
        <v>100</v>
      </c>
      <c r="X29" s="1353"/>
      <c r="Y29" s="378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8"/>
      <c r="Q30" s="707" t="str">
        <f t="shared" si="11"/>
        <v>项目建筑规模</v>
      </c>
      <c r="R30" s="708" t="s">
        <v>14</v>
      </c>
      <c r="S30" s="709" t="e">
        <f t="shared" si="12"/>
        <v>#N/A</v>
      </c>
      <c r="T30" s="708" t="s">
        <v>14</v>
      </c>
      <c r="U30" s="709" t="e">
        <f t="shared" si="13"/>
        <v>#N/A</v>
      </c>
      <c r="V30" s="708" t="s">
        <v>14</v>
      </c>
      <c r="W30" s="709" t="e">
        <f t="shared" si="14"/>
        <v>#N/A</v>
      </c>
      <c r="X30" s="710"/>
      <c r="Y30" s="3788"/>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8"/>
      <c r="Q31" s="1350" t="str">
        <f t="shared" si="11"/>
        <v>建筑结构</v>
      </c>
      <c r="R31" s="705" t="s">
        <v>14</v>
      </c>
      <c r="S31" s="706">
        <f t="shared" si="12"/>
        <v>100</v>
      </c>
      <c r="T31" s="705" t="s">
        <v>14</v>
      </c>
      <c r="U31" s="706">
        <f t="shared" si="13"/>
        <v>100</v>
      </c>
      <c r="V31" s="705" t="s">
        <v>14</v>
      </c>
      <c r="W31" s="706">
        <f t="shared" si="14"/>
        <v>100</v>
      </c>
      <c r="X31" s="1353"/>
      <c r="Y31" s="378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8"/>
      <c r="Q32" s="1350" t="str">
        <f t="shared" si="11"/>
        <v>公共部分装修</v>
      </c>
      <c r="R32" s="705" t="s">
        <v>14</v>
      </c>
      <c r="S32" s="706">
        <f t="shared" si="12"/>
        <v>100</v>
      </c>
      <c r="T32" s="705" t="s">
        <v>14</v>
      </c>
      <c r="U32" s="706">
        <f t="shared" si="13"/>
        <v>100</v>
      </c>
      <c r="V32" s="705" t="s">
        <v>14</v>
      </c>
      <c r="W32" s="706">
        <f t="shared" si="14"/>
        <v>100</v>
      </c>
      <c r="X32" s="1353"/>
      <c r="Y32" s="378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8"/>
      <c r="Q33" s="1350" t="str">
        <f t="shared" si="11"/>
        <v>成新度</v>
      </c>
      <c r="R33" s="705" t="s">
        <v>14</v>
      </c>
      <c r="S33" s="706" t="e">
        <f t="shared" si="12"/>
        <v>#N/A</v>
      </c>
      <c r="T33" s="705" t="s">
        <v>14</v>
      </c>
      <c r="U33" s="706" t="e">
        <f t="shared" si="13"/>
        <v>#N/A</v>
      </c>
      <c r="V33" s="705" t="s">
        <v>14</v>
      </c>
      <c r="W33" s="706" t="e">
        <f t="shared" si="14"/>
        <v>#N/A</v>
      </c>
      <c r="X33" s="1353"/>
      <c r="Y33" s="378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8"/>
      <c r="Q34" s="1341" t="str">
        <f t="shared" si="11"/>
        <v>物业管理</v>
      </c>
      <c r="R34" s="701" t="s">
        <v>14</v>
      </c>
      <c r="S34" s="702">
        <f t="shared" si="12"/>
        <v>100</v>
      </c>
      <c r="T34" s="701" t="s">
        <v>14</v>
      </c>
      <c r="U34" s="702">
        <f t="shared" si="13"/>
        <v>100</v>
      </c>
      <c r="V34" s="701" t="s">
        <v>14</v>
      </c>
      <c r="W34" s="702">
        <f t="shared" si="14"/>
        <v>100</v>
      </c>
      <c r="X34" s="703"/>
      <c r="Y34" s="37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8" t="s">
        <v>1696</v>
      </c>
      <c r="Q35" s="1350" t="str">
        <f t="shared" si="11"/>
        <v>市政基础设施</v>
      </c>
      <c r="R35" s="705" t="s">
        <v>14</v>
      </c>
      <c r="S35" s="706">
        <f t="shared" si="12"/>
        <v>100</v>
      </c>
      <c r="T35" s="705" t="s">
        <v>14</v>
      </c>
      <c r="U35" s="706">
        <f t="shared" si="13"/>
        <v>100</v>
      </c>
      <c r="V35" s="705" t="s">
        <v>14</v>
      </c>
      <c r="W35" s="706">
        <f t="shared" si="14"/>
        <v>100</v>
      </c>
      <c r="X35" s="1353"/>
      <c r="Y35" s="378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8"/>
      <c r="Q36" s="1350" t="str">
        <f t="shared" si="11"/>
        <v>内部装修</v>
      </c>
      <c r="R36" s="705" t="s">
        <v>14</v>
      </c>
      <c r="S36" s="706">
        <f t="shared" si="12"/>
        <v>100</v>
      </c>
      <c r="T36" s="705" t="s">
        <v>14</v>
      </c>
      <c r="U36" s="706">
        <f t="shared" si="13"/>
        <v>100</v>
      </c>
      <c r="V36" s="705" t="s">
        <v>14</v>
      </c>
      <c r="W36" s="706">
        <f t="shared" si="14"/>
        <v>100</v>
      </c>
      <c r="X36" s="1353"/>
      <c r="Y36" s="378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8"/>
      <c r="Q37" s="1350" t="str">
        <f t="shared" si="11"/>
        <v>内部装修状况</v>
      </c>
      <c r="R37" s="705" t="s">
        <v>14</v>
      </c>
      <c r="S37" s="706">
        <f t="shared" si="12"/>
        <v>100</v>
      </c>
      <c r="T37" s="705" t="s">
        <v>14</v>
      </c>
      <c r="U37" s="706">
        <f t="shared" si="13"/>
        <v>100</v>
      </c>
      <c r="V37" s="705" t="s">
        <v>14</v>
      </c>
      <c r="W37" s="706">
        <f t="shared" si="14"/>
        <v>100</v>
      </c>
      <c r="X37" s="1353"/>
      <c r="Y37" s="378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8"/>
      <c r="Q38" s="707">
        <f t="shared" si="11"/>
        <v>111</v>
      </c>
      <c r="R38" s="708" t="s">
        <v>14</v>
      </c>
      <c r="S38" s="709">
        <f t="shared" si="12"/>
        <v>100</v>
      </c>
      <c r="T38" s="708" t="s">
        <v>14</v>
      </c>
      <c r="U38" s="709">
        <f t="shared" si="13"/>
        <v>100</v>
      </c>
      <c r="V38" s="708" t="s">
        <v>14</v>
      </c>
      <c r="W38" s="709">
        <f t="shared" si="14"/>
        <v>100</v>
      </c>
      <c r="X38" s="710"/>
      <c r="Y38" s="3788"/>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8"/>
      <c r="Q39" s="1350">
        <f t="shared" si="11"/>
        <v>111</v>
      </c>
      <c r="R39" s="705" t="s">
        <v>14</v>
      </c>
      <c r="S39" s="706">
        <f t="shared" si="12"/>
        <v>100</v>
      </c>
      <c r="T39" s="705" t="s">
        <v>14</v>
      </c>
      <c r="U39" s="706">
        <f t="shared" si="13"/>
        <v>100</v>
      </c>
      <c r="V39" s="705" t="s">
        <v>14</v>
      </c>
      <c r="W39" s="706">
        <f t="shared" si="14"/>
        <v>100</v>
      </c>
      <c r="X39" s="1353"/>
      <c r="Y39" s="3788"/>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9"/>
      <c r="Q40" s="1350">
        <f t="shared" si="11"/>
        <v>111</v>
      </c>
      <c r="R40" s="705" t="s">
        <v>14</v>
      </c>
      <c r="S40" s="706">
        <f t="shared" si="12"/>
        <v>100</v>
      </c>
      <c r="T40" s="705" t="s">
        <v>14</v>
      </c>
      <c r="U40" s="706">
        <f t="shared" si="13"/>
        <v>100</v>
      </c>
      <c r="V40" s="705" t="s">
        <v>14</v>
      </c>
      <c r="W40" s="706">
        <f t="shared" si="14"/>
        <v>100</v>
      </c>
      <c r="X40" s="1353"/>
      <c r="Y40" s="378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781" t="str">
        <f>A41</f>
        <v>成交单价（元/平方米）</v>
      </c>
      <c r="Q41" s="3781"/>
      <c r="R41" s="3782">
        <f>E41</f>
        <v>0</v>
      </c>
      <c r="S41" s="3782"/>
      <c r="T41" s="3782">
        <f>G41</f>
        <v>0</v>
      </c>
      <c r="U41" s="3782"/>
      <c r="V41" s="3782">
        <f>I41</f>
        <v>0</v>
      </c>
      <c r="W41" s="3782"/>
      <c r="X41" s="690"/>
      <c r="Y41" s="712"/>
      <c r="Z41" s="690"/>
      <c r="AA41" s="690"/>
      <c r="AB41" s="690"/>
      <c r="AC41" s="690"/>
    </row>
    <row r="42" spans="1:29" ht="15.75" thickBot="1">
      <c r="A42" s="437" t="s">
        <v>1793</v>
      </c>
      <c r="B42" s="438"/>
      <c r="C42" s="1159" t="e">
        <f>R43</f>
        <v>#DIV/0!</v>
      </c>
      <c r="D42" s="2312" t="s">
        <v>2136</v>
      </c>
      <c r="E42" s="1160" t="e">
        <f>R42</f>
        <v>#DIV/0!</v>
      </c>
      <c r="F42" s="2313"/>
      <c r="G42" s="1159" t="e">
        <f>T42</f>
        <v>#DIV/0!</v>
      </c>
      <c r="H42" s="2313"/>
      <c r="I42" s="1160" t="e">
        <f>V42</f>
        <v>#DIV/0!</v>
      </c>
      <c r="J42" s="2313"/>
      <c r="K42" s="2315">
        <f>F42+H42+J42</f>
        <v>0</v>
      </c>
      <c r="L42" s="926"/>
      <c r="M42" s="927"/>
      <c r="N42" s="914"/>
      <c r="O42" s="927"/>
      <c r="P42" s="3781" t="str">
        <f>A42</f>
        <v>比较价值（元/平方米）</v>
      </c>
      <c r="Q42" s="3781"/>
      <c r="R42" s="3782" t="e">
        <f>IF(F1="售价",ROUND(PRODUCT(R41,AA7:AA40),0),ROUND(PRODUCT(R41,AA7:AA40),1))</f>
        <v>#DIV/0!</v>
      </c>
      <c r="S42" s="3782"/>
      <c r="T42" s="3782" t="e">
        <f>IF(F1="售价",ROUND(PRODUCT(T41,AB7:AB40),0),ROUND(PRODUCT(T41,AB7:AB40),1))</f>
        <v>#DIV/0!</v>
      </c>
      <c r="U42" s="3782"/>
      <c r="V42" s="3782" t="e">
        <f>IF(F1="售价",ROUND(PRODUCT(V41,AC7:AC40),0),ROUND(PRODUCT(V41,AC7:AC40),1))</f>
        <v>#DIV/0!</v>
      </c>
      <c r="W42" s="3782"/>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2" t="str">
        <f>YEAR(C7)&amp;"-"&amp;MONTH(C7)</f>
        <v>2023-7</v>
      </c>
      <c r="D52" s="1183">
        <f>EDATE(C52,-1)</f>
        <v>45078</v>
      </c>
      <c r="E52" s="1183">
        <f t="shared" ref="E52:O52" si="16">EDATE(D52,-1)</f>
        <v>45047</v>
      </c>
      <c r="F52" s="1183">
        <f t="shared" si="16"/>
        <v>45017</v>
      </c>
      <c r="G52" s="1183">
        <f t="shared" si="16"/>
        <v>44986</v>
      </c>
      <c r="H52" s="1183">
        <f t="shared" si="16"/>
        <v>44958</v>
      </c>
      <c r="I52" s="1183">
        <f t="shared" si="16"/>
        <v>44927</v>
      </c>
      <c r="J52" s="1183">
        <f t="shared" si="16"/>
        <v>44896</v>
      </c>
      <c r="K52" s="1183">
        <f t="shared" si="16"/>
        <v>44866</v>
      </c>
      <c r="L52" s="1183">
        <f t="shared" si="16"/>
        <v>44835</v>
      </c>
      <c r="M52" s="1183">
        <f t="shared" si="16"/>
        <v>44805</v>
      </c>
      <c r="N52" s="1183">
        <f t="shared" si="16"/>
        <v>44774</v>
      </c>
      <c r="O52" s="1183">
        <f t="shared" si="16"/>
        <v>44743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3"/>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3"/>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96" t="s">
        <v>1770</v>
      </c>
      <c r="D4" s="3797"/>
      <c r="E4" s="3798" t="s">
        <v>1771</v>
      </c>
      <c r="F4" s="3799"/>
      <c r="G4" s="3796" t="s">
        <v>1772</v>
      </c>
      <c r="H4" s="3797"/>
      <c r="I4" s="3796" t="s">
        <v>1773</v>
      </c>
      <c r="J4" s="3797"/>
      <c r="K4" s="559" t="s">
        <v>1774</v>
      </c>
      <c r="L4" s="2710"/>
      <c r="M4" s="2711"/>
      <c r="N4" s="2711"/>
      <c r="O4" s="2711"/>
      <c r="P4" s="3800" t="s">
        <v>1775</v>
      </c>
      <c r="Q4" s="3801"/>
      <c r="R4" s="3806" t="s">
        <v>1771</v>
      </c>
      <c r="S4" s="3807"/>
      <c r="T4" s="3806" t="s">
        <v>1772</v>
      </c>
      <c r="U4" s="3807"/>
      <c r="V4" s="3812" t="s">
        <v>1773</v>
      </c>
      <c r="W4" s="3812"/>
      <c r="X4" s="1353"/>
      <c r="Y4" s="3806" t="s">
        <v>1775</v>
      </c>
      <c r="Z4" s="3807"/>
      <c r="AA4" s="3793" t="s">
        <v>1771</v>
      </c>
      <c r="AB4" s="3794" t="s">
        <v>1772</v>
      </c>
      <c r="AC4" s="3793" t="s">
        <v>1773</v>
      </c>
    </row>
    <row r="5" spans="1:29" ht="15">
      <c r="A5" s="358"/>
      <c r="B5" s="359"/>
      <c r="C5" s="3815" t="s">
        <v>1673</v>
      </c>
      <c r="D5" s="3816"/>
      <c r="E5" s="3822" t="s">
        <v>1674</v>
      </c>
      <c r="F5" s="3823"/>
      <c r="G5" s="3815" t="s">
        <v>1675</v>
      </c>
      <c r="H5" s="3816"/>
      <c r="I5" s="3815" t="s">
        <v>1676</v>
      </c>
      <c r="J5" s="3816"/>
      <c r="K5" s="559"/>
      <c r="L5" s="2710"/>
      <c r="M5" s="2711"/>
      <c r="N5" s="2711"/>
      <c r="O5" s="2711"/>
      <c r="P5" s="3802"/>
      <c r="Q5" s="3803"/>
      <c r="R5" s="3808"/>
      <c r="S5" s="3809"/>
      <c r="T5" s="3808"/>
      <c r="U5" s="3809"/>
      <c r="V5" s="3812"/>
      <c r="W5" s="3812"/>
      <c r="X5" s="1353"/>
      <c r="Y5" s="3808"/>
      <c r="Z5" s="3809"/>
      <c r="AA5" s="3794"/>
      <c r="AB5" s="3794"/>
      <c r="AC5" s="3794"/>
    </row>
    <row r="6" spans="1:29" ht="15.75" thickBot="1">
      <c r="A6" s="360"/>
      <c r="B6" s="361"/>
      <c r="C6" s="3813" t="s">
        <v>1677</v>
      </c>
      <c r="D6" s="3814"/>
      <c r="E6" s="3820" t="s">
        <v>1677</v>
      </c>
      <c r="F6" s="3821"/>
      <c r="G6" s="3813" t="s">
        <v>1677</v>
      </c>
      <c r="H6" s="3814"/>
      <c r="I6" s="3813" t="s">
        <v>1677</v>
      </c>
      <c r="J6" s="3814"/>
      <c r="K6" s="559" t="s">
        <v>1678</v>
      </c>
      <c r="L6" s="2710"/>
      <c r="M6" s="2711"/>
      <c r="N6" s="2711"/>
      <c r="O6" s="2711"/>
      <c r="P6" s="3804"/>
      <c r="Q6" s="3805"/>
      <c r="R6" s="3808"/>
      <c r="S6" s="3809"/>
      <c r="T6" s="3810"/>
      <c r="U6" s="3811"/>
      <c r="V6" s="3812"/>
      <c r="W6" s="3812"/>
      <c r="X6" s="1353"/>
      <c r="Y6" s="3810"/>
      <c r="Z6" s="3811"/>
      <c r="AA6" s="3795"/>
      <c r="AB6" s="3795"/>
      <c r="AC6" s="3795"/>
    </row>
    <row r="7" spans="1:29" s="108" customFormat="1" ht="15.75" thickBot="1">
      <c r="A7" s="362" t="s">
        <v>1679</v>
      </c>
      <c r="B7" s="363"/>
      <c r="C7" s="364">
        <f>'数据-取费表'!B2</f>
        <v>45126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817" t="s">
        <v>1680</v>
      </c>
      <c r="Q7" s="3819"/>
      <c r="R7" s="701" t="s">
        <v>14</v>
      </c>
      <c r="S7" s="702">
        <f t="shared" ref="S7:S14" si="0">F7</f>
        <v>0</v>
      </c>
      <c r="T7" s="701" t="s">
        <v>14</v>
      </c>
      <c r="U7" s="702">
        <f t="shared" ref="U7:U14" si="1">H7</f>
        <v>0</v>
      </c>
      <c r="V7" s="701" t="s">
        <v>14</v>
      </c>
      <c r="W7" s="702">
        <f t="shared" ref="W7:W14" si="2">J7</f>
        <v>0</v>
      </c>
      <c r="X7" s="703"/>
      <c r="Y7" s="3817" t="s">
        <v>1680</v>
      </c>
      <c r="Z7" s="381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817" t="s">
        <v>1683</v>
      </c>
      <c r="Q8" s="3818"/>
      <c r="R8" s="701" t="s">
        <v>14</v>
      </c>
      <c r="S8" s="702">
        <f t="shared" si="0"/>
        <v>100</v>
      </c>
      <c r="T8" s="701" t="s">
        <v>14</v>
      </c>
      <c r="U8" s="702">
        <f t="shared" si="1"/>
        <v>100</v>
      </c>
      <c r="V8" s="701" t="s">
        <v>14</v>
      </c>
      <c r="W8" s="702">
        <f t="shared" si="2"/>
        <v>100</v>
      </c>
      <c r="X8" s="703"/>
      <c r="Y8" s="3817" t="s">
        <v>1683</v>
      </c>
      <c r="Z8" s="381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81" t="s">
        <v>1686</v>
      </c>
      <c r="Q9" s="1341" t="str">
        <f t="shared" ref="Q9:Q14" si="6">B9</f>
        <v>用途</v>
      </c>
      <c r="R9" s="701" t="s">
        <v>14</v>
      </c>
      <c r="S9" s="702">
        <f t="shared" si="0"/>
        <v>100</v>
      </c>
      <c r="T9" s="701" t="s">
        <v>14</v>
      </c>
      <c r="U9" s="702">
        <f t="shared" si="1"/>
        <v>100</v>
      </c>
      <c r="V9" s="701" t="s">
        <v>14</v>
      </c>
      <c r="W9" s="702">
        <f t="shared" si="2"/>
        <v>100</v>
      </c>
      <c r="X9" s="703"/>
      <c r="Y9" s="3685"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81"/>
      <c r="Q10" s="1341"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81"/>
      <c r="Q11" s="1341">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81"/>
      <c r="Q12" s="1341">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81"/>
      <c r="Q13" s="1341">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83" t="s">
        <v>1691</v>
      </c>
      <c r="Q14" s="1350" t="str">
        <f t="shared" si="6"/>
        <v>交通便捷度</v>
      </c>
      <c r="R14" s="705" t="s">
        <v>14</v>
      </c>
      <c r="S14" s="706">
        <f t="shared" si="0"/>
        <v>100</v>
      </c>
      <c r="T14" s="705" t="s">
        <v>14</v>
      </c>
      <c r="U14" s="706">
        <f t="shared" si="1"/>
        <v>100</v>
      </c>
      <c r="V14" s="705" t="s">
        <v>14</v>
      </c>
      <c r="W14" s="706">
        <f t="shared" si="2"/>
        <v>100</v>
      </c>
      <c r="X14" s="1353"/>
      <c r="Y14" s="378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784"/>
      <c r="Q15" s="1350"/>
      <c r="R15" s="705"/>
      <c r="S15" s="706"/>
      <c r="T15" s="705"/>
      <c r="U15" s="706"/>
      <c r="V15" s="705"/>
      <c r="W15" s="706"/>
      <c r="X15" s="1353"/>
      <c r="Y15" s="3784"/>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84"/>
      <c r="Q16" s="1350" t="str">
        <f>B16</f>
        <v>公共配套设施</v>
      </c>
      <c r="R16" s="705" t="s">
        <v>14</v>
      </c>
      <c r="S16" s="706">
        <f>F16</f>
        <v>100</v>
      </c>
      <c r="T16" s="705" t="s">
        <v>14</v>
      </c>
      <c r="U16" s="706">
        <f>H16</f>
        <v>100</v>
      </c>
      <c r="V16" s="705" t="s">
        <v>14</v>
      </c>
      <c r="W16" s="706">
        <f>J16</f>
        <v>100</v>
      </c>
      <c r="X16" s="1353"/>
      <c r="Y16" s="3784"/>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7"/>
      <c r="M17" s="2711"/>
      <c r="N17" s="2711"/>
      <c r="O17" s="2769"/>
      <c r="P17" s="3784"/>
      <c r="Q17" s="1350"/>
      <c r="R17" s="705"/>
      <c r="S17" s="706"/>
      <c r="T17" s="705"/>
      <c r="U17" s="706"/>
      <c r="V17" s="705"/>
      <c r="W17" s="706"/>
      <c r="X17" s="1353"/>
      <c r="Y17" s="3784"/>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84"/>
      <c r="Q18" s="1350" t="str">
        <f>B18</f>
        <v>基础设施水平</v>
      </c>
      <c r="R18" s="705" t="s">
        <v>14</v>
      </c>
      <c r="S18" s="706">
        <f>F18</f>
        <v>100</v>
      </c>
      <c r="T18" s="705" t="s">
        <v>14</v>
      </c>
      <c r="U18" s="706">
        <f>H18</f>
        <v>100</v>
      </c>
      <c r="V18" s="705" t="s">
        <v>14</v>
      </c>
      <c r="W18" s="706">
        <f>J18</f>
        <v>100</v>
      </c>
      <c r="X18" s="1353"/>
      <c r="Y18" s="3784"/>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7"/>
      <c r="M19" s="2711"/>
      <c r="N19" s="2711"/>
      <c r="O19" s="2769"/>
      <c r="P19" s="3784"/>
      <c r="Q19" s="1350"/>
      <c r="R19" s="705"/>
      <c r="S19" s="706"/>
      <c r="T19" s="705"/>
      <c r="U19" s="706"/>
      <c r="V19" s="705"/>
      <c r="W19" s="706"/>
      <c r="X19" s="1353"/>
      <c r="Y19" s="3784"/>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84"/>
      <c r="Q20" s="1350" t="str">
        <f>B20</f>
        <v>自然及人文环境</v>
      </c>
      <c r="R20" s="705" t="s">
        <v>14</v>
      </c>
      <c r="S20" s="706">
        <f>F20</f>
        <v>100</v>
      </c>
      <c r="T20" s="705" t="s">
        <v>14</v>
      </c>
      <c r="U20" s="706">
        <f>H20</f>
        <v>100</v>
      </c>
      <c r="V20" s="705" t="s">
        <v>14</v>
      </c>
      <c r="W20" s="706">
        <f>J20</f>
        <v>100</v>
      </c>
      <c r="X20" s="1353"/>
      <c r="Y20" s="378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784"/>
      <c r="Q21" s="1350"/>
      <c r="R21" s="705"/>
      <c r="S21" s="706"/>
      <c r="T21" s="705"/>
      <c r="U21" s="706"/>
      <c r="V21" s="705"/>
      <c r="W21" s="706"/>
      <c r="X21" s="1353"/>
      <c r="Y21" s="378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84"/>
      <c r="Q22" s="1350" t="str">
        <f>B22</f>
        <v>楼层</v>
      </c>
      <c r="R22" s="705" t="s">
        <v>14</v>
      </c>
      <c r="S22" s="706">
        <f>F22</f>
        <v>100</v>
      </c>
      <c r="T22" s="705" t="s">
        <v>14</v>
      </c>
      <c r="U22" s="706">
        <f>H22</f>
        <v>100</v>
      </c>
      <c r="V22" s="705" t="s">
        <v>14</v>
      </c>
      <c r="W22" s="706">
        <f>J22</f>
        <v>100</v>
      </c>
      <c r="X22" s="1353"/>
      <c r="Y22" s="3784"/>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84"/>
      <c r="Q23" s="1350">
        <f>B23</f>
        <v>111</v>
      </c>
      <c r="R23" s="705" t="s">
        <v>14</v>
      </c>
      <c r="S23" s="706">
        <f>F23</f>
        <v>100</v>
      </c>
      <c r="T23" s="705" t="s">
        <v>14</v>
      </c>
      <c r="U23" s="706">
        <f>H23</f>
        <v>100</v>
      </c>
      <c r="V23" s="705" t="s">
        <v>14</v>
      </c>
      <c r="W23" s="706">
        <f>J23</f>
        <v>100</v>
      </c>
      <c r="X23" s="1353"/>
      <c r="Y23" s="3784"/>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84"/>
      <c r="Q24" s="1350">
        <f t="shared" ref="Q24:Q34" si="11">B24</f>
        <v>111</v>
      </c>
      <c r="R24" s="705" t="s">
        <v>14</v>
      </c>
      <c r="S24" s="706">
        <f>F24</f>
        <v>100</v>
      </c>
      <c r="T24" s="705" t="s">
        <v>14</v>
      </c>
      <c r="U24" s="706">
        <f>H24</f>
        <v>100</v>
      </c>
      <c r="V24" s="705" t="s">
        <v>14</v>
      </c>
      <c r="W24" s="706">
        <f>J24</f>
        <v>100</v>
      </c>
      <c r="X24" s="1353"/>
      <c r="Y24" s="3784"/>
      <c r="Z24" s="1354">
        <f>Q24</f>
        <v>111</v>
      </c>
      <c r="AA24" s="1351">
        <f t="shared" si="3"/>
        <v>1</v>
      </c>
      <c r="AB24" s="1351">
        <f t="shared" si="4"/>
        <v>1</v>
      </c>
      <c r="AC24" s="1351">
        <f t="shared" si="5"/>
        <v>1</v>
      </c>
    </row>
    <row r="25" spans="1:29" s="108" customFormat="1" ht="15.75" thickBot="1">
      <c r="A25" s="382"/>
      <c r="B25" s="1890">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84"/>
      <c r="Q25" s="1341">
        <f t="shared" si="11"/>
        <v>111</v>
      </c>
      <c r="R25" s="701" t="s">
        <v>14</v>
      </c>
      <c r="S25" s="702">
        <f>F25</f>
        <v>100</v>
      </c>
      <c r="T25" s="701" t="s">
        <v>14</v>
      </c>
      <c r="U25" s="702">
        <f>H25</f>
        <v>100</v>
      </c>
      <c r="V25" s="701" t="s">
        <v>14</v>
      </c>
      <c r="W25" s="702">
        <f>J25</f>
        <v>100</v>
      </c>
      <c r="X25" s="703"/>
      <c r="Y25" s="3784"/>
      <c r="Z25" s="52">
        <f>Q25</f>
        <v>111</v>
      </c>
      <c r="AA25" s="1351">
        <f>D25/F25</f>
        <v>1</v>
      </c>
      <c r="AB25" s="1351">
        <f>D25/H25</f>
        <v>1</v>
      </c>
      <c r="AC25" s="1351">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0"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8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88"/>
      <c r="Q27" s="707" t="str">
        <f t="shared" si="11"/>
        <v>成新率</v>
      </c>
      <c r="R27" s="708" t="s">
        <v>14</v>
      </c>
      <c r="S27" s="709" t="e">
        <f t="shared" si="12"/>
        <v>#N/A</v>
      </c>
      <c r="T27" s="708" t="s">
        <v>14</v>
      </c>
      <c r="U27" s="709" t="e">
        <f t="shared" si="13"/>
        <v>#N/A</v>
      </c>
      <c r="V27" s="708" t="s">
        <v>14</v>
      </c>
      <c r="W27" s="709" t="e">
        <f t="shared" si="14"/>
        <v>#N/A</v>
      </c>
      <c r="X27" s="710"/>
      <c r="Y27" s="3788"/>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88"/>
      <c r="Q28" s="1350" t="str">
        <f t="shared" si="11"/>
        <v>物业等级</v>
      </c>
      <c r="R28" s="705" t="s">
        <v>14</v>
      </c>
      <c r="S28" s="706">
        <f t="shared" si="12"/>
        <v>100</v>
      </c>
      <c r="T28" s="705" t="s">
        <v>14</v>
      </c>
      <c r="U28" s="706">
        <f t="shared" si="13"/>
        <v>100</v>
      </c>
      <c r="V28" s="705" t="s">
        <v>14</v>
      </c>
      <c r="W28" s="706">
        <f t="shared" si="14"/>
        <v>100</v>
      </c>
      <c r="X28" s="1353"/>
      <c r="Y28" s="378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88"/>
      <c r="Q29" s="1350" t="str">
        <f t="shared" si="11"/>
        <v>有无电梯</v>
      </c>
      <c r="R29" s="705" t="s">
        <v>14</v>
      </c>
      <c r="S29" s="706">
        <f t="shared" si="12"/>
        <v>100</v>
      </c>
      <c r="T29" s="705" t="s">
        <v>14</v>
      </c>
      <c r="U29" s="706">
        <f t="shared" si="13"/>
        <v>100</v>
      </c>
      <c r="V29" s="705" t="s">
        <v>14</v>
      </c>
      <c r="W29" s="706">
        <f t="shared" si="14"/>
        <v>100</v>
      </c>
      <c r="X29" s="1353"/>
      <c r="Y29" s="378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88"/>
      <c r="Q30" s="1350" t="str">
        <f t="shared" si="11"/>
        <v>建筑面积</v>
      </c>
      <c r="R30" s="705" t="s">
        <v>14</v>
      </c>
      <c r="S30" s="706" t="e">
        <f t="shared" si="12"/>
        <v>#N/A</v>
      </c>
      <c r="T30" s="705" t="s">
        <v>14</v>
      </c>
      <c r="U30" s="706" t="e">
        <f t="shared" si="13"/>
        <v>#N/A</v>
      </c>
      <c r="V30" s="705" t="s">
        <v>14</v>
      </c>
      <c r="W30" s="706" t="e">
        <f t="shared" si="14"/>
        <v>#N/A</v>
      </c>
      <c r="X30" s="1353"/>
      <c r="Y30" s="378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88"/>
      <c r="Q31" s="1341" t="str">
        <f t="shared" si="11"/>
        <v>是否封闭</v>
      </c>
      <c r="R31" s="701" t="s">
        <v>14</v>
      </c>
      <c r="S31" s="702">
        <f t="shared" si="12"/>
        <v>100</v>
      </c>
      <c r="T31" s="701" t="s">
        <v>14</v>
      </c>
      <c r="U31" s="702">
        <f t="shared" si="13"/>
        <v>100</v>
      </c>
      <c r="V31" s="701" t="s">
        <v>14</v>
      </c>
      <c r="W31" s="702">
        <f t="shared" si="14"/>
        <v>100</v>
      </c>
      <c r="X31" s="703"/>
      <c r="Y31" s="3788"/>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88" t="s">
        <v>1696</v>
      </c>
      <c r="Q32" s="1350">
        <f t="shared" si="11"/>
        <v>111</v>
      </c>
      <c r="R32" s="705" t="s">
        <v>14</v>
      </c>
      <c r="S32" s="706">
        <f t="shared" si="12"/>
        <v>100</v>
      </c>
      <c r="T32" s="705" t="s">
        <v>14</v>
      </c>
      <c r="U32" s="706">
        <f t="shared" si="13"/>
        <v>100</v>
      </c>
      <c r="V32" s="705" t="s">
        <v>14</v>
      </c>
      <c r="W32" s="706">
        <f t="shared" si="14"/>
        <v>100</v>
      </c>
      <c r="X32" s="1353"/>
      <c r="Y32" s="3788"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88"/>
      <c r="Q33" s="1350">
        <f t="shared" si="11"/>
        <v>111</v>
      </c>
      <c r="R33" s="705" t="s">
        <v>14</v>
      </c>
      <c r="S33" s="706">
        <f t="shared" si="12"/>
        <v>100</v>
      </c>
      <c r="T33" s="705" t="s">
        <v>14</v>
      </c>
      <c r="U33" s="706">
        <f t="shared" si="13"/>
        <v>100</v>
      </c>
      <c r="V33" s="705" t="s">
        <v>14</v>
      </c>
      <c r="W33" s="706">
        <f t="shared" si="14"/>
        <v>100</v>
      </c>
      <c r="X33" s="1353"/>
      <c r="Y33" s="3788"/>
      <c r="Z33" s="1354">
        <f t="shared" si="15"/>
        <v>111</v>
      </c>
      <c r="AA33" s="1351">
        <f t="shared" si="3"/>
        <v>1</v>
      </c>
      <c r="AB33" s="1351">
        <f t="shared" si="4"/>
        <v>1</v>
      </c>
      <c r="AC33" s="1351">
        <f t="shared" si="5"/>
        <v>1</v>
      </c>
    </row>
    <row r="34" spans="1:30" ht="15.75" thickBot="1">
      <c r="A34" s="429"/>
      <c r="B34" s="1892">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88"/>
      <c r="Q34" s="1350">
        <f t="shared" si="11"/>
        <v>111</v>
      </c>
      <c r="R34" s="705" t="s">
        <v>14</v>
      </c>
      <c r="S34" s="706">
        <f t="shared" si="12"/>
        <v>100</v>
      </c>
      <c r="T34" s="705" t="s">
        <v>14</v>
      </c>
      <c r="U34" s="706">
        <f t="shared" si="13"/>
        <v>100</v>
      </c>
      <c r="V34" s="705" t="s">
        <v>14</v>
      </c>
      <c r="W34" s="706">
        <f t="shared" si="14"/>
        <v>100</v>
      </c>
      <c r="X34" s="1353"/>
      <c r="Y34" s="378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19"/>
      <c r="M35" s="2720"/>
      <c r="N35" s="2711"/>
      <c r="O35" s="2720"/>
      <c r="P35" s="3781" t="str">
        <f>A35</f>
        <v>成交单价（元/平方米）</v>
      </c>
      <c r="Q35" s="3781"/>
      <c r="R35" s="3782">
        <f>E35</f>
        <v>0</v>
      </c>
      <c r="S35" s="3782"/>
      <c r="T35" s="3782">
        <f>G35</f>
        <v>0</v>
      </c>
      <c r="U35" s="3782"/>
      <c r="V35" s="3782">
        <f>I35</f>
        <v>0</v>
      </c>
      <c r="W35" s="3782"/>
      <c r="X35" s="690"/>
      <c r="Y35" s="712"/>
      <c r="Z35" s="690"/>
      <c r="AA35" s="690"/>
      <c r="AB35" s="690"/>
      <c r="AC35" s="690"/>
    </row>
    <row r="36" spans="1:30" ht="15.75" thickBot="1">
      <c r="A36" s="437" t="s">
        <v>1793</v>
      </c>
      <c r="B36" s="438"/>
      <c r="C36" s="1159" t="e">
        <f>R37</f>
        <v>#DIV/0!</v>
      </c>
      <c r="D36" s="2312" t="s">
        <v>2136</v>
      </c>
      <c r="E36" s="1160" t="e">
        <f>R36</f>
        <v>#DIV/0!</v>
      </c>
      <c r="F36" s="2313"/>
      <c r="G36" s="1159" t="e">
        <f>T36</f>
        <v>#DIV/0!</v>
      </c>
      <c r="H36" s="2313"/>
      <c r="I36" s="1160" t="e">
        <f>V36</f>
        <v>#DIV/0!</v>
      </c>
      <c r="J36" s="2313"/>
      <c r="K36" s="2315">
        <f>F36+H36+J36</f>
        <v>0</v>
      </c>
      <c r="L36" s="2719"/>
      <c r="M36" s="2720"/>
      <c r="N36" s="2711"/>
      <c r="O36" s="2720"/>
      <c r="P36" s="3781" t="str">
        <f>A36</f>
        <v>比较价值（元/平方米）</v>
      </c>
      <c r="Q36" s="3781"/>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9"/>
      <c r="M37" s="2720"/>
      <c r="N37" s="2720"/>
      <c r="O37" s="2720"/>
      <c r="P37" s="3778" t="str">
        <f>A37</f>
        <v>估价对象XX用房的比较价值（楼面单价，元/平方米）</v>
      </c>
      <c r="Q37" s="3779"/>
      <c r="R37" s="3872" t="e">
        <f>IF(F1="售价",ROUND(IF(D36="简单平均",AVERAGE(R36:W36),R36*F36+T36*H36+V36*J36),0),ROUND(IF(D36="简单平均",AVERAGE(R36:V36),R36*F36+T36*H36+V36*J36),1))</f>
        <v>#DIV/0!</v>
      </c>
      <c r="S37" s="3872"/>
      <c r="T37" s="3872"/>
      <c r="U37" s="3872"/>
      <c r="V37" s="3872"/>
      <c r="W37" s="3872"/>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2" t="str">
        <f>YEAR(C7)&amp;"-"&amp;MONTH(C7)</f>
        <v>2023-7</v>
      </c>
      <c r="D46" s="1183">
        <f>EDATE(C46,-1)</f>
        <v>45078</v>
      </c>
      <c r="E46" s="1183">
        <f t="shared" ref="E46:O46" si="16">EDATE(D46,-1)</f>
        <v>45047</v>
      </c>
      <c r="F46" s="1183">
        <f t="shared" si="16"/>
        <v>45017</v>
      </c>
      <c r="G46" s="1183">
        <f t="shared" si="16"/>
        <v>44986</v>
      </c>
      <c r="H46" s="1183">
        <f t="shared" si="16"/>
        <v>44958</v>
      </c>
      <c r="I46" s="1183">
        <f t="shared" si="16"/>
        <v>44927</v>
      </c>
      <c r="J46" s="1183">
        <f t="shared" si="16"/>
        <v>44896</v>
      </c>
      <c r="K46" s="1183">
        <f t="shared" si="16"/>
        <v>44866</v>
      </c>
      <c r="L46" s="1183">
        <f t="shared" si="16"/>
        <v>44835</v>
      </c>
      <c r="M46" s="1183">
        <f t="shared" si="16"/>
        <v>44805</v>
      </c>
      <c r="N46" s="1183">
        <f t="shared" si="16"/>
        <v>44774</v>
      </c>
      <c r="O46" s="1183">
        <f t="shared" si="16"/>
        <v>44743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96" t="s">
        <v>1770</v>
      </c>
      <c r="D4" s="3797"/>
      <c r="E4" s="3798" t="s">
        <v>1771</v>
      </c>
      <c r="F4" s="3799"/>
      <c r="G4" s="3796" t="s">
        <v>1772</v>
      </c>
      <c r="H4" s="3797"/>
      <c r="I4" s="3796" t="s">
        <v>1773</v>
      </c>
      <c r="J4" s="3797"/>
      <c r="K4" s="559" t="s">
        <v>1774</v>
      </c>
      <c r="L4" s="2710"/>
      <c r="M4" s="2711"/>
      <c r="N4" s="2711"/>
      <c r="O4" s="2711"/>
      <c r="P4" s="3800" t="s">
        <v>1775</v>
      </c>
      <c r="Q4" s="3801"/>
      <c r="R4" s="3806" t="s">
        <v>1771</v>
      </c>
      <c r="S4" s="3807"/>
      <c r="T4" s="3806" t="s">
        <v>1772</v>
      </c>
      <c r="U4" s="3807"/>
      <c r="V4" s="3812" t="s">
        <v>1773</v>
      </c>
      <c r="W4" s="3812"/>
      <c r="X4" s="1353"/>
      <c r="Y4" s="3806" t="s">
        <v>1775</v>
      </c>
      <c r="Z4" s="3807"/>
      <c r="AA4" s="3793" t="s">
        <v>1771</v>
      </c>
      <c r="AB4" s="3794" t="s">
        <v>1772</v>
      </c>
      <c r="AC4" s="3793" t="s">
        <v>1773</v>
      </c>
    </row>
    <row r="5" spans="1:29" ht="15">
      <c r="A5" s="358"/>
      <c r="B5" s="359"/>
      <c r="C5" s="3815" t="s">
        <v>1673</v>
      </c>
      <c r="D5" s="3816"/>
      <c r="E5" s="3822" t="s">
        <v>1674</v>
      </c>
      <c r="F5" s="3823"/>
      <c r="G5" s="3815" t="s">
        <v>1675</v>
      </c>
      <c r="H5" s="3816"/>
      <c r="I5" s="3815" t="s">
        <v>1676</v>
      </c>
      <c r="J5" s="3816"/>
      <c r="K5" s="559"/>
      <c r="L5" s="2710"/>
      <c r="M5" s="2711"/>
      <c r="N5" s="2711"/>
      <c r="O5" s="2711"/>
      <c r="P5" s="3802"/>
      <c r="Q5" s="3803"/>
      <c r="R5" s="3808"/>
      <c r="S5" s="3809"/>
      <c r="T5" s="3808"/>
      <c r="U5" s="3809"/>
      <c r="V5" s="3812"/>
      <c r="W5" s="3812"/>
      <c r="X5" s="1353"/>
      <c r="Y5" s="3808"/>
      <c r="Z5" s="3809"/>
      <c r="AA5" s="3794"/>
      <c r="AB5" s="3794"/>
      <c r="AC5" s="3794"/>
    </row>
    <row r="6" spans="1:29" ht="15.75" thickBot="1">
      <c r="A6" s="360"/>
      <c r="B6" s="361"/>
      <c r="C6" s="3873" t="s">
        <v>1919</v>
      </c>
      <c r="D6" s="3874"/>
      <c r="E6" s="3875" t="s">
        <v>1919</v>
      </c>
      <c r="F6" s="3876"/>
      <c r="G6" s="3873" t="s">
        <v>1919</v>
      </c>
      <c r="H6" s="3874"/>
      <c r="I6" s="3873" t="s">
        <v>1919</v>
      </c>
      <c r="J6" s="3874"/>
      <c r="K6" s="559" t="s">
        <v>1678</v>
      </c>
      <c r="L6" s="2710"/>
      <c r="M6" s="2711"/>
      <c r="N6" s="2711"/>
      <c r="O6" s="2711"/>
      <c r="P6" s="3804"/>
      <c r="Q6" s="3805"/>
      <c r="R6" s="3808"/>
      <c r="S6" s="3809"/>
      <c r="T6" s="3810"/>
      <c r="U6" s="3811"/>
      <c r="V6" s="3812"/>
      <c r="W6" s="3812"/>
      <c r="X6" s="1353"/>
      <c r="Y6" s="3810"/>
      <c r="Z6" s="3811"/>
      <c r="AA6" s="3795"/>
      <c r="AB6" s="3795"/>
      <c r="AC6" s="3795"/>
    </row>
    <row r="7" spans="1:29" s="108" customFormat="1" ht="15.75" thickBot="1">
      <c r="A7" s="362" t="s">
        <v>1679</v>
      </c>
      <c r="B7" s="363"/>
      <c r="C7" s="364">
        <f>'数据-取费表'!B2</f>
        <v>45126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817" t="s">
        <v>1680</v>
      </c>
      <c r="Q7" s="3819"/>
      <c r="R7" s="701" t="s">
        <v>14</v>
      </c>
      <c r="S7" s="702">
        <f t="shared" ref="S7:S15" si="0">F7</f>
        <v>0</v>
      </c>
      <c r="T7" s="701" t="s">
        <v>14</v>
      </c>
      <c r="U7" s="702">
        <f t="shared" ref="U7:U15" si="1">H7</f>
        <v>0</v>
      </c>
      <c r="V7" s="701" t="s">
        <v>14</v>
      </c>
      <c r="W7" s="702">
        <f t="shared" ref="W7:W15" si="2">J7</f>
        <v>0</v>
      </c>
      <c r="X7" s="703"/>
      <c r="Y7" s="3817" t="s">
        <v>1680</v>
      </c>
      <c r="Z7" s="381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817" t="s">
        <v>1683</v>
      </c>
      <c r="Q8" s="3818"/>
      <c r="R8" s="701" t="s">
        <v>14</v>
      </c>
      <c r="S8" s="702">
        <f t="shared" si="0"/>
        <v>0</v>
      </c>
      <c r="T8" s="701" t="s">
        <v>14</v>
      </c>
      <c r="U8" s="702">
        <f t="shared" si="1"/>
        <v>0</v>
      </c>
      <c r="V8" s="701" t="s">
        <v>14</v>
      </c>
      <c r="W8" s="702">
        <f t="shared" si="2"/>
        <v>0</v>
      </c>
      <c r="X8" s="703"/>
      <c r="Y8" s="3817" t="s">
        <v>1683</v>
      </c>
      <c r="Z8" s="3818"/>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81" t="s">
        <v>1686</v>
      </c>
      <c r="Q9" s="1341"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81"/>
      <c r="Q10" s="1341" t="str">
        <f t="shared" si="6"/>
        <v>土地使用年限（年）</v>
      </c>
      <c r="R10" s="701" t="s">
        <v>14</v>
      </c>
      <c r="S10" s="702">
        <f t="shared" si="0"/>
        <v>101</v>
      </c>
      <c r="T10" s="701" t="s">
        <v>14</v>
      </c>
      <c r="U10" s="702">
        <f t="shared" si="1"/>
        <v>101</v>
      </c>
      <c r="V10" s="701" t="s">
        <v>14</v>
      </c>
      <c r="W10" s="702">
        <f t="shared" si="2"/>
        <v>101</v>
      </c>
      <c r="X10" s="703"/>
      <c r="Y10" s="3685"/>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81"/>
      <c r="Q11" s="1341"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81"/>
      <c r="Q12" s="1341">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81"/>
      <c r="Q13" s="1341">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81"/>
      <c r="Q14" s="1341">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83" t="s">
        <v>1691</v>
      </c>
      <c r="Q15" s="1350" t="str">
        <f t="shared" si="6"/>
        <v>产业集聚程度</v>
      </c>
      <c r="R15" s="705" t="s">
        <v>14</v>
      </c>
      <c r="S15" s="706">
        <f t="shared" si="0"/>
        <v>100</v>
      </c>
      <c r="T15" s="705" t="s">
        <v>14</v>
      </c>
      <c r="U15" s="706">
        <f t="shared" si="1"/>
        <v>100</v>
      </c>
      <c r="V15" s="705" t="s">
        <v>14</v>
      </c>
      <c r="W15" s="706">
        <f t="shared" si="2"/>
        <v>100</v>
      </c>
      <c r="X15" s="1353"/>
      <c r="Y15" s="3783" t="s">
        <v>1691</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717"/>
      <c r="M16" s="2711"/>
      <c r="N16" s="2711"/>
      <c r="O16" s="2769"/>
      <c r="P16" s="3784"/>
      <c r="Q16" s="1350"/>
      <c r="R16" s="705"/>
      <c r="S16" s="706"/>
      <c r="T16" s="705"/>
      <c r="U16" s="706"/>
      <c r="V16" s="705"/>
      <c r="W16" s="706"/>
      <c r="X16" s="1353"/>
      <c r="Y16" s="3784"/>
      <c r="Z16" s="1354"/>
      <c r="AA16" s="1351">
        <v>1</v>
      </c>
      <c r="AB16" s="1351">
        <v>1</v>
      </c>
      <c r="AC16" s="1351">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84"/>
      <c r="Q17" s="1350" t="str">
        <f>B17</f>
        <v>交通便捷度</v>
      </c>
      <c r="R17" s="705" t="s">
        <v>14</v>
      </c>
      <c r="S17" s="706">
        <f>F17</f>
        <v>100</v>
      </c>
      <c r="T17" s="705" t="s">
        <v>14</v>
      </c>
      <c r="U17" s="706">
        <f>H17</f>
        <v>100</v>
      </c>
      <c r="V17" s="705" t="s">
        <v>14</v>
      </c>
      <c r="W17" s="706">
        <f>J17</f>
        <v>100</v>
      </c>
      <c r="X17" s="1353"/>
      <c r="Y17" s="3784"/>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717"/>
      <c r="M18" s="2711"/>
      <c r="N18" s="2711"/>
      <c r="O18" s="2769"/>
      <c r="P18" s="3784"/>
      <c r="Q18" s="1350"/>
      <c r="R18" s="705"/>
      <c r="S18" s="706"/>
      <c r="T18" s="705"/>
      <c r="U18" s="706"/>
      <c r="V18" s="705"/>
      <c r="W18" s="706"/>
      <c r="X18" s="1353"/>
      <c r="Y18" s="3784"/>
      <c r="Z18" s="1354"/>
      <c r="AA18" s="1351">
        <v>1</v>
      </c>
      <c r="AB18" s="1351">
        <v>1</v>
      </c>
      <c r="AC18" s="1351">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84"/>
      <c r="Q19" s="1350" t="str">
        <f t="shared" ref="Q19:Q33" si="8">B19</f>
        <v>区域土地利用方向</v>
      </c>
      <c r="R19" s="705" t="s">
        <v>14</v>
      </c>
      <c r="S19" s="706">
        <f>F19</f>
        <v>100</v>
      </c>
      <c r="T19" s="705" t="s">
        <v>14</v>
      </c>
      <c r="U19" s="706">
        <f>H19</f>
        <v>100</v>
      </c>
      <c r="V19" s="705" t="s">
        <v>14</v>
      </c>
      <c r="W19" s="706">
        <f>J19</f>
        <v>100</v>
      </c>
      <c r="X19" s="1353"/>
      <c r="Y19" s="3784"/>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717"/>
      <c r="M20" s="2711"/>
      <c r="N20" s="2711"/>
      <c r="O20" s="2769"/>
      <c r="P20" s="3784"/>
      <c r="Q20" s="1350"/>
      <c r="R20" s="705"/>
      <c r="S20" s="706"/>
      <c r="T20" s="705"/>
      <c r="U20" s="706"/>
      <c r="V20" s="705"/>
      <c r="W20" s="706"/>
      <c r="X20" s="1353"/>
      <c r="Y20" s="3784"/>
      <c r="Z20" s="1354"/>
      <c r="AA20" s="1351"/>
      <c r="AB20" s="1351"/>
      <c r="AC20" s="1351"/>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84"/>
      <c r="Q21" s="1350" t="str">
        <f t="shared" si="8"/>
        <v>环境状况</v>
      </c>
      <c r="R21" s="705" t="s">
        <v>14</v>
      </c>
      <c r="S21" s="706">
        <f>F21</f>
        <v>100</v>
      </c>
      <c r="T21" s="705" t="s">
        <v>14</v>
      </c>
      <c r="U21" s="706">
        <f>H21</f>
        <v>100</v>
      </c>
      <c r="V21" s="705" t="s">
        <v>14</v>
      </c>
      <c r="W21" s="706">
        <f>J21</f>
        <v>100</v>
      </c>
      <c r="X21" s="1353"/>
      <c r="Y21" s="3784"/>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717"/>
      <c r="M22" s="2711"/>
      <c r="N22" s="2711"/>
      <c r="O22" s="2769"/>
      <c r="P22" s="3784"/>
      <c r="Q22" s="1350"/>
      <c r="R22" s="705"/>
      <c r="S22" s="706"/>
      <c r="T22" s="705"/>
      <c r="U22" s="706"/>
      <c r="V22" s="705"/>
      <c r="W22" s="706"/>
      <c r="X22" s="1353"/>
      <c r="Y22" s="3784"/>
      <c r="Z22" s="1354"/>
      <c r="AA22" s="1351">
        <v>1</v>
      </c>
      <c r="AB22" s="1351">
        <v>1</v>
      </c>
      <c r="AC22" s="1351">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84"/>
      <c r="Q23" s="1341" t="str">
        <f t="shared" si="8"/>
        <v>公共配套设施</v>
      </c>
      <c r="R23" s="701" t="s">
        <v>14</v>
      </c>
      <c r="S23" s="702">
        <f>F23</f>
        <v>100</v>
      </c>
      <c r="T23" s="701" t="s">
        <v>14</v>
      </c>
      <c r="U23" s="702">
        <f>H23</f>
        <v>100</v>
      </c>
      <c r="V23" s="701" t="s">
        <v>14</v>
      </c>
      <c r="W23" s="702">
        <f>J23</f>
        <v>100</v>
      </c>
      <c r="X23" s="703"/>
      <c r="Y23" s="3784"/>
      <c r="Z23" s="52" t="str">
        <f>Q23</f>
        <v>公共配套设施</v>
      </c>
      <c r="AA23" s="1351">
        <f>D23/F23</f>
        <v>1</v>
      </c>
      <c r="AB23" s="1351">
        <f>D23/H23</f>
        <v>1</v>
      </c>
      <c r="AC23" s="1351">
        <f>D23/J23</f>
        <v>1</v>
      </c>
    </row>
    <row r="24" spans="1:29" s="108" customFormat="1" ht="15">
      <c r="A24" s="597"/>
      <c r="B24" s="580"/>
      <c r="C24" s="1973"/>
      <c r="D24" s="399"/>
      <c r="E24" s="1901"/>
      <c r="F24" s="399"/>
      <c r="G24" s="1901"/>
      <c r="H24" s="399"/>
      <c r="I24" s="398"/>
      <c r="J24" s="399"/>
      <c r="K24" s="620"/>
      <c r="L24" s="2712"/>
      <c r="M24" s="2713"/>
      <c r="N24" s="2713"/>
      <c r="O24" s="2767"/>
      <c r="P24" s="3784"/>
      <c r="Q24" s="1341"/>
      <c r="R24" s="701"/>
      <c r="S24" s="702"/>
      <c r="T24" s="701"/>
      <c r="U24" s="702"/>
      <c r="V24" s="701"/>
      <c r="W24" s="702"/>
      <c r="X24" s="703"/>
      <c r="Y24" s="3784"/>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84"/>
      <c r="Q25" s="1341" t="str">
        <f t="shared" ref="Q25" si="9">B25</f>
        <v>基础设施水平</v>
      </c>
      <c r="R25" s="701" t="s">
        <v>14</v>
      </c>
      <c r="S25" s="702">
        <f>F25</f>
        <v>100</v>
      </c>
      <c r="T25" s="701" t="s">
        <v>14</v>
      </c>
      <c r="U25" s="702">
        <f>H25</f>
        <v>100</v>
      </c>
      <c r="V25" s="701" t="s">
        <v>14</v>
      </c>
      <c r="W25" s="702">
        <f>J25</f>
        <v>100</v>
      </c>
      <c r="X25" s="703"/>
      <c r="Y25" s="3784"/>
      <c r="Z25" s="52" t="str">
        <f>Q25</f>
        <v>基础设施水平</v>
      </c>
      <c r="AA25" s="1351">
        <f>D25/F25</f>
        <v>1</v>
      </c>
      <c r="AB25" s="1351">
        <f>D25/H25</f>
        <v>1</v>
      </c>
      <c r="AC25" s="1351">
        <f>D25/J25</f>
        <v>1</v>
      </c>
    </row>
    <row r="26" spans="1:29" s="108" customFormat="1" ht="15">
      <c r="A26" s="597"/>
      <c r="B26" s="580"/>
      <c r="C26" s="1973"/>
      <c r="D26" s="399"/>
      <c r="E26" s="1974"/>
      <c r="F26" s="399"/>
      <c r="G26" s="1974"/>
      <c r="H26" s="399"/>
      <c r="I26" s="1974"/>
      <c r="J26" s="399"/>
      <c r="K26" s="620"/>
      <c r="L26" s="2712"/>
      <c r="M26" s="2713"/>
      <c r="N26" s="2713"/>
      <c r="O26" s="2767"/>
      <c r="P26" s="3784"/>
      <c r="Q26" s="1341"/>
      <c r="R26" s="701"/>
      <c r="S26" s="702"/>
      <c r="T26" s="701"/>
      <c r="U26" s="702"/>
      <c r="V26" s="701"/>
      <c r="W26" s="702"/>
      <c r="X26" s="703"/>
      <c r="Y26" s="37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84"/>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84"/>
      <c r="Z27" s="1354" t="str">
        <f t="shared" ref="Z27:Z40" si="13">Q27</f>
        <v>临街状况</v>
      </c>
      <c r="AA27" s="1351">
        <f t="shared" si="3"/>
        <v>1</v>
      </c>
      <c r="AB27" s="1351">
        <f t="shared" si="4"/>
        <v>1</v>
      </c>
      <c r="AC27" s="1351">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84"/>
      <c r="Q28" s="1350" t="str">
        <f t="shared" si="8"/>
        <v>毗邻道路的类型与等级</v>
      </c>
      <c r="R28" s="705" t="s">
        <v>14</v>
      </c>
      <c r="S28" s="706">
        <f t="shared" si="10"/>
        <v>100</v>
      </c>
      <c r="T28" s="705" t="s">
        <v>14</v>
      </c>
      <c r="U28" s="706">
        <f t="shared" si="11"/>
        <v>100</v>
      </c>
      <c r="V28" s="705" t="s">
        <v>14</v>
      </c>
      <c r="W28" s="706">
        <f t="shared" si="12"/>
        <v>100</v>
      </c>
      <c r="X28" s="1353"/>
      <c r="Y28" s="3784"/>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7"/>
      <c r="M29" s="2711"/>
      <c r="N29" s="2711"/>
      <c r="O29" s="2769"/>
      <c r="P29" s="3784"/>
      <c r="Q29" s="1350"/>
      <c r="R29" s="705"/>
      <c r="S29" s="706"/>
      <c r="T29" s="705"/>
      <c r="U29" s="706"/>
      <c r="V29" s="705"/>
      <c r="W29" s="706"/>
      <c r="X29" s="1353"/>
      <c r="Y29" s="3784"/>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84"/>
      <c r="Q30" s="1350" t="str">
        <f t="shared" si="8"/>
        <v>土地级别</v>
      </c>
      <c r="R30" s="705" t="s">
        <v>14</v>
      </c>
      <c r="S30" s="706">
        <f t="shared" si="10"/>
        <v>100</v>
      </c>
      <c r="T30" s="705" t="s">
        <v>14</v>
      </c>
      <c r="U30" s="706">
        <f t="shared" si="11"/>
        <v>100</v>
      </c>
      <c r="V30" s="705" t="s">
        <v>14</v>
      </c>
      <c r="W30" s="706">
        <f t="shared" si="12"/>
        <v>100</v>
      </c>
      <c r="X30" s="1353"/>
      <c r="Y30" s="3784"/>
      <c r="Z30" s="1354" t="str">
        <f t="shared" si="13"/>
        <v>土地级别</v>
      </c>
      <c r="AA30" s="1351">
        <f t="shared" si="3"/>
        <v>1</v>
      </c>
      <c r="AB30" s="1351">
        <f t="shared" si="4"/>
        <v>1</v>
      </c>
      <c r="AC30" s="1351">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84"/>
      <c r="Q31" s="1350">
        <f t="shared" si="8"/>
        <v>111</v>
      </c>
      <c r="R31" s="705" t="s">
        <v>14</v>
      </c>
      <c r="S31" s="706">
        <f t="shared" si="10"/>
        <v>100</v>
      </c>
      <c r="T31" s="705" t="s">
        <v>14</v>
      </c>
      <c r="U31" s="706">
        <f t="shared" si="11"/>
        <v>100</v>
      </c>
      <c r="V31" s="705" t="s">
        <v>14</v>
      </c>
      <c r="W31" s="706">
        <f t="shared" si="12"/>
        <v>100</v>
      </c>
      <c r="X31" s="1353"/>
      <c r="Y31" s="3784"/>
      <c r="Z31" s="1354">
        <f t="shared" si="13"/>
        <v>111</v>
      </c>
      <c r="AA31" s="1351">
        <f t="shared" si="3"/>
        <v>1</v>
      </c>
      <c r="AB31" s="1351">
        <f t="shared" si="4"/>
        <v>1</v>
      </c>
      <c r="AC31" s="1351">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0" t="s">
        <v>1696</v>
      </c>
      <c r="Q32" s="1350">
        <f t="shared" si="8"/>
        <v>111</v>
      </c>
      <c r="R32" s="705" t="s">
        <v>14</v>
      </c>
      <c r="S32" s="706">
        <f t="shared" si="10"/>
        <v>100</v>
      </c>
      <c r="T32" s="705" t="s">
        <v>14</v>
      </c>
      <c r="U32" s="706">
        <f t="shared" si="11"/>
        <v>100</v>
      </c>
      <c r="V32" s="705" t="s">
        <v>14</v>
      </c>
      <c r="W32" s="706">
        <f t="shared" si="12"/>
        <v>100</v>
      </c>
      <c r="X32" s="1353"/>
      <c r="Y32" s="3788" t="s">
        <v>1696</v>
      </c>
      <c r="Z32" s="1354">
        <f t="shared" si="13"/>
        <v>111</v>
      </c>
      <c r="AA32" s="1351">
        <f t="shared" si="3"/>
        <v>1</v>
      </c>
      <c r="AB32" s="1351">
        <f t="shared" si="4"/>
        <v>1</v>
      </c>
      <c r="AC32" s="1351">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88"/>
      <c r="Q33" s="1350">
        <f t="shared" si="8"/>
        <v>111</v>
      </c>
      <c r="R33" s="708" t="s">
        <v>14</v>
      </c>
      <c r="S33" s="709">
        <f t="shared" si="10"/>
        <v>100</v>
      </c>
      <c r="T33" s="708" t="s">
        <v>14</v>
      </c>
      <c r="U33" s="709">
        <f t="shared" si="11"/>
        <v>100</v>
      </c>
      <c r="V33" s="708" t="s">
        <v>14</v>
      </c>
      <c r="W33" s="709">
        <f t="shared" si="12"/>
        <v>100</v>
      </c>
      <c r="X33" s="710"/>
      <c r="Y33" s="3788"/>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88"/>
      <c r="Q34" s="1350" t="str">
        <f>B34</f>
        <v>宗地面积</v>
      </c>
      <c r="R34" s="705" t="s">
        <v>14</v>
      </c>
      <c r="S34" s="706" t="e">
        <f t="shared" si="10"/>
        <v>#N/A</v>
      </c>
      <c r="T34" s="705" t="s">
        <v>14</v>
      </c>
      <c r="U34" s="706" t="e">
        <f t="shared" si="11"/>
        <v>#N/A</v>
      </c>
      <c r="V34" s="705" t="s">
        <v>14</v>
      </c>
      <c r="W34" s="706" t="e">
        <f t="shared" si="12"/>
        <v>#N/A</v>
      </c>
      <c r="X34" s="1353"/>
      <c r="Y34" s="3788"/>
      <c r="Z34" s="1354" t="str">
        <f t="shared" si="13"/>
        <v>宗地面积</v>
      </c>
      <c r="AA34" s="1351" t="e">
        <f t="shared" si="3"/>
        <v>#N/A</v>
      </c>
      <c r="AB34" s="1351" t="e">
        <f t="shared" si="4"/>
        <v>#N/A</v>
      </c>
      <c r="AC34" s="1351"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88"/>
      <c r="Q35" s="1350" t="str">
        <f t="shared" ref="Q35:Q40" si="14">B35</f>
        <v>宗地形状</v>
      </c>
      <c r="R35" s="705" t="s">
        <v>14</v>
      </c>
      <c r="S35" s="706">
        <f t="shared" si="10"/>
        <v>100</v>
      </c>
      <c r="T35" s="705" t="s">
        <v>14</v>
      </c>
      <c r="U35" s="706">
        <f t="shared" si="11"/>
        <v>100</v>
      </c>
      <c r="V35" s="705" t="s">
        <v>14</v>
      </c>
      <c r="W35" s="706">
        <f t="shared" si="12"/>
        <v>100</v>
      </c>
      <c r="X35" s="1353"/>
      <c r="Y35" s="3788"/>
      <c r="Z35" s="1354" t="str">
        <f t="shared" si="13"/>
        <v>宗地形状</v>
      </c>
      <c r="AA35" s="1351">
        <f t="shared" si="3"/>
        <v>1</v>
      </c>
      <c r="AB35" s="1351">
        <f t="shared" si="4"/>
        <v>1</v>
      </c>
      <c r="AC35" s="1351">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88"/>
      <c r="Q36" s="1350" t="str">
        <f t="shared" si="14"/>
        <v>宗地开发程度</v>
      </c>
      <c r="R36" s="701" t="s">
        <v>14</v>
      </c>
      <c r="S36" s="702">
        <f t="shared" si="10"/>
        <v>100</v>
      </c>
      <c r="T36" s="701" t="s">
        <v>14</v>
      </c>
      <c r="U36" s="702">
        <f t="shared" si="11"/>
        <v>100</v>
      </c>
      <c r="V36" s="701" t="s">
        <v>14</v>
      </c>
      <c r="W36" s="702">
        <f t="shared" si="12"/>
        <v>100</v>
      </c>
      <c r="X36" s="703"/>
      <c r="Y36" s="3788"/>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88" t="s">
        <v>1696</v>
      </c>
      <c r="Q37" s="1350" t="str">
        <f t="shared" si="14"/>
        <v>工程地质条件</v>
      </c>
      <c r="R37" s="705" t="s">
        <v>14</v>
      </c>
      <c r="S37" s="706">
        <f t="shared" si="10"/>
        <v>100</v>
      </c>
      <c r="T37" s="705" t="s">
        <v>14</v>
      </c>
      <c r="U37" s="706">
        <f t="shared" si="11"/>
        <v>100</v>
      </c>
      <c r="V37" s="705" t="s">
        <v>14</v>
      </c>
      <c r="W37" s="706">
        <f t="shared" si="12"/>
        <v>100</v>
      </c>
      <c r="X37" s="1353"/>
      <c r="Y37" s="3788"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88"/>
      <c r="Q38" s="1350">
        <f t="shared" si="14"/>
        <v>111</v>
      </c>
      <c r="R38" s="705" t="s">
        <v>14</v>
      </c>
      <c r="S38" s="706">
        <f t="shared" si="10"/>
        <v>100</v>
      </c>
      <c r="T38" s="705" t="s">
        <v>14</v>
      </c>
      <c r="U38" s="706">
        <f t="shared" si="11"/>
        <v>100</v>
      </c>
      <c r="V38" s="705" t="s">
        <v>14</v>
      </c>
      <c r="W38" s="706">
        <f t="shared" si="12"/>
        <v>100</v>
      </c>
      <c r="X38" s="1353"/>
      <c r="Y38" s="3788"/>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88"/>
      <c r="Q39" s="1350">
        <f t="shared" si="14"/>
        <v>111</v>
      </c>
      <c r="R39" s="705" t="s">
        <v>14</v>
      </c>
      <c r="S39" s="706">
        <f t="shared" si="10"/>
        <v>100</v>
      </c>
      <c r="T39" s="705" t="s">
        <v>14</v>
      </c>
      <c r="U39" s="706">
        <f t="shared" si="11"/>
        <v>100</v>
      </c>
      <c r="V39" s="705" t="s">
        <v>14</v>
      </c>
      <c r="W39" s="706">
        <f t="shared" si="12"/>
        <v>100</v>
      </c>
      <c r="X39" s="1353"/>
      <c r="Y39" s="3788"/>
      <c r="Z39" s="1354">
        <f t="shared" si="13"/>
        <v>111</v>
      </c>
      <c r="AA39" s="1351">
        <f t="shared" si="3"/>
        <v>1</v>
      </c>
      <c r="AB39" s="1351">
        <f t="shared" si="4"/>
        <v>1</v>
      </c>
      <c r="AC39" s="1351">
        <f t="shared" si="5"/>
        <v>1</v>
      </c>
    </row>
    <row r="40" spans="1:31" s="422" customFormat="1" ht="15.75" thickBot="1">
      <c r="A40" s="419"/>
      <c r="B40" s="1133">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88"/>
      <c r="Q40" s="1350">
        <f t="shared" si="14"/>
        <v>111</v>
      </c>
      <c r="R40" s="708" t="s">
        <v>14</v>
      </c>
      <c r="S40" s="709">
        <f t="shared" si="10"/>
        <v>100</v>
      </c>
      <c r="T40" s="708" t="s">
        <v>14</v>
      </c>
      <c r="U40" s="709">
        <f t="shared" si="11"/>
        <v>100</v>
      </c>
      <c r="V40" s="708" t="s">
        <v>14</v>
      </c>
      <c r="W40" s="709">
        <f t="shared" si="12"/>
        <v>100</v>
      </c>
      <c r="X40" s="710"/>
      <c r="Y40" s="3788"/>
      <c r="Z40" s="711">
        <f t="shared" si="13"/>
        <v>111</v>
      </c>
      <c r="AA40" s="1351">
        <f t="shared" si="3"/>
        <v>1</v>
      </c>
      <c r="AB40" s="1351">
        <f t="shared" si="4"/>
        <v>1</v>
      </c>
      <c r="AC40" s="1351">
        <f t="shared" si="5"/>
        <v>1</v>
      </c>
    </row>
    <row r="41" spans="1:31" ht="15">
      <c r="A41" s="430" t="s">
        <v>1844</v>
      </c>
      <c r="B41" s="1977" t="s">
        <v>1922</v>
      </c>
      <c r="C41" s="630" t="s">
        <v>0</v>
      </c>
      <c r="D41" s="432"/>
      <c r="E41" s="433"/>
      <c r="F41" s="434"/>
      <c r="G41" s="435"/>
      <c r="H41" s="436"/>
      <c r="I41" s="433"/>
      <c r="J41" s="436"/>
      <c r="K41" s="714"/>
      <c r="L41" s="2719"/>
      <c r="M41" s="2711"/>
      <c r="N41" s="2711"/>
      <c r="O41" s="2720"/>
      <c r="P41" s="3781" t="str">
        <f>A41</f>
        <v>成交单价</v>
      </c>
      <c r="Q41" s="3781"/>
      <c r="R41" s="3812">
        <f>E41</f>
        <v>0</v>
      </c>
      <c r="S41" s="3812"/>
      <c r="T41" s="3812">
        <f>G41</f>
        <v>0</v>
      </c>
      <c r="U41" s="3812"/>
      <c r="V41" s="3812">
        <f>I41</f>
        <v>0</v>
      </c>
      <c r="W41" s="3812"/>
      <c r="X41" s="690"/>
      <c r="Y41" s="712"/>
      <c r="Z41" s="690"/>
      <c r="AA41" s="690"/>
      <c r="AB41" s="690"/>
      <c r="AC41" s="690"/>
    </row>
    <row r="42" spans="1:31" ht="15.75" thickBot="1">
      <c r="A42" s="437" t="s">
        <v>1793</v>
      </c>
      <c r="B42" s="631"/>
      <c r="C42" s="440" t="e">
        <f>R43</f>
        <v>#DIV/0!</v>
      </c>
      <c r="D42" s="2312" t="s">
        <v>2136</v>
      </c>
      <c r="E42" s="440" t="e">
        <f>R42</f>
        <v>#DIV/0!</v>
      </c>
      <c r="F42" s="2313"/>
      <c r="G42" s="439" t="e">
        <f>T42</f>
        <v>#DIV/0!</v>
      </c>
      <c r="H42" s="2313"/>
      <c r="I42" s="440" t="e">
        <f>V42</f>
        <v>#DIV/0!</v>
      </c>
      <c r="J42" s="2313"/>
      <c r="K42" s="2315">
        <f>F42+H42+J42</f>
        <v>0</v>
      </c>
      <c r="L42" s="2719"/>
      <c r="M42" s="2711"/>
      <c r="N42" s="2711"/>
      <c r="O42" s="2720"/>
      <c r="P42" s="3781" t="str">
        <f>A42</f>
        <v>比较价值（元/平方米）</v>
      </c>
      <c r="Q42" s="3781"/>
      <c r="R42" s="3827" t="e">
        <f>ROUND(PRODUCT(R41,AA7:AA40),0)</f>
        <v>#DIV/0!</v>
      </c>
      <c r="S42" s="3827"/>
      <c r="T42" s="3827" t="e">
        <f>ROUND(PRODUCT(T41,AB7:AB40),0)</f>
        <v>#DIV/0!</v>
      </c>
      <c r="U42" s="3827"/>
      <c r="V42" s="3827" t="e">
        <f>ROUND(PRODUCT(V41,AC7:AC40),0)</f>
        <v>#DIV/0!</v>
      </c>
      <c r="W42" s="38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78" t="str">
        <f>A43</f>
        <v>估价对象XX用房的比较价值（楼面单价，元/平方米）</v>
      </c>
      <c r="Q43" s="3779"/>
      <c r="R43" s="3828" t="e">
        <f>ROUND(IF(D42="简单平均",AVERAGE(R42:W42),R42*F42+T42*H42+V42*J42),0)</f>
        <v>#DIV/0!</v>
      </c>
      <c r="S43" s="3828"/>
      <c r="T43" s="3828"/>
      <c r="U43" s="3828"/>
      <c r="V43" s="3828"/>
      <c r="W43" s="382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796" t="s">
        <v>1887</v>
      </c>
      <c r="H50" s="3829"/>
      <c r="I50" s="1354" t="s">
        <v>1923</v>
      </c>
      <c r="J50" s="1354">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86.91</v>
      </c>
      <c r="F51" s="639" t="e">
        <f t="shared" ref="F51:F60" si="15">ROUND(B51*E51/10000,0)</f>
        <v>#DIV/0!</v>
      </c>
      <c r="G51" s="3792"/>
      <c r="H51" s="3781"/>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2"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0.1</v>
      </c>
      <c r="D58" s="945">
        <v>0.25</v>
      </c>
      <c r="E58" s="217">
        <f>'数据-汇总表'!E13</f>
        <v>89.34</v>
      </c>
      <c r="F58" s="639" t="e">
        <f t="shared" si="15"/>
        <v>#DIV/0!</v>
      </c>
      <c r="G58" s="892" t="s">
        <v>1900</v>
      </c>
      <c r="H58" s="887" t="str">
        <f>IF(G58="商业",项目基本情况!B37,IF(G58="办公",项目基本情况!C37,IF(G58="住宅",项目基本情况!D37,项目基本情况!E37)))</f>
        <v>九级</v>
      </c>
      <c r="I58" s="773">
        <f>SUMIF(修正!A57:A68,H58,修正!G57:G68)</f>
        <v>0.1</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2"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3"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1" priority="18" stopIfTrue="1" operator="containsText" text="超过">
      <formula>NOT(ISERROR(SEARCH("超过",F46)))</formula>
    </cfRule>
  </conditionalFormatting>
  <conditionalFormatting sqref="J48">
    <cfRule type="containsText" dxfId="50" priority="17" stopIfTrue="1" operator="containsText" text="超过">
      <formula>NOT(ISERROR(SEARCH("超过",J48)))</formula>
    </cfRule>
  </conditionalFormatting>
  <conditionalFormatting sqref="H48">
    <cfRule type="containsText" dxfId="49" priority="16" stopIfTrue="1" operator="containsText" text="超过">
      <formula>NOT(ISERROR(SEARCH("超过",H48)))</formula>
    </cfRule>
  </conditionalFormatting>
  <conditionalFormatting sqref="F48">
    <cfRule type="containsText" dxfId="48" priority="15" stopIfTrue="1" operator="containsText" text="超过">
      <formula>NOT(ISERROR(SEARCH("超过",F48)))</formula>
    </cfRule>
  </conditionalFormatting>
  <conditionalFormatting sqref="F47 H47 J47">
    <cfRule type="containsText" dxfId="47" priority="14" stopIfTrue="1" operator="containsText" text="超过">
      <formula>NOT(ISERROR(SEARCH("超过",F47)))</formula>
    </cfRule>
  </conditionalFormatting>
  <conditionalFormatting sqref="E46">
    <cfRule type="expression" dxfId="46" priority="13" stopIfTrue="1">
      <formula>$F$46="超过30%"</formula>
    </cfRule>
  </conditionalFormatting>
  <conditionalFormatting sqref="G48">
    <cfRule type="expression" dxfId="45" priority="12" stopIfTrue="1">
      <formula>$H$48="超过30%"</formula>
    </cfRule>
  </conditionalFormatting>
  <conditionalFormatting sqref="E48">
    <cfRule type="expression" dxfId="44" priority="10" stopIfTrue="1">
      <formula>$F$48="超过30%"</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E47">
    <cfRule type="expression" dxfId="38" priority="53" stopIfTrue="1">
      <formula>#REF!+$F$47="超过20%"</formula>
    </cfRule>
  </conditionalFormatting>
  <conditionalFormatting sqref="F42">
    <cfRule type="expression" dxfId="37" priority="4">
      <formula>$D$42="简单平均"</formula>
    </cfRule>
  </conditionalFormatting>
  <conditionalFormatting sqref="H42">
    <cfRule type="expression" dxfId="36" priority="3">
      <formula>$D$42="简单平均"</formula>
    </cfRule>
  </conditionalFormatting>
  <conditionalFormatting sqref="J42">
    <cfRule type="expression" dxfId="35" priority="2">
      <formula>$D$42="简单平均"</formula>
    </cfRule>
  </conditionalFormatting>
  <conditionalFormatting sqref="F7:F40 H7:H40 J7:J40">
    <cfRule type="cellIs" dxfId="3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2"/>
      <c r="C1" s="2142"/>
      <c r="D1" s="2142"/>
      <c r="E1" s="2142"/>
      <c r="F1" s="2788"/>
      <c r="G1" s="2788"/>
      <c r="H1" s="2788"/>
      <c r="I1" s="2788"/>
      <c r="J1" s="2788"/>
      <c r="K1" s="2788"/>
      <c r="L1" s="2788"/>
      <c r="M1" s="2788"/>
      <c r="N1" s="2788"/>
      <c r="O1" s="2788"/>
      <c r="P1" s="2788"/>
    </row>
    <row r="2" spans="1:16" ht="15.75">
      <c r="A2" s="2140" t="s">
        <v>2073</v>
      </c>
      <c r="B2" s="2597" t="e">
        <f ca="1">SUMIF(B6:B13,"&lt;&gt;#ref!",B6:B13)</f>
        <v>#DIV/0!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0"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20" customWidth="1"/>
    <col min="33" max="36" width="9.375" style="2048" customWidth="1"/>
    <col min="37" max="38" width="9.375" style="1993" customWidth="1"/>
    <col min="39" max="16384" width="12" style="1993"/>
  </cols>
  <sheetData>
    <row r="1" spans="1:36" ht="28.5">
      <c r="A1" s="196" t="s">
        <v>1926</v>
      </c>
      <c r="B1" s="197"/>
      <c r="C1" s="201" t="s">
        <v>1927</v>
      </c>
      <c r="D1" s="342">
        <f>SUM(D33:D34,D37:D42)</f>
        <v>0</v>
      </c>
      <c r="E1" s="1990"/>
      <c r="F1" s="1990"/>
      <c r="G1" s="1990"/>
      <c r="H1" s="1990"/>
      <c r="I1" s="1990"/>
      <c r="J1" s="1990"/>
      <c r="K1" s="1118"/>
      <c r="L1" s="1991" t="s">
        <v>1928</v>
      </c>
      <c r="M1" s="863">
        <f>SUMPRODUCT((区片价!B5:B9=I2)*(区片价!C3:G3=E2)*(区片价!C5:G9))</f>
        <v>0</v>
      </c>
      <c r="N1" s="866">
        <f>SUMPRODUCT((因素修正幅度!B5:B9=I2)*(因素修正幅度!C3:G3=E2)*(因素修正幅度!C5:G9))</f>
        <v>0</v>
      </c>
      <c r="O1" s="1992"/>
      <c r="P1" s="1992"/>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4" t="s">
        <v>1935</v>
      </c>
      <c r="D2" s="1995" t="s">
        <v>1936</v>
      </c>
      <c r="E2" s="3417"/>
      <c r="F2" s="1995" t="s">
        <v>1937</v>
      </c>
      <c r="G2" s="1996">
        <f>IF(E2="商业",项目基本情况!B37,IF(E2="办公",项目基本情况!C37,IF(E2="住宅",项目基本情况!D37,IF(E2="工业",项目基本情况!E37,项目基本情况!F37))))</f>
        <v>0</v>
      </c>
      <c r="H2" s="1995" t="s">
        <v>1938</v>
      </c>
      <c r="I2" s="1996">
        <f>IF(E2="商业",项目基本情况!B38,IF(E2="办公",项目基本情况!C38,IF(E2="住宅",项目基本情况!D38,IF(E2="工业",项目基本情况!E38,项目基本情况!F38))))</f>
        <v>0</v>
      </c>
      <c r="J2" s="1997"/>
      <c r="K2" s="1118"/>
      <c r="L2" s="1998" t="s">
        <v>1939</v>
      </c>
      <c r="M2" s="864">
        <f>SUMPRODUCT((区片价!B10:B29=I2)*(区片价!C3:G3=E2)*(区片价!C10:G29))</f>
        <v>0</v>
      </c>
      <c r="N2" s="866">
        <f>SUMPRODUCT((因素修正幅度!B10:B29=I2)*(因素修正幅度!C3:G3=E2)*(因素修正幅度!C10:G29))</f>
        <v>0</v>
      </c>
      <c r="O2" s="1118"/>
      <c r="P2" s="1118"/>
      <c r="Q2" s="1118"/>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4" t="s">
        <v>1941</v>
      </c>
      <c r="D3" s="1995" t="s">
        <v>1942</v>
      </c>
      <c r="E3" s="3415"/>
      <c r="F3" s="1999"/>
      <c r="G3" s="752">
        <f>IF(F3="宗地容积率",'数据-汇总表'!I4,IF(F3="估价对象容积率",'数据-汇总表'!I6,'数据-汇总表'!I7))</f>
        <v>0</v>
      </c>
      <c r="H3" s="170" t="s">
        <v>1943</v>
      </c>
      <c r="I3" s="775"/>
      <c r="J3" s="1997" t="s">
        <v>1944</v>
      </c>
      <c r="K3" s="1118"/>
      <c r="L3" s="1998" t="s">
        <v>1945</v>
      </c>
      <c r="M3" s="864">
        <f>SUMPRODUCT((区片价!B30:B54=I2)*(区片价!C3:G3=E2)*(区片价!C30:G54))</f>
        <v>0</v>
      </c>
      <c r="N3" s="866">
        <f>SUMPRODUCT((因素修正幅度!B30:B54=I2)*(因素修正幅度!C3:G3=E2)*(因素修正幅度!C30:G54))</f>
        <v>0</v>
      </c>
      <c r="O3" s="1118"/>
      <c r="P3" s="1118"/>
      <c r="Q3" s="1118"/>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884"/>
      <c r="B4" s="3885"/>
      <c r="C4" s="3885"/>
      <c r="D4" s="3886"/>
      <c r="E4" s="3886"/>
      <c r="F4" s="3886"/>
      <c r="G4" s="3886"/>
      <c r="H4" s="3886"/>
      <c r="I4" s="3886"/>
      <c r="J4" s="3887"/>
      <c r="K4" s="1118"/>
      <c r="L4" s="1998" t="s">
        <v>1946</v>
      </c>
      <c r="M4" s="864">
        <f>SUMPRODUCT((区片价!B55:B86=I2)*(区片价!C3:G3=E2)*(区片价!C55:G86))</f>
        <v>0</v>
      </c>
      <c r="N4" s="866">
        <f>SUMPRODUCT((因素修正幅度!B55:B86=I2)*(因素修正幅度!C3:G3=E2)*(因素修正幅度!C55:G86))</f>
        <v>0</v>
      </c>
      <c r="O4" s="1118"/>
      <c r="P4" s="1118"/>
      <c r="Q4" s="1118"/>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09" customFormat="1" ht="15.75" thickBot="1">
      <c r="A5" s="2000" t="s">
        <v>362</v>
      </c>
      <c r="B5" s="2001" t="s">
        <v>1947</v>
      </c>
      <c r="C5" s="753" t="e">
        <f>ROUND(IF(E2="商业",C6*C7*C17+C20,(IF(E2="住宅",C6*C13*C17+C20,IF(E2="办公",C6*C12*C17+C20,C6+C20)))),0)</f>
        <v>#DIV/0!</v>
      </c>
      <c r="D5" s="1337" t="e">
        <f>ROUND(C6*C17+C20,0)</f>
        <v>#DIV/0!</v>
      </c>
      <c r="E5" s="1337"/>
      <c r="F5" s="2002"/>
      <c r="G5" s="2003"/>
      <c r="H5" s="2003"/>
      <c r="I5" s="2003"/>
      <c r="J5" s="2004"/>
      <c r="K5" s="2005"/>
      <c r="L5" s="1998" t="s">
        <v>1948</v>
      </c>
      <c r="M5" s="864">
        <f>SUMPRODUCT((区片价!B87:B126=I2)*(区片价!C3:G3=E2)*(区片价!C87:G126))</f>
        <v>0</v>
      </c>
      <c r="N5" s="866">
        <f>SUMPRODUCT((因素修正幅度!B87:B126=I2)*(因素修正幅度!C3:G3=E2)*(因素修正幅度!C87:G126))</f>
        <v>0</v>
      </c>
      <c r="O5" s="1118"/>
      <c r="P5" s="1118"/>
      <c r="Q5" s="1118"/>
      <c r="R5" s="1210">
        <v>4</v>
      </c>
      <c r="S5" s="3356">
        <f>ROUND(SUMPRODUCT((B106:B110=R5)*(C105:N105=G2)*(C106:N110)),4)</f>
        <v>0</v>
      </c>
      <c r="T5" s="3356" t="e">
        <f t="shared" si="0"/>
        <v>#DIV/0!</v>
      </c>
      <c r="U5" s="1211"/>
      <c r="V5" s="3356" t="e">
        <f t="shared" si="1"/>
        <v>#DIV/0!</v>
      </c>
      <c r="W5" s="1214"/>
      <c r="X5" s="1214"/>
      <c r="Y5" s="1214"/>
      <c r="Z5" s="1214"/>
      <c r="AA5" s="1214"/>
      <c r="AB5" s="1214"/>
      <c r="AC5" s="2006"/>
      <c r="AD5" s="2007"/>
      <c r="AE5" s="2007"/>
      <c r="AF5" s="2007"/>
      <c r="AG5" s="2007"/>
      <c r="AH5" s="2007"/>
      <c r="AI5" s="2007"/>
      <c r="AJ5" s="2008"/>
    </row>
    <row r="6" spans="1:36" ht="15.75" thickBot="1">
      <c r="A6" s="2010" t="s">
        <v>1949</v>
      </c>
      <c r="B6" s="2011" t="s">
        <v>1950</v>
      </c>
      <c r="C6" s="754">
        <f>SUMIF(L1:L12,G2,M1:M12)</f>
        <v>0</v>
      </c>
      <c r="D6" s="2012"/>
      <c r="E6" s="2013"/>
      <c r="F6" s="2013"/>
      <c r="G6" s="2014"/>
      <c r="H6" s="2014"/>
      <c r="I6" s="2014"/>
      <c r="J6" s="2015"/>
      <c r="K6" s="1382"/>
      <c r="L6" s="1998" t="s">
        <v>1951</v>
      </c>
      <c r="M6" s="864">
        <f>SUMPRODUCT((区片价!B127:B189=I2)*(区片价!C3:G3=E2)*(区片价!C127:G189))</f>
        <v>0</v>
      </c>
      <c r="N6" s="866">
        <f>SUMPRODUCT((因素修正幅度!B127:B189=I2)*(因素修正幅度!C3:G3=E2)*(因素修正幅度!C127:G189))</f>
        <v>0</v>
      </c>
      <c r="O6" s="1118"/>
      <c r="P6" s="1118"/>
      <c r="Q6" s="1118"/>
      <c r="R6" s="1210">
        <v>5</v>
      </c>
      <c r="S6" s="3356">
        <f>ROUND(SUMPRODUCT((B106:B110=R6)*(C105:N105=G2)*(C106:N110)),4)</f>
        <v>0</v>
      </c>
      <c r="T6" s="3356" t="e">
        <f t="shared" si="0"/>
        <v>#DIV/0!</v>
      </c>
      <c r="U6" s="1211"/>
      <c r="V6" s="3356" t="e">
        <f t="shared" si="1"/>
        <v>#DIV/0!</v>
      </c>
      <c r="W6" s="1214"/>
      <c r="X6" s="1214"/>
      <c r="Y6" s="1214"/>
      <c r="Z6" s="1214"/>
      <c r="AA6" s="1214"/>
      <c r="AB6" s="1214"/>
      <c r="AC6" s="2006"/>
      <c r="AD6" s="2007"/>
      <c r="AE6" s="2007"/>
      <c r="AF6" s="2007"/>
      <c r="AG6" s="2007"/>
      <c r="AH6" s="2007"/>
      <c r="AI6" s="2007"/>
      <c r="AJ6" s="2008"/>
    </row>
    <row r="7" spans="1:36" ht="24.75" thickBot="1">
      <c r="A7" s="3299" t="s">
        <v>3241</v>
      </c>
      <c r="B7" s="2016" t="s">
        <v>1952</v>
      </c>
      <c r="C7" s="755" t="e">
        <f>IF(C8="不临65条商业街",1,ROUND(1+(1.6*E8+1.2*E9+0.8*E10+0.4*E11)*C9,4))</f>
        <v>#DIV/0!</v>
      </c>
      <c r="D7" s="2017" t="s">
        <v>1953</v>
      </c>
      <c r="E7" s="776"/>
      <c r="F7" s="2018"/>
      <c r="G7" s="2019"/>
      <c r="H7" s="2019"/>
      <c r="I7" s="2019"/>
      <c r="J7" s="2020"/>
      <c r="K7" s="1382"/>
      <c r="L7" s="1998" t="s">
        <v>1954</v>
      </c>
      <c r="M7" s="864">
        <f>SUMPRODUCT((区片价!B190:B233=I2)*(区片价!C3:G3=E2)*(区片价!C190:G233))</f>
        <v>0</v>
      </c>
      <c r="N7" s="866">
        <f>SUMPRODUCT((因素修正幅度!B190:B233=I2)*(因素修正幅度!C3:G3=E2)*(因素修正幅度!C190:G233))</f>
        <v>0</v>
      </c>
      <c r="O7" s="1118"/>
      <c r="P7" s="1118"/>
      <c r="Q7" s="1118"/>
      <c r="R7" s="1210">
        <v>6</v>
      </c>
      <c r="S7" s="3414"/>
      <c r="T7" s="3356" t="e">
        <f t="shared" si="0"/>
        <v>#DIV/0!</v>
      </c>
      <c r="U7" s="1211"/>
      <c r="V7" s="3356"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4"/>
      <c r="B8" s="170" t="s">
        <v>1957</v>
      </c>
      <c r="C8" s="2021"/>
      <c r="D8" s="756" t="s">
        <v>112</v>
      </c>
      <c r="E8" s="757" t="e">
        <f>ROUND(C11/E7,4)</f>
        <v>#DIV/0!</v>
      </c>
      <c r="F8" s="2022" t="s">
        <v>1958</v>
      </c>
      <c r="G8" s="2023"/>
      <c r="H8" s="2023"/>
      <c r="I8" s="2023"/>
      <c r="J8" s="2024"/>
      <c r="K8" s="1118"/>
      <c r="L8" s="1998" t="s">
        <v>1959</v>
      </c>
      <c r="M8" s="864">
        <f>SUMPRODUCT((区片价!B234:B276=I2)*(区片价!C3:G3=E2)*(区片价!C234:G276))</f>
        <v>0</v>
      </c>
      <c r="N8" s="866">
        <f>SUMPRODUCT((因素修正幅度!B234:B276=I2)*(因素修正幅度!C3:G3=E2)*(因素修正幅度!C234:G276))</f>
        <v>0</v>
      </c>
      <c r="O8" s="1118"/>
      <c r="P8" s="1118"/>
      <c r="Q8" s="1118"/>
      <c r="R8" s="1210">
        <v>7</v>
      </c>
      <c r="S8" s="1211"/>
      <c r="T8" s="3356" t="e">
        <f t="shared" si="0"/>
        <v>#DIV/0!</v>
      </c>
      <c r="U8" s="1211"/>
      <c r="V8" s="3356" t="e">
        <f t="shared" si="1"/>
        <v>#DIV/0!</v>
      </c>
      <c r="W8" s="3881" t="s">
        <v>1960</v>
      </c>
      <c r="X8" s="388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4"/>
      <c r="B9" s="170" t="s">
        <v>1973</v>
      </c>
      <c r="C9" s="758">
        <f>SUMIF(修正!C71:C138,C8,修正!E71:E138)</f>
        <v>0</v>
      </c>
      <c r="D9" s="171" t="s">
        <v>113</v>
      </c>
      <c r="E9" s="171" t="e">
        <f>ROUND(C11/E7,4)</f>
        <v>#DIV/0!</v>
      </c>
      <c r="F9" s="2022" t="s">
        <v>1974</v>
      </c>
      <c r="G9" s="2023"/>
      <c r="H9" s="2023"/>
      <c r="I9" s="2023"/>
      <c r="J9" s="2024"/>
      <c r="K9" s="1118"/>
      <c r="L9" s="1998" t="s">
        <v>1975</v>
      </c>
      <c r="M9" s="864">
        <f>SUMPRODUCT((区片价!B277:B326=I2)*(区片价!C3:G3=E2)*(区片价!C277:G326))</f>
        <v>0</v>
      </c>
      <c r="N9" s="866">
        <f>SUMPRODUCT((因素修正幅度!B277:B326=I2)*(因素修正幅度!C3:G3=E2)*(因素修正幅度!C277:G326))</f>
        <v>0</v>
      </c>
      <c r="O9" s="1118"/>
      <c r="P9" s="1118"/>
      <c r="Q9" s="1118"/>
      <c r="R9" s="1210">
        <v>8</v>
      </c>
      <c r="S9" s="1211"/>
      <c r="T9" s="3356" t="e">
        <f t="shared" si="0"/>
        <v>#DIV/0!</v>
      </c>
      <c r="U9" s="1211"/>
      <c r="V9" s="3356" t="e">
        <f t="shared" si="1"/>
        <v>#DIV/0!</v>
      </c>
      <c r="W9" s="3883"/>
      <c r="X9" s="3357" t="s">
        <v>3272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8"/>
      <c r="L10" s="1998" t="s">
        <v>1978</v>
      </c>
      <c r="M10" s="864">
        <f>SUMPRODUCT((区片价!B327:B357=I2)*(区片价!C3:G3=E2)*(区片价!C327:G357))</f>
        <v>0</v>
      </c>
      <c r="N10" s="866">
        <f>SUMPRODUCT((因素修正幅度!B327:B357=I2)*(因素修正幅度!C3:G3=E2)*(因素修正幅度!C327:G357))</f>
        <v>0</v>
      </c>
      <c r="O10" s="1118"/>
      <c r="P10" s="1118"/>
      <c r="Q10" s="1118"/>
      <c r="R10" s="1210">
        <v>9</v>
      </c>
      <c r="S10" s="1211"/>
      <c r="T10" s="3356" t="e">
        <f t="shared" si="0"/>
        <v>#DIV/0!</v>
      </c>
      <c r="U10" s="1211"/>
      <c r="V10" s="3356" t="e">
        <f t="shared" si="1"/>
        <v>#DIV/0!</v>
      </c>
      <c r="W10" s="388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1979</v>
      </c>
      <c r="C11" s="759">
        <f>C10/4</f>
        <v>0</v>
      </c>
      <c r="D11" s="759" t="s">
        <v>115</v>
      </c>
      <c r="E11" s="759" t="e">
        <f>ROUND(C11/E7,4)</f>
        <v>#DIV/0!</v>
      </c>
      <c r="F11" s="2026" t="s">
        <v>1980</v>
      </c>
      <c r="G11" s="2027"/>
      <c r="H11" s="2027"/>
      <c r="I11" s="2027"/>
      <c r="J11" s="2028"/>
      <c r="K11" s="1118"/>
      <c r="L11" s="1998" t="s">
        <v>1981</v>
      </c>
      <c r="M11" s="864">
        <f>SUMPRODUCT((区片价!B358:B377=I2)*(区片价!C3:G3=E2)*(区片价!C358:G377))</f>
        <v>0</v>
      </c>
      <c r="N11" s="866">
        <f>SUMPRODUCT((因素修正幅度!B358:B377=I2)*(因素修正幅度!C3:G3=E2)*(因素修正幅度!C358:G377))</f>
        <v>0</v>
      </c>
      <c r="O11" s="1118"/>
      <c r="P11" s="1118"/>
      <c r="Q11" s="1118"/>
      <c r="R11" s="1210">
        <v>10</v>
      </c>
      <c r="S11" s="1211"/>
      <c r="T11" s="3356" t="e">
        <f t="shared" si="0"/>
        <v>#DIV/0!</v>
      </c>
      <c r="U11" s="1211"/>
      <c r="V11" s="3356" t="e">
        <f t="shared" si="1"/>
        <v>#DIV/0!</v>
      </c>
      <c r="W11" s="1214"/>
      <c r="X11" s="1214"/>
      <c r="Y11" s="1214"/>
      <c r="Z11" s="1214"/>
      <c r="AA11" s="1214"/>
      <c r="AB11" s="1214"/>
      <c r="AC11" s="1215"/>
      <c r="AD11" s="2784"/>
      <c r="AE11" s="2784"/>
      <c r="AF11" s="2784"/>
      <c r="AG11" s="2784"/>
      <c r="AH11" s="2784"/>
      <c r="AI11" s="2784"/>
      <c r="AJ11" s="2785"/>
    </row>
    <row r="12" spans="1:36" ht="25.5" thickBot="1">
      <c r="A12" s="3299" t="s">
        <v>3242</v>
      </c>
      <c r="B12" s="3300" t="s">
        <v>3243</v>
      </c>
      <c r="C12" s="3301"/>
      <c r="D12" s="3302" t="s">
        <v>3244</v>
      </c>
      <c r="E12" s="3303" t="s">
        <v>3245</v>
      </c>
      <c r="F12" s="3304"/>
      <c r="G12" s="3305"/>
      <c r="H12" s="3305"/>
      <c r="I12" s="3305"/>
      <c r="J12" s="3306"/>
      <c r="K12" s="1118"/>
      <c r="L12" s="2034" t="s">
        <v>1984</v>
      </c>
      <c r="M12" s="865">
        <f>SUMPRODUCT((区片价!B378:B384=I2)*(区片价!C3:G3=E2)*(区片价!C378:G384))</f>
        <v>0</v>
      </c>
      <c r="N12" s="866">
        <f>SUMPRODUCT((因素修正幅度!B378:B384=I2)*(因素修正幅度!C3:G3=E2)*(因素修正幅度!C378:G384))</f>
        <v>0</v>
      </c>
      <c r="O12" s="1118"/>
      <c r="P12" s="1118"/>
      <c r="Q12" s="1118"/>
      <c r="R12" s="1210">
        <v>11</v>
      </c>
      <c r="S12" s="1211"/>
      <c r="T12" s="3356" t="e">
        <f t="shared" si="0"/>
        <v>#DIV/0!</v>
      </c>
      <c r="U12" s="1211"/>
      <c r="V12" s="3356" t="e">
        <f t="shared" si="1"/>
        <v>#DIV/0!</v>
      </c>
      <c r="W12" s="1214"/>
      <c r="X12" s="1214"/>
      <c r="Y12" s="1214"/>
      <c r="Z12" s="1214"/>
      <c r="AA12" s="1214"/>
      <c r="AB12" s="1214"/>
      <c r="AC12" s="1215"/>
      <c r="AD12" s="2784"/>
      <c r="AE12" s="2784"/>
      <c r="AF12" s="2784"/>
      <c r="AG12" s="2784"/>
      <c r="AH12" s="2784"/>
      <c r="AI12" s="2784"/>
      <c r="AJ12" s="2785"/>
    </row>
    <row r="13" spans="1:36" ht="15.75" thickBot="1">
      <c r="A13" s="3299" t="s">
        <v>3246</v>
      </c>
      <c r="B13" s="2029" t="s">
        <v>1982</v>
      </c>
      <c r="C13" s="755">
        <f>ROUND(C16*D16*E16*F16*G16*H16*I16*J16,4)</f>
        <v>0</v>
      </c>
      <c r="D13" s="2030" t="s">
        <v>1983</v>
      </c>
      <c r="E13" s="2031"/>
      <c r="F13" s="2031"/>
      <c r="G13" s="2032"/>
      <c r="H13" s="2032"/>
      <c r="I13" s="2032"/>
      <c r="J13" s="2033"/>
      <c r="K13" s="1118"/>
      <c r="L13" s="3295"/>
      <c r="M13" s="3296"/>
      <c r="N13" s="3297"/>
      <c r="O13" s="1118"/>
      <c r="P13" s="1118"/>
      <c r="Q13" s="1118"/>
      <c r="R13" s="1210">
        <v>12</v>
      </c>
      <c r="S13" s="1211"/>
      <c r="T13" s="3356" t="e">
        <f t="shared" si="0"/>
        <v>#DIV/0!</v>
      </c>
      <c r="U13" s="1211"/>
      <c r="V13" s="3356" t="e">
        <f t="shared" si="1"/>
        <v>#DIV/0!</v>
      </c>
      <c r="W13" s="1214"/>
      <c r="X13" s="1214"/>
      <c r="Y13" s="1214"/>
      <c r="Z13" s="1214"/>
      <c r="AA13" s="1214"/>
      <c r="AB13" s="1214"/>
      <c r="AC13" s="1215"/>
      <c r="AD13" s="2784"/>
      <c r="AE13" s="2784"/>
      <c r="AF13" s="2784"/>
      <c r="AG13" s="2784"/>
      <c r="AH13" s="2784"/>
      <c r="AI13" s="2784"/>
      <c r="AJ13" s="2785"/>
    </row>
    <row r="14" spans="1:36" ht="15">
      <c r="A14" s="3293"/>
      <c r="B14" s="2035" t="s">
        <v>1985</v>
      </c>
      <c r="C14" s="2036" t="s">
        <v>1986</v>
      </c>
      <c r="D14" s="1348" t="s">
        <v>1987</v>
      </c>
      <c r="E14" s="27" t="s">
        <v>1988</v>
      </c>
      <c r="F14" s="3307" t="s">
        <v>3247</v>
      </c>
      <c r="G14" s="3307" t="s">
        <v>3247</v>
      </c>
      <c r="H14" s="3307" t="s">
        <v>3247</v>
      </c>
      <c r="I14" s="3307" t="s">
        <v>3247</v>
      </c>
      <c r="J14" s="3307" t="s">
        <v>3247</v>
      </c>
      <c r="K14" s="1118"/>
      <c r="L14" s="1118"/>
      <c r="M14" s="1118"/>
      <c r="N14" s="1118"/>
      <c r="O14" s="1118"/>
      <c r="P14" s="1118"/>
      <c r="Q14" s="1118"/>
      <c r="R14" s="1210">
        <v>13</v>
      </c>
      <c r="S14" s="1211"/>
      <c r="T14" s="3356" t="e">
        <f t="shared" si="0"/>
        <v>#DIV/0!</v>
      </c>
      <c r="U14" s="1211"/>
      <c r="V14" s="3356" t="e">
        <f t="shared" si="1"/>
        <v>#DIV/0!</v>
      </c>
      <c r="W14" s="1214"/>
      <c r="X14" s="1214"/>
      <c r="Y14" s="1214"/>
      <c r="Z14" s="1214"/>
      <c r="AA14" s="1214"/>
      <c r="AB14" s="1214"/>
      <c r="AC14" s="1215"/>
      <c r="AD14" s="2784"/>
      <c r="AE14" s="2784"/>
      <c r="AF14" s="2784"/>
      <c r="AG14" s="2784"/>
      <c r="AH14" s="2784"/>
      <c r="AI14" s="2784"/>
      <c r="AJ14" s="2785"/>
    </row>
    <row r="15" spans="1:36" ht="15">
      <c r="A15" s="3293"/>
      <c r="B15" s="2037"/>
      <c r="C15" s="2038"/>
      <c r="D15" s="2039"/>
      <c r="E15" s="2040"/>
      <c r="F15" s="3308" t="s">
        <v>3248</v>
      </c>
      <c r="G15" s="3309"/>
      <c r="H15" s="3310"/>
      <c r="I15" s="3311"/>
      <c r="J15" s="3312"/>
      <c r="K15" s="1118"/>
      <c r="L15" s="1118"/>
      <c r="M15" s="1118"/>
      <c r="N15" s="1118"/>
      <c r="O15" s="1118"/>
      <c r="P15" s="1118"/>
      <c r="Q15" s="1118"/>
      <c r="R15" s="1210">
        <v>14</v>
      </c>
      <c r="S15" s="1211"/>
      <c r="T15" s="3356" t="e">
        <f t="shared" si="0"/>
        <v>#DIV/0!</v>
      </c>
      <c r="U15" s="1211"/>
      <c r="V15" s="3356" t="e">
        <f t="shared" si="1"/>
        <v>#DIV/0!</v>
      </c>
      <c r="W15" s="1214"/>
      <c r="X15" s="1214"/>
      <c r="Y15" s="1214"/>
      <c r="Z15" s="1214"/>
      <c r="AA15" s="1214"/>
      <c r="AB15" s="1214"/>
      <c r="AC15" s="1215"/>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8"/>
      <c r="L16" s="1992"/>
      <c r="M16" s="1992"/>
      <c r="N16" s="1992"/>
      <c r="O16" s="1992"/>
      <c r="P16" s="1992"/>
      <c r="Q16" s="1118"/>
      <c r="R16" s="1210">
        <v>15</v>
      </c>
      <c r="S16" s="1211"/>
      <c r="T16" s="3356" t="e">
        <f t="shared" si="0"/>
        <v>#DIV/0!</v>
      </c>
      <c r="U16" s="1211"/>
      <c r="V16" s="3356" t="e">
        <f t="shared" si="1"/>
        <v>#DIV/0!</v>
      </c>
      <c r="W16" s="1214"/>
      <c r="X16" s="1214"/>
      <c r="Y16" s="1214"/>
      <c r="Z16" s="1214"/>
      <c r="AA16" s="1214"/>
      <c r="AB16" s="1214"/>
      <c r="AC16" s="1215"/>
      <c r="AD16" s="2784"/>
      <c r="AE16" s="2784"/>
      <c r="AF16" s="2784"/>
      <c r="AG16" s="2784"/>
      <c r="AH16" s="2784"/>
      <c r="AI16" s="2784"/>
      <c r="AJ16" s="2785"/>
    </row>
    <row r="17" spans="1:37">
      <c r="A17" s="3325" t="s">
        <v>3249</v>
      </c>
      <c r="B17" s="3316" t="s">
        <v>3250</v>
      </c>
      <c r="C17" s="3326">
        <f>ROUND(IF(OR(E2="工业",E2="公共服务"),1,IF(AND(E18=0,E19=0),1,IF(AND(E18=J24,E19=G19),0.8,IF(E19=0,1+E17*(-0.2),1+E17*G17*(-0.2))))),4)</f>
        <v>1</v>
      </c>
      <c r="D17" s="3317" t="s">
        <v>3251</v>
      </c>
      <c r="E17" s="3326" t="e">
        <f>ROUND(G18/I18,2)</f>
        <v>#DIV/0!</v>
      </c>
      <c r="F17" s="3317" t="s">
        <v>3254</v>
      </c>
      <c r="G17" s="3326" t="e">
        <f>ROUND(E19/G19,2)</f>
        <v>#DIV/0!</v>
      </c>
      <c r="H17" s="3326"/>
      <c r="I17" s="3326"/>
      <c r="J17" s="3327"/>
      <c r="K17" s="1118"/>
      <c r="L17" s="1992"/>
      <c r="M17" s="1992"/>
      <c r="N17" s="1992"/>
      <c r="O17" s="1992"/>
      <c r="P17" s="1992"/>
      <c r="Q17" s="1118"/>
      <c r="R17" s="1118"/>
      <c r="S17" s="1118"/>
      <c r="T17" s="1118"/>
      <c r="U17" s="1118"/>
      <c r="V17" s="1118"/>
      <c r="W17" s="1118"/>
      <c r="X17" s="1118"/>
      <c r="Y17" s="1118"/>
      <c r="Z17" s="1119"/>
      <c r="AA17" s="1119"/>
      <c r="AB17" s="1119"/>
      <c r="AC17" s="1119"/>
      <c r="AD17" s="1119"/>
      <c r="AE17" s="1118"/>
      <c r="AF17" s="1118"/>
      <c r="AG17" s="1992"/>
      <c r="AH17" s="1992"/>
      <c r="AI17" s="1992"/>
      <c r="AJ17" s="1992"/>
    </row>
    <row r="18" spans="1:37" s="2009" customFormat="1" ht="14.25">
      <c r="A18" s="3328"/>
      <c r="B18" s="3005"/>
      <c r="C18" s="3323"/>
      <c r="D18" s="3318" t="s">
        <v>3252</v>
      </c>
      <c r="E18" s="3324"/>
      <c r="F18" s="3319" t="s">
        <v>3255</v>
      </c>
      <c r="G18" s="3323">
        <f>ROUND(1-(1/(POWER(1+G24,E18))),4)</f>
        <v>0</v>
      </c>
      <c r="H18" s="3319" t="s">
        <v>3257</v>
      </c>
      <c r="I18" s="3323">
        <f>ROUND(1-(1/(POWER(1+G24,J24))),4)</f>
        <v>0</v>
      </c>
      <c r="J18" s="3329"/>
      <c r="K18" s="1118"/>
      <c r="L18" s="1992"/>
      <c r="M18" s="1992"/>
      <c r="N18" s="1992"/>
      <c r="O18" s="1992"/>
      <c r="P18" s="1992"/>
      <c r="Q18" s="1118"/>
      <c r="R18" s="1123"/>
      <c r="S18" s="1123"/>
      <c r="T18" s="1119"/>
      <c r="U18" s="1119"/>
      <c r="V18" s="1119"/>
      <c r="W18" s="1118"/>
      <c r="X18" s="1118"/>
      <c r="Y18" s="1118"/>
      <c r="Z18" s="1124"/>
      <c r="AA18" s="1124"/>
      <c r="AB18" s="1124"/>
      <c r="AC18" s="1124"/>
      <c r="AD18" s="1124"/>
      <c r="AE18" s="1119"/>
      <c r="AF18" s="1119"/>
      <c r="AG18" s="2136"/>
      <c r="AH18" s="2136"/>
      <c r="AI18" s="2136"/>
      <c r="AJ18" s="2783"/>
    </row>
    <row r="19" spans="1:37" s="2009" customFormat="1" ht="15" thickBot="1">
      <c r="A19" s="3330"/>
      <c r="B19" s="3331"/>
      <c r="C19" s="3332"/>
      <c r="D19" s="3332" t="s">
        <v>3253</v>
      </c>
      <c r="E19" s="3333"/>
      <c r="F19" s="3334" t="s">
        <v>3256</v>
      </c>
      <c r="G19" s="3333"/>
      <c r="H19" s="3332"/>
      <c r="I19" s="3332"/>
      <c r="J19" s="3335"/>
      <c r="K19" s="1118"/>
      <c r="L19" s="1992"/>
      <c r="M19" s="1992"/>
      <c r="N19" s="1992"/>
      <c r="O19" s="1992"/>
      <c r="P19" s="1992"/>
      <c r="Q19" s="1123"/>
      <c r="R19" s="1123"/>
      <c r="S19" s="1123"/>
      <c r="T19" s="1119"/>
      <c r="U19" s="1119"/>
      <c r="V19" s="1119"/>
      <c r="W19" s="1118"/>
      <c r="X19" s="1118"/>
      <c r="Y19" s="1118"/>
      <c r="Z19" s="1124"/>
      <c r="AA19" s="1124"/>
      <c r="AB19" s="1124"/>
      <c r="AC19" s="1124"/>
      <c r="AD19" s="1124"/>
      <c r="AE19" s="1124"/>
      <c r="AF19" s="1123"/>
      <c r="AG19" s="2786"/>
      <c r="AH19" s="2136"/>
      <c r="AI19" s="2787"/>
      <c r="AJ19" s="2787"/>
      <c r="AK19" s="2052"/>
    </row>
    <row r="20" spans="1:37" s="2009" customFormat="1" ht="14.25">
      <c r="A20" s="3888" t="s">
        <v>3258</v>
      </c>
      <c r="B20" s="167" t="s">
        <v>1994</v>
      </c>
      <c r="C20" s="3320" t="e">
        <f>ROUND(IF(F21="与级别开发程度一致",0,(G21-E21)/C21),0)</f>
        <v>#DIV/0!</v>
      </c>
      <c r="D20" s="3336" t="s">
        <v>1998</v>
      </c>
      <c r="E20" s="3337"/>
      <c r="F20" s="3894" t="s">
        <v>1995</v>
      </c>
      <c r="G20" s="3895"/>
      <c r="H20" s="3321"/>
      <c r="I20" s="3321"/>
      <c r="J20" s="3322"/>
      <c r="K20" s="2042"/>
      <c r="L20" s="2042"/>
      <c r="M20" s="2042"/>
      <c r="N20" s="2042"/>
      <c r="O20" s="2043"/>
      <c r="P20" s="1992"/>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09" customFormat="1" ht="15" thickBot="1">
      <c r="A21" s="3889"/>
      <c r="B21" s="2159" t="s">
        <v>1997</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09" customFormat="1" ht="15.75" thickBot="1">
      <c r="A22" s="2153" t="s">
        <v>363</v>
      </c>
      <c r="B22" s="2154" t="s">
        <v>2000</v>
      </c>
      <c r="C22" s="2155">
        <f>SUMIF(修正!C20:C51,E3,修正!E20:E51)</f>
        <v>0</v>
      </c>
      <c r="D22" s="2156"/>
      <c r="E22" s="2157"/>
      <c r="F22" s="2157"/>
      <c r="G22" s="2157"/>
      <c r="H22" s="2157"/>
      <c r="I22" s="2157"/>
      <c r="J22" s="2158"/>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5" t="s">
        <v>364</v>
      </c>
      <c r="B23" s="2046"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2002</v>
      </c>
      <c r="E23" s="761">
        <v>44197</v>
      </c>
      <c r="F23" s="2049" t="s">
        <v>2003</v>
      </c>
      <c r="G23" s="762">
        <f>'数据-取费表'!B2</f>
        <v>45126</v>
      </c>
      <c r="H23" s="3338" t="s">
        <v>3260</v>
      </c>
      <c r="I23" s="3339" t="str">
        <f>IF(H23="季度增幅（自定义）",SUMIF(N25:N28,E2,O25:O28),"")</f>
        <v/>
      </c>
      <c r="J23" s="3441" t="s">
        <v>3259</v>
      </c>
      <c r="K23" s="1124"/>
      <c r="L23" s="2050" t="s">
        <v>2004</v>
      </c>
      <c r="M23" s="1326">
        <f>ROUND(SUMIF(地价!B2:G2,E2,地价!B16:G16),0)</f>
        <v>0</v>
      </c>
      <c r="N23" s="2051" t="s">
        <v>2005</v>
      </c>
      <c r="O23" s="763">
        <f>ROUNDDOWN(DATEDIF(E23,G23,"M")/3,0)</f>
        <v>10</v>
      </c>
      <c r="P23" s="1121"/>
      <c r="Q23" s="2783"/>
      <c r="R23" s="1123"/>
      <c r="S23" s="1123"/>
      <c r="T23" s="1119"/>
      <c r="U23" s="1119"/>
      <c r="V23" s="1119"/>
      <c r="W23" s="1118"/>
      <c r="X23" s="1118"/>
      <c r="Y23" s="1118"/>
      <c r="Z23" s="1124"/>
      <c r="AA23" s="1124"/>
      <c r="AB23" s="1124"/>
      <c r="AC23" s="1124"/>
      <c r="AD23" s="1124"/>
      <c r="AE23" s="1119"/>
      <c r="AF23" s="1119"/>
      <c r="AG23" s="2136"/>
      <c r="AH23" s="2136"/>
      <c r="AI23" s="2136"/>
      <c r="AJ23" s="2136"/>
      <c r="AK23" s="2048"/>
    </row>
    <row r="24" spans="1:37" s="2009" customFormat="1" ht="24.75" thickBot="1">
      <c r="A24" s="2053" t="s">
        <v>365</v>
      </c>
      <c r="B24" s="2054" t="s">
        <v>2006</v>
      </c>
      <c r="C24" s="764" t="e">
        <f>ROUND(POWER(1+G24,J24-I24)*(POWER(1+G24,I24)-1)/(POWER(1+G24,J24)-1),4)</f>
        <v>#DIV/0!</v>
      </c>
      <c r="D24" s="2055" t="s">
        <v>2007</v>
      </c>
      <c r="E24" s="1333">
        <f>存贷款利率!E23/100</f>
        <v>4.3499999999999997E-2</v>
      </c>
      <c r="F24" s="2055" t="s">
        <v>1999</v>
      </c>
      <c r="G24" s="768">
        <f>SUMIF(M30:Q30,E2,M33:Q33)</f>
        <v>0</v>
      </c>
      <c r="H24" s="2055" t="s">
        <v>2008</v>
      </c>
      <c r="I24" s="769" t="e">
        <f>SUMIF('数据-取费表'!C6:C15,E2,'数据-取费表'!F6:F15)/COUNTIF('数据-取费表'!C6:C15,E2)</f>
        <v>#DIV/0!</v>
      </c>
      <c r="J24" s="770">
        <f>IF(E2="住宅",70,IF(E2="商业",40,50))</f>
        <v>50</v>
      </c>
      <c r="K24" s="1124"/>
      <c r="L24" s="2056" t="s">
        <v>2009</v>
      </c>
      <c r="M24" s="1327">
        <f>ROUND(SUMPRODUCT((地价!A4:A16=YEAR(G23)&amp;"-"&amp;ROUNDUP(MONTH(G23)/3,0))*(地价!B2:G2=E2)*(地价!B4:G16)),0)</f>
        <v>0</v>
      </c>
      <c r="N24" s="2057" t="s">
        <v>2010</v>
      </c>
      <c r="O24" s="2058" t="s">
        <v>2011</v>
      </c>
      <c r="P24" s="2059" t="s">
        <v>2012</v>
      </c>
      <c r="Q24" s="1992"/>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0" t="s">
        <v>366</v>
      </c>
      <c r="B25" s="2061" t="s">
        <v>3339</v>
      </c>
      <c r="C25" s="771">
        <f>IF(B25="容积率修正",IF(G3&lt;10,D26,J26),C27)</f>
        <v>0</v>
      </c>
      <c r="D25" s="2062"/>
      <c r="E25" s="2062"/>
      <c r="F25" s="2062"/>
      <c r="G25" s="2062"/>
      <c r="H25" s="2062"/>
      <c r="I25" s="2062"/>
      <c r="J25" s="2063"/>
      <c r="K25" s="1124"/>
      <c r="L25" s="2783"/>
      <c r="M25" s="2783"/>
      <c r="N25" s="2064" t="s">
        <v>2013</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6"/>
      <c r="AH25" s="2136"/>
      <c r="AI25" s="2136"/>
      <c r="AJ25" s="2136"/>
    </row>
    <row r="26" spans="1:37" ht="14.25">
      <c r="A26" s="1950" t="s">
        <v>2014</v>
      </c>
      <c r="B26" s="2065" t="s">
        <v>2015</v>
      </c>
      <c r="C26" s="3340" t="s">
        <v>3261</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3262</v>
      </c>
      <c r="J26" s="772" t="str">
        <f>IF(G3&gt;=10,D115,"——")</f>
        <v>——</v>
      </c>
      <c r="K26" s="1124"/>
      <c r="L26" s="2783"/>
      <c r="M26" s="2783"/>
      <c r="N26" s="2064" t="s">
        <v>2016</v>
      </c>
      <c r="O26" s="1172"/>
      <c r="P26" s="1173">
        <f>SUMPRODUCT((地价!A3:A40=YEAR(G23)&amp;"-"&amp;ROUNDUP(MONTH(G23)/3,0))*(地价!AD2:AH2=N26)*(地价!AD3:AH40))</f>
        <v>0</v>
      </c>
      <c r="Q26" s="1992"/>
      <c r="R26" s="1123"/>
      <c r="S26" s="1123"/>
      <c r="T26" s="1119"/>
      <c r="U26" s="1119"/>
      <c r="V26" s="1119"/>
      <c r="W26" s="1118"/>
      <c r="X26" s="1118"/>
      <c r="Y26" s="1118"/>
      <c r="Z26" s="1124"/>
      <c r="AA26" s="1124"/>
      <c r="AB26" s="1124"/>
      <c r="AC26" s="1124"/>
      <c r="AD26" s="1124"/>
      <c r="AE26" s="1119"/>
      <c r="AF26" s="1119"/>
      <c r="AG26" s="2136"/>
      <c r="AH26" s="2136"/>
      <c r="AI26" s="2136"/>
      <c r="AJ26" s="2136"/>
    </row>
    <row r="27" spans="1:37" ht="15.75" thickBot="1">
      <c r="A27" s="1950" t="s">
        <v>2017</v>
      </c>
      <c r="B27" s="2066" t="s">
        <v>2018</v>
      </c>
      <c r="C27" s="841">
        <f>ROUND(IF(I3&lt;6,SUMPRODUCT((B106:B110=I3)*(C105:N105=G2)*(C106:N110)),SUMIF(C105:N105,G2,C112:N112)),4)</f>
        <v>0</v>
      </c>
      <c r="D27" s="2041"/>
      <c r="E27" s="2041"/>
      <c r="F27" s="2067"/>
      <c r="G27" s="2068"/>
      <c r="H27" s="2069"/>
      <c r="I27" s="2070"/>
      <c r="J27" s="2071"/>
      <c r="K27" s="1118"/>
      <c r="L27" s="1992"/>
      <c r="M27" s="1992"/>
      <c r="N27" s="2064" t="s">
        <v>2019</v>
      </c>
      <c r="O27" s="1172"/>
      <c r="P27" s="1173">
        <f>SUMPRODUCT((地价!A3:A40=YEAR(G23)&amp;"-"&amp;ROUNDUP(MONTH(G23)/3,0))*(地价!AD2:AH2=N27)*(地价!AD3:AH40))</f>
        <v>0</v>
      </c>
      <c r="Q27" s="1992"/>
      <c r="R27" s="1123"/>
      <c r="S27" s="1123"/>
      <c r="T27" s="1119"/>
      <c r="U27" s="1119"/>
      <c r="V27" s="1119"/>
      <c r="W27" s="1118"/>
      <c r="X27" s="1118"/>
      <c r="Y27" s="1118"/>
      <c r="Z27" s="1124"/>
      <c r="AA27" s="1124"/>
      <c r="AB27" s="1124"/>
      <c r="AC27" s="1124"/>
      <c r="AD27" s="1124"/>
      <c r="AE27" s="1119"/>
      <c r="AF27" s="1119"/>
      <c r="AG27" s="2136"/>
      <c r="AH27" s="2136"/>
      <c r="AI27" s="2136"/>
      <c r="AJ27" s="2136"/>
    </row>
    <row r="28" spans="1:37" ht="15.75" thickBot="1">
      <c r="A28" s="2053" t="s">
        <v>367</v>
      </c>
      <c r="B28" s="2046" t="s">
        <v>2020</v>
      </c>
      <c r="C28" s="760">
        <f>SUMIF(A47:A101,E2,B47:B101)</f>
        <v>0</v>
      </c>
      <c r="D28" s="2047"/>
      <c r="E28" s="2072"/>
      <c r="F28" s="2072"/>
      <c r="G28" s="2072"/>
      <c r="H28" s="2072"/>
      <c r="I28" s="2072"/>
      <c r="J28" s="2073"/>
      <c r="K28" s="1124"/>
      <c r="L28" s="2783"/>
      <c r="M28" s="2783"/>
      <c r="N28" s="2074"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6"/>
      <c r="AH28" s="2136"/>
      <c r="AI28" s="2136"/>
      <c r="AJ28" s="2136"/>
    </row>
    <row r="29" spans="1:37" ht="15.75" thickBot="1">
      <c r="A29" s="2053" t="s">
        <v>368</v>
      </c>
      <c r="B29" s="2075" t="s">
        <v>2022</v>
      </c>
      <c r="C29" s="765"/>
      <c r="D29" s="2019"/>
      <c r="E29" s="2019"/>
      <c r="F29" s="2076"/>
      <c r="G29" s="2019"/>
      <c r="H29" s="2019"/>
      <c r="I29" s="2019"/>
      <c r="J29" s="2020"/>
      <c r="K29" s="1118"/>
      <c r="L29" s="1992"/>
      <c r="M29" s="1992"/>
      <c r="N29" s="2780" t="s">
        <v>2023</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8"/>
      <c r="L30" s="3346" t="s">
        <v>1936</v>
      </c>
      <c r="M30" s="3347" t="s">
        <v>1990</v>
      </c>
      <c r="N30" s="3347" t="s">
        <v>1991</v>
      </c>
      <c r="O30" s="3347" t="s">
        <v>1992</v>
      </c>
      <c r="P30" s="3347" t="s">
        <v>1993</v>
      </c>
      <c r="Q30" s="3350" t="s">
        <v>3266</v>
      </c>
      <c r="R30" s="1123"/>
      <c r="S30" s="1123"/>
      <c r="T30" s="1119"/>
      <c r="U30" s="1119"/>
      <c r="V30" s="1119"/>
      <c r="W30" s="1118"/>
      <c r="X30" s="1118"/>
      <c r="Y30" s="1118"/>
      <c r="Z30" s="1124"/>
      <c r="AA30" s="1124"/>
      <c r="AB30" s="1124"/>
      <c r="AC30" s="1124"/>
      <c r="AD30" s="1124"/>
      <c r="AE30" s="1118"/>
      <c r="AF30" s="1118"/>
      <c r="AG30" s="1992"/>
      <c r="AH30" s="1992"/>
      <c r="AI30" s="1992"/>
      <c r="AJ30" s="1992"/>
    </row>
    <row r="31" spans="1:37" ht="15.75" thickBot="1">
      <c r="A31" s="2077"/>
      <c r="B31" s="2081" t="s">
        <v>2025</v>
      </c>
      <c r="C31" s="766" t="e">
        <f>E34+SUM(I37:I42)</f>
        <v>#DIV/0!</v>
      </c>
      <c r="D31" s="2082"/>
      <c r="E31" s="2083"/>
      <c r="F31" s="2084"/>
      <c r="G31" s="2083"/>
      <c r="H31" s="2083"/>
      <c r="I31" s="2083"/>
      <c r="J31" s="2085"/>
      <c r="K31" s="1118"/>
      <c r="L31" s="3348" t="s">
        <v>1996</v>
      </c>
      <c r="M31" s="1995">
        <v>0.25</v>
      </c>
      <c r="N31" s="1995">
        <v>0.2</v>
      </c>
      <c r="O31" s="1995">
        <v>0.15</v>
      </c>
      <c r="P31" s="1995">
        <v>0.1</v>
      </c>
      <c r="Q31" s="3343">
        <v>0.15</v>
      </c>
      <c r="R31" s="1123"/>
      <c r="S31" s="1123"/>
      <c r="T31" s="1119"/>
      <c r="U31" s="1119"/>
      <c r="V31" s="1119"/>
      <c r="W31" s="1118"/>
      <c r="X31" s="1118"/>
      <c r="Y31" s="1118"/>
      <c r="Z31" s="1124"/>
      <c r="AA31" s="1124"/>
      <c r="AB31" s="1124"/>
      <c r="AC31" s="1124"/>
      <c r="AD31" s="1124"/>
      <c r="AE31" s="1118"/>
      <c r="AF31" s="1118"/>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8"/>
      <c r="L32" s="3349" t="s">
        <v>1999</v>
      </c>
      <c r="M32" s="2565">
        <f>ROUND($E$24*(1+M31),3)</f>
        <v>5.3999999999999999E-2</v>
      </c>
      <c r="N32" s="2565">
        <f>ROUND($E$24*(1+N31),3)</f>
        <v>5.1999999999999998E-2</v>
      </c>
      <c r="O32" s="2565">
        <f>ROUND($E$24*(1+O31),3)</f>
        <v>0.05</v>
      </c>
      <c r="P32" s="2565">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2"/>
      <c r="AH32" s="1992"/>
      <c r="AI32" s="1992"/>
      <c r="AJ32" s="1992"/>
    </row>
    <row r="33" spans="1:37" ht="14.25">
      <c r="A33" s="2091"/>
      <c r="B33" s="2092" t="s">
        <v>2030</v>
      </c>
      <c r="C33" s="175" t="e">
        <f>ROUND(C5*C22*C23*C24*C25*C28,0)</f>
        <v>#DIV/0!</v>
      </c>
      <c r="D33" s="2093"/>
      <c r="E33" s="773" t="e">
        <f>ROUND(C33*D33/10000,0)</f>
        <v>#DIV/0!</v>
      </c>
      <c r="F33" s="3341" t="s">
        <v>3264</v>
      </c>
      <c r="G33" s="2094"/>
      <c r="H33" s="2094"/>
      <c r="I33" s="2094"/>
      <c r="J33" s="2095"/>
      <c r="K33" s="1118"/>
      <c r="L33" s="3344" t="s">
        <v>3267</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6"/>
      <c r="AH33" s="2136"/>
      <c r="AI33" s="2136"/>
      <c r="AJ33" s="2136"/>
    </row>
    <row r="34" spans="1:37" ht="25.5" thickBot="1">
      <c r="A34" s="2096"/>
      <c r="B34" s="2097" t="s">
        <v>2031</v>
      </c>
      <c r="C34" s="187" t="e">
        <f>ROUND(IF(E2="工业",C33*M42,IF(B25="楼层修正",SUM(V2:V16)*M41*10000/D34,C33*M41)),0)</f>
        <v>#DIV/0!</v>
      </c>
      <c r="D34" s="2098"/>
      <c r="E34" s="773" t="e">
        <f>ROUND(IF(B25="楼层修正",SUM(V2:V16)*M40,C34*D34/10000),0)</f>
        <v>#DIV/0!</v>
      </c>
      <c r="F34" s="2099" t="s">
        <v>2032</v>
      </c>
      <c r="G34" s="2100"/>
      <c r="H34" s="2100"/>
      <c r="I34" s="2100"/>
      <c r="J34" s="2101"/>
      <c r="K34" s="1118"/>
      <c r="L34" s="3344" t="s">
        <v>3268</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6"/>
      <c r="AH34" s="2136"/>
      <c r="AI34" s="2136"/>
      <c r="AJ34" s="2136"/>
    </row>
    <row r="35" spans="1:37">
      <c r="A35" s="2102"/>
      <c r="B35" s="2103" t="s">
        <v>2033</v>
      </c>
      <c r="C35" s="3342" t="s">
        <v>3265</v>
      </c>
      <c r="D35" s="2032"/>
      <c r="E35" s="2104"/>
      <c r="F35" s="2104"/>
      <c r="G35" s="2030" t="s">
        <v>2034</v>
      </c>
      <c r="H35" s="2032"/>
      <c r="I35" s="2105"/>
      <c r="J35" s="2033"/>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2" t="s">
        <v>3269</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8"/>
      <c r="S36" s="1118"/>
      <c r="T36" s="1118"/>
      <c r="U36" s="1118"/>
      <c r="V36" s="1118"/>
      <c r="W36" s="1118"/>
      <c r="X36" s="1118"/>
      <c r="Y36" s="1118"/>
      <c r="Z36" s="1119"/>
      <c r="AA36" s="1119"/>
      <c r="AB36" s="1119"/>
      <c r="AC36" s="1119"/>
      <c r="AD36" s="1119"/>
      <c r="AE36" s="1119"/>
      <c r="AF36" s="1119"/>
      <c r="AG36" s="2136"/>
      <c r="AH36" s="2136"/>
      <c r="AI36" s="2136"/>
      <c r="AJ36" s="2136"/>
    </row>
    <row r="37" spans="1:37" ht="24.75" thickBot="1">
      <c r="A37" s="3892"/>
      <c r="B37" s="2108" t="s">
        <v>2036</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3270</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8"/>
      <c r="S37" s="1118"/>
      <c r="T37" s="1118"/>
      <c r="U37" s="1118"/>
      <c r="V37" s="1118"/>
      <c r="W37" s="1118"/>
      <c r="X37" s="1118"/>
      <c r="Y37" s="1118"/>
      <c r="Z37" s="1119"/>
      <c r="AA37" s="1119"/>
      <c r="AB37" s="1119"/>
      <c r="AC37" s="1119"/>
      <c r="AD37" s="1119"/>
      <c r="AE37" s="1119"/>
      <c r="AF37" s="1119"/>
      <c r="AG37" s="2136"/>
      <c r="AH37" s="2136"/>
      <c r="AI37" s="2136"/>
      <c r="AJ37" s="2136"/>
    </row>
    <row r="38" spans="1:37">
      <c r="A38" s="3893"/>
      <c r="B38" s="2036" t="s">
        <v>2037</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893"/>
      <c r="B39" s="2036" t="s">
        <v>3263</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0"/>
      <c r="B40" s="2036" t="s">
        <v>2038</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2039</v>
      </c>
      <c r="M40" s="2112"/>
      <c r="Z40" s="1119"/>
      <c r="AA40" s="1119"/>
      <c r="AB40" s="1119"/>
      <c r="AC40" s="1119"/>
      <c r="AD40" s="1119"/>
      <c r="AE40" s="1119"/>
      <c r="AF40" s="1119"/>
      <c r="AG40" s="1119"/>
      <c r="AH40" s="1119"/>
      <c r="AI40" s="1119"/>
      <c r="AJ40" s="1119"/>
    </row>
    <row r="41" spans="1:37" s="1118" customFormat="1">
      <c r="A41" s="2110"/>
      <c r="B41" s="2036" t="s">
        <v>2040</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3271</v>
      </c>
      <c r="M41" s="2113">
        <v>0.25</v>
      </c>
      <c r="Z41" s="1119"/>
      <c r="AA41" s="1119"/>
      <c r="AB41" s="1119"/>
      <c r="AC41" s="1119"/>
      <c r="AD41" s="1119"/>
      <c r="AE41" s="1119"/>
      <c r="AF41" s="1119"/>
      <c r="AG41" s="1119"/>
      <c r="AH41" s="1119"/>
      <c r="AI41" s="1119"/>
      <c r="AJ41" s="1119"/>
    </row>
    <row r="42" spans="1:37" s="1118" customFormat="1" ht="13.5" thickBot="1">
      <c r="A42" s="2096"/>
      <c r="B42" s="2114" t="s">
        <v>2041</v>
      </c>
      <c r="C42" s="187" t="e">
        <f>ROUND(D5*C22*C23*C44*C28*F42,0)</f>
        <v>#DIV/0!</v>
      </c>
      <c r="D42" s="2098"/>
      <c r="E42" s="187" t="e">
        <f t="shared" si="4"/>
        <v>#DIV/0!</v>
      </c>
      <c r="F42" s="767">
        <f>SUMIF(修正!A57:A68,G2,修正!G57:G68)</f>
        <v>0</v>
      </c>
      <c r="G42" s="187" t="e">
        <f>ROUND(IF(E2="工业",C42*$M$42,C42*$M$41),0)</f>
        <v>#DIV/0!</v>
      </c>
      <c r="H42" s="187">
        <f t="shared" si="5"/>
        <v>0</v>
      </c>
      <c r="I42" s="187" t="e">
        <f t="shared" si="6"/>
        <v>#DIV/0!</v>
      </c>
      <c r="J42" s="2115"/>
      <c r="L42" s="2116" t="s">
        <v>1993</v>
      </c>
      <c r="M42" s="2117">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49" t="s">
        <v>2120</v>
      </c>
      <c r="C44" s="342" t="e">
        <f>ROUND(POWER(1+E44,H44-G44)*(POWER(1+E44,G44)-1)/(POWER(1+E44,H44)-1),4)</f>
        <v>#DIV/0!</v>
      </c>
      <c r="D44" s="171" t="s">
        <v>1999</v>
      </c>
      <c r="E44" s="2148">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18"/>
      <c r="Z45" s="1119"/>
      <c r="AA45" s="1119"/>
      <c r="AB45" s="1119"/>
      <c r="AC45" s="1119"/>
      <c r="AD45" s="1119"/>
      <c r="AE45" s="1119"/>
      <c r="AF45" s="1119"/>
      <c r="AG45" s="1119"/>
      <c r="AH45" s="1119"/>
      <c r="AI45" s="1119"/>
      <c r="AJ45" s="1119"/>
    </row>
    <row r="46" spans="1:37" s="1118" customFormat="1">
      <c r="A46" s="1119"/>
      <c r="B46" s="2118"/>
      <c r="AA46" s="1119"/>
      <c r="AB46" s="1119"/>
      <c r="AC46" s="1119"/>
      <c r="AD46" s="1119"/>
      <c r="AE46" s="1119"/>
      <c r="AF46" s="1119"/>
      <c r="AG46" s="1119"/>
      <c r="AH46" s="1119"/>
      <c r="AI46" s="1119"/>
      <c r="AJ46" s="1119"/>
      <c r="AK46" s="1119"/>
    </row>
    <row r="47" spans="1:37" s="1118" customFormat="1" ht="15.75" thickBot="1">
      <c r="A47" s="2119" t="s">
        <v>2042</v>
      </c>
      <c r="B47" s="2120"/>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1" t="s">
        <v>2043</v>
      </c>
      <c r="B48" s="2122">
        <f>1+E50</f>
        <v>1</v>
      </c>
      <c r="C48" s="2123"/>
      <c r="D48" s="741"/>
      <c r="E48" s="742"/>
      <c r="F48" s="2124"/>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5" t="s">
        <v>2044</v>
      </c>
      <c r="B49" s="1349" t="s">
        <v>2045</v>
      </c>
      <c r="C49" s="1349" t="s">
        <v>2046</v>
      </c>
      <c r="D49" s="1349" t="s">
        <v>2047</v>
      </c>
      <c r="E49" s="743" t="s">
        <v>2048</v>
      </c>
      <c r="F49" s="2126" t="s">
        <v>2049</v>
      </c>
      <c r="G49" s="1349" t="s">
        <v>310</v>
      </c>
      <c r="H49" s="2127"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5" t="s">
        <v>2052</v>
      </c>
      <c r="B50" s="2128" t="str">
        <f>估价对象房地状况!C4</f>
        <v>估价对象位于XX商圈，周边商业氛围成熟，人流量大，商业繁华度好</v>
      </c>
      <c r="C50" s="2039"/>
      <c r="D50" s="1064">
        <f t="shared" ref="D50:D58" si="7">SUMIF($J$49:$N$49,C50,J50:N50)</f>
        <v>0</v>
      </c>
      <c r="E50" s="744">
        <f>ROUND(SUM(D50:D58),4)</f>
        <v>0</v>
      </c>
      <c r="F50" s="1812"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5" t="s">
        <v>2053</v>
      </c>
      <c r="B51" s="2129" t="str">
        <f>估价对象房地状况!C18</f>
        <v>估价对象周边道路状况、公共交通通达情况、停车便捷程度，综合评价交通便捷度较好</v>
      </c>
      <c r="C51" s="2039"/>
      <c r="D51" s="1064">
        <f t="shared" si="7"/>
        <v>0</v>
      </c>
      <c r="E51" s="745"/>
      <c r="F51" s="1812"/>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4" t="s">
        <v>3273</v>
      </c>
      <c r="B52" s="2129">
        <f>估价对象房地状况!C19</f>
        <v>0</v>
      </c>
      <c r="C52" s="2039"/>
      <c r="D52" s="1064">
        <f t="shared" si="7"/>
        <v>0</v>
      </c>
      <c r="E52" s="745"/>
      <c r="F52" s="1812"/>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5" t="s">
        <v>2054</v>
      </c>
      <c r="B53" s="2130" t="s">
        <v>2055</v>
      </c>
      <c r="C53" s="2039"/>
      <c r="D53" s="1064">
        <f t="shared" si="7"/>
        <v>0</v>
      </c>
      <c r="E53" s="745"/>
      <c r="F53" s="1812"/>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5" t="s">
        <v>2056</v>
      </c>
      <c r="B54" s="2129">
        <f>估价对象房地状况!C24</f>
        <v>0</v>
      </c>
      <c r="C54" s="2039"/>
      <c r="D54" s="1064">
        <f t="shared" si="7"/>
        <v>0</v>
      </c>
      <c r="E54" s="745"/>
      <c r="F54" s="1812"/>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5" t="s">
        <v>2057</v>
      </c>
      <c r="B55" s="2131" t="s">
        <v>2058</v>
      </c>
      <c r="C55" s="2039"/>
      <c r="D55" s="1064">
        <f t="shared" si="7"/>
        <v>0</v>
      </c>
      <c r="E55" s="745"/>
      <c r="F55" s="1812"/>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2" t="s">
        <v>2059</v>
      </c>
      <c r="B56" s="1324" t="str">
        <f>估价对象房地状况!C21</f>
        <v>估价对象所在区域公共配套设施齐备情况</v>
      </c>
      <c r="C56" s="2039"/>
      <c r="D56" s="1064">
        <f t="shared" si="7"/>
        <v>0</v>
      </c>
      <c r="E56" s="745"/>
      <c r="F56" s="1812"/>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2" t="s">
        <v>2060</v>
      </c>
      <c r="B57" s="2129" t="str">
        <f>估价对象房地状况!C22</f>
        <v>估价对象所在区域基础设施水平</v>
      </c>
      <c r="C57" s="2039"/>
      <c r="D57" s="1064">
        <f t="shared" si="7"/>
        <v>0</v>
      </c>
      <c r="E57" s="745"/>
      <c r="F57" s="1812"/>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3" t="s">
        <v>2061</v>
      </c>
      <c r="B58" s="2134" t="str">
        <f>估价对象房地状况!C20</f>
        <v>区域自然环境：；人文环境；综合评价环境状况一般</v>
      </c>
      <c r="C58" s="2039"/>
      <c r="D58" s="1064">
        <f t="shared" si="7"/>
        <v>0</v>
      </c>
      <c r="E58" s="746"/>
      <c r="F58" s="1812"/>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1" t="s">
        <v>2062</v>
      </c>
      <c r="B59" s="2122">
        <f>1+E61</f>
        <v>1</v>
      </c>
      <c r="C59" s="741"/>
      <c r="D59" s="741"/>
      <c r="E59" s="742"/>
      <c r="F59" s="2124"/>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5" t="s">
        <v>2044</v>
      </c>
      <c r="B60" s="1349"/>
      <c r="C60" s="1349" t="s">
        <v>2046</v>
      </c>
      <c r="D60" s="1349" t="s">
        <v>2047</v>
      </c>
      <c r="E60" s="743" t="s">
        <v>2048</v>
      </c>
      <c r="F60" s="2126" t="s">
        <v>2063</v>
      </c>
      <c r="G60" s="1349" t="s">
        <v>310</v>
      </c>
      <c r="H60" s="2127"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5" t="s">
        <v>2064</v>
      </c>
      <c r="B61" s="2128" t="str">
        <f>估价对象房地状况!C17</f>
        <v>估价对象位于XX商圈，周边办公楼项目较多，入驻率高，办公集聚程度较好</v>
      </c>
      <c r="C61" s="2039"/>
      <c r="D61" s="1064">
        <f t="shared" ref="D61:D69" si="12">SUMIF($J$60:$N$60,C61,J61:N61)</f>
        <v>0</v>
      </c>
      <c r="E61" s="744">
        <f>ROUND(SUM(D61:D69),4)</f>
        <v>0</v>
      </c>
      <c r="F61" s="1812"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5" t="s">
        <v>2053</v>
      </c>
      <c r="B62" s="2129" t="str">
        <f>估价对象房地状况!C18</f>
        <v>估价对象周边道路状况、公共交通通达情况、停车便捷程度，综合评价交通便捷度较好</v>
      </c>
      <c r="C62" s="2039"/>
      <c r="D62" s="1064">
        <f t="shared" si="12"/>
        <v>0</v>
      </c>
      <c r="E62" s="745"/>
      <c r="F62" s="1812"/>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3273</v>
      </c>
      <c r="B63" s="2129">
        <f>估价对象房地状况!C19</f>
        <v>0</v>
      </c>
      <c r="C63" s="2039"/>
      <c r="D63" s="1064">
        <f t="shared" si="12"/>
        <v>0</v>
      </c>
      <c r="E63" s="745"/>
      <c r="F63" s="1812"/>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5" t="s">
        <v>2054</v>
      </c>
      <c r="B64" s="2130" t="s">
        <v>2055</v>
      </c>
      <c r="C64" s="2039"/>
      <c r="D64" s="1064">
        <f t="shared" si="12"/>
        <v>0</v>
      </c>
      <c r="E64" s="745"/>
      <c r="F64" s="1812"/>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5" t="s">
        <v>2056</v>
      </c>
      <c r="B65" s="2129">
        <f>估价对象房地状况!C24</f>
        <v>0</v>
      </c>
      <c r="C65" s="2039"/>
      <c r="D65" s="1064">
        <f t="shared" si="12"/>
        <v>0</v>
      </c>
      <c r="E65" s="745"/>
      <c r="F65" s="1812"/>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5" t="s">
        <v>2057</v>
      </c>
      <c r="B66" s="2131" t="s">
        <v>2058</v>
      </c>
      <c r="C66" s="2039"/>
      <c r="D66" s="1064">
        <f t="shared" si="12"/>
        <v>0</v>
      </c>
      <c r="E66" s="745"/>
      <c r="F66" s="1812"/>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5" t="s">
        <v>2059</v>
      </c>
      <c r="B67" s="1324" t="str">
        <f>估价对象房地状况!C21</f>
        <v>估价对象所在区域公共配套设施齐备情况</v>
      </c>
      <c r="C67" s="2039"/>
      <c r="D67" s="1064">
        <f t="shared" si="12"/>
        <v>0</v>
      </c>
      <c r="E67" s="745"/>
      <c r="F67" s="1812"/>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5" t="s">
        <v>2060</v>
      </c>
      <c r="B68" s="1324" t="str">
        <f>估价对象房地状况!C22</f>
        <v>估价对象所在区域基础设施水平</v>
      </c>
      <c r="C68" s="2039"/>
      <c r="D68" s="1064">
        <f t="shared" si="12"/>
        <v>0</v>
      </c>
      <c r="E68" s="745"/>
      <c r="F68" s="1812"/>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3" t="s">
        <v>2061</v>
      </c>
      <c r="B69" s="2135" t="str">
        <f>估价对象房地状况!C20</f>
        <v>区域自然环境：；人文环境；综合评价环境状况一般</v>
      </c>
      <c r="C69" s="2039"/>
      <c r="D69" s="1064">
        <f t="shared" si="12"/>
        <v>0</v>
      </c>
      <c r="E69" s="746"/>
      <c r="F69" s="1812"/>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1" t="s">
        <v>2065</v>
      </c>
      <c r="B70" s="2122">
        <f>1+E72</f>
        <v>1</v>
      </c>
      <c r="C70" s="741"/>
      <c r="D70" s="741"/>
      <c r="E70" s="742"/>
      <c r="F70" s="2124"/>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5" t="s">
        <v>2044</v>
      </c>
      <c r="B71" s="1349"/>
      <c r="C71" s="1349" t="s">
        <v>2046</v>
      </c>
      <c r="D71" s="1349" t="s">
        <v>2047</v>
      </c>
      <c r="E71" s="743" t="s">
        <v>2048</v>
      </c>
      <c r="F71" s="2126" t="s">
        <v>2063</v>
      </c>
      <c r="G71" s="1349" t="s">
        <v>310</v>
      </c>
      <c r="H71" s="2127"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5" t="s">
        <v>2066</v>
      </c>
      <c r="B72" s="2128" t="str">
        <f>估价对象房地状况!C15</f>
        <v>估价对象周边居住用地比例、居住小区规模和社区发展完善程度，综合评价居住社区成熟度一般</v>
      </c>
      <c r="C72" s="2039"/>
      <c r="D72" s="1064">
        <f t="shared" ref="D72:D80" si="17">SUMIF($J$71:$N$71,C72,J72:N72)</f>
        <v>0</v>
      </c>
      <c r="E72" s="744">
        <f>ROUND(SUM(D72:D80),4)</f>
        <v>0</v>
      </c>
      <c r="F72" s="1812"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5" t="s">
        <v>2053</v>
      </c>
      <c r="B73" s="2129" t="str">
        <f>估价对象房地状况!C18</f>
        <v>估价对象周边道路状况、公共交通通达情况、停车便捷程度，综合评价交通便捷度较好</v>
      </c>
      <c r="C73" s="2039"/>
      <c r="D73" s="1064">
        <f t="shared" si="17"/>
        <v>0</v>
      </c>
      <c r="E73" s="747"/>
      <c r="F73" s="1812"/>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2" customFormat="1" ht="36">
      <c r="A74" s="3364" t="s">
        <v>3273</v>
      </c>
      <c r="B74" s="2129">
        <f>估价对象房地状况!C19</f>
        <v>0</v>
      </c>
      <c r="C74" s="2039"/>
      <c r="D74" s="1064">
        <f t="shared" si="17"/>
        <v>0</v>
      </c>
      <c r="E74" s="747"/>
      <c r="F74" s="1812"/>
      <c r="G74" s="1062"/>
      <c r="H74" s="1065" t="str">
        <f t="shared" si="18"/>
        <v>——</v>
      </c>
      <c r="I74" s="3362">
        <v>0.1</v>
      </c>
      <c r="J74" s="1063">
        <f t="shared" si="19"/>
        <v>0</v>
      </c>
      <c r="K74" s="1063">
        <f t="shared" si="20"/>
        <v>0</v>
      </c>
      <c r="L74" s="1063">
        <v>0</v>
      </c>
      <c r="M74" s="1063">
        <f t="shared" si="21"/>
        <v>0</v>
      </c>
      <c r="N74" s="1063">
        <f t="shared" si="21"/>
        <v>0</v>
      </c>
      <c r="O74" s="1118"/>
      <c r="P74" s="1118"/>
      <c r="Q74" s="1118"/>
      <c r="AA74" s="2136"/>
      <c r="AB74" s="1119"/>
      <c r="AC74" s="1119"/>
      <c r="AD74" s="1119"/>
      <c r="AE74" s="1119"/>
      <c r="AF74" s="1119"/>
      <c r="AG74" s="1119"/>
      <c r="AH74" s="2136"/>
      <c r="AI74" s="2136"/>
      <c r="AJ74" s="2136"/>
      <c r="AK74" s="2136"/>
    </row>
    <row r="75" spans="1:37" ht="14.25">
      <c r="A75" s="2125" t="s">
        <v>2067</v>
      </c>
      <c r="B75" s="2129">
        <f>估价对象房地状况!C24</f>
        <v>0</v>
      </c>
      <c r="C75" s="2039"/>
      <c r="D75" s="1064">
        <f t="shared" si="17"/>
        <v>0</v>
      </c>
      <c r="E75" s="747"/>
      <c r="F75" s="1812"/>
      <c r="G75" s="1062"/>
      <c r="H75" s="1065" t="str">
        <f t="shared" si="18"/>
        <v>——</v>
      </c>
      <c r="I75" s="3362">
        <v>0.05</v>
      </c>
      <c r="J75" s="1063">
        <f t="shared" si="19"/>
        <v>0</v>
      </c>
      <c r="K75" s="1063">
        <f t="shared" si="20"/>
        <v>0</v>
      </c>
      <c r="L75" s="1063">
        <v>0</v>
      </c>
      <c r="M75" s="1063">
        <f t="shared" si="21"/>
        <v>0</v>
      </c>
      <c r="N75" s="1063">
        <f t="shared" si="21"/>
        <v>0</v>
      </c>
      <c r="O75" s="1118"/>
      <c r="P75" s="1118"/>
      <c r="Q75" s="1992"/>
      <c r="Z75" s="1993"/>
      <c r="AA75" s="2048"/>
      <c r="AG75" s="1120"/>
      <c r="AK75" s="2048"/>
    </row>
    <row r="76" spans="1:37" ht="25.5">
      <c r="A76" s="2125" t="s">
        <v>2059</v>
      </c>
      <c r="B76" s="1324" t="str">
        <f>估价对象房地状况!C21</f>
        <v>估价对象所在区域公共配套设施齐备情况</v>
      </c>
      <c r="C76" s="2039"/>
      <c r="D76" s="1064">
        <f t="shared" si="17"/>
        <v>0</v>
      </c>
      <c r="E76" s="747"/>
      <c r="F76" s="1812"/>
      <c r="G76" s="1062"/>
      <c r="H76" s="1065" t="str">
        <f t="shared" si="18"/>
        <v>——</v>
      </c>
      <c r="I76" s="3362">
        <v>0.08</v>
      </c>
      <c r="J76" s="1063">
        <f t="shared" si="19"/>
        <v>0</v>
      </c>
      <c r="K76" s="1063">
        <f t="shared" si="20"/>
        <v>0</v>
      </c>
      <c r="L76" s="1063">
        <v>0</v>
      </c>
      <c r="M76" s="1063">
        <f t="shared" si="21"/>
        <v>0</v>
      </c>
      <c r="N76" s="1063">
        <f t="shared" si="21"/>
        <v>0</v>
      </c>
      <c r="O76" s="1118"/>
      <c r="P76" s="1118"/>
      <c r="Z76" s="1993"/>
      <c r="AA76" s="2048"/>
      <c r="AG76" s="1120"/>
      <c r="AK76" s="2048"/>
    </row>
    <row r="77" spans="1:37" ht="25.5">
      <c r="A77" s="2125" t="s">
        <v>2060</v>
      </c>
      <c r="B77" s="1324" t="str">
        <f>估价对象房地状况!C22</f>
        <v>估价对象所在区域基础设施水平</v>
      </c>
      <c r="C77" s="2039"/>
      <c r="D77" s="1064">
        <f t="shared" si="17"/>
        <v>0</v>
      </c>
      <c r="E77" s="747"/>
      <c r="F77" s="1812"/>
      <c r="G77" s="1062"/>
      <c r="H77" s="1065" t="str">
        <f t="shared" si="18"/>
        <v>——</v>
      </c>
      <c r="I77" s="3362">
        <v>0.09</v>
      </c>
      <c r="J77" s="1063">
        <f t="shared" si="19"/>
        <v>0</v>
      </c>
      <c r="K77" s="1063">
        <f t="shared" si="20"/>
        <v>0</v>
      </c>
      <c r="L77" s="1063">
        <v>0</v>
      </c>
      <c r="M77" s="1063">
        <f t="shared" si="21"/>
        <v>0</v>
      </c>
      <c r="N77" s="1063">
        <f t="shared" si="21"/>
        <v>0</v>
      </c>
      <c r="O77" s="1118"/>
      <c r="P77" s="1118"/>
      <c r="Z77" s="1993"/>
      <c r="AA77" s="2048"/>
      <c r="AG77" s="1120"/>
      <c r="AK77" s="2048"/>
    </row>
    <row r="78" spans="1:37" ht="24">
      <c r="A78" s="2125" t="s">
        <v>2057</v>
      </c>
      <c r="B78" s="2131" t="s">
        <v>2058</v>
      </c>
      <c r="C78" s="2039"/>
      <c r="D78" s="1064">
        <f t="shared" si="17"/>
        <v>0</v>
      </c>
      <c r="E78" s="747"/>
      <c r="F78" s="1812"/>
      <c r="G78" s="1062"/>
      <c r="H78" s="1065" t="str">
        <f t="shared" si="18"/>
        <v>——</v>
      </c>
      <c r="I78" s="3362">
        <v>0.05</v>
      </c>
      <c r="J78" s="1063">
        <f t="shared" si="19"/>
        <v>0</v>
      </c>
      <c r="K78" s="1063">
        <f t="shared" si="20"/>
        <v>0</v>
      </c>
      <c r="L78" s="1063">
        <v>0</v>
      </c>
      <c r="M78" s="1063">
        <f t="shared" si="21"/>
        <v>0</v>
      </c>
      <c r="N78" s="1063">
        <f t="shared" si="21"/>
        <v>0</v>
      </c>
      <c r="O78" s="1992"/>
      <c r="P78" s="1992"/>
      <c r="Z78" s="1993"/>
      <c r="AA78" s="2048"/>
      <c r="AG78" s="1120"/>
      <c r="AK78" s="2048"/>
    </row>
    <row r="79" spans="1:37" ht="25.5">
      <c r="A79" s="2125" t="s">
        <v>2061</v>
      </c>
      <c r="B79" s="2128" t="str">
        <f>估价对象房地状况!C20</f>
        <v>区域自然环境：；人文环境；综合评价环境状况一般</v>
      </c>
      <c r="C79" s="2039"/>
      <c r="D79" s="1064">
        <f t="shared" si="17"/>
        <v>0</v>
      </c>
      <c r="E79" s="747"/>
      <c r="F79" s="1812"/>
      <c r="G79" s="1062"/>
      <c r="H79" s="1065" t="str">
        <f t="shared" si="18"/>
        <v>——</v>
      </c>
      <c r="I79" s="3362">
        <v>0.12</v>
      </c>
      <c r="J79" s="1063">
        <f t="shared" si="19"/>
        <v>0</v>
      </c>
      <c r="K79" s="1063">
        <f t="shared" si="20"/>
        <v>0</v>
      </c>
      <c r="L79" s="1063">
        <v>0</v>
      </c>
      <c r="M79" s="1063">
        <f t="shared" si="21"/>
        <v>0</v>
      </c>
      <c r="N79" s="1063">
        <f t="shared" si="21"/>
        <v>0</v>
      </c>
      <c r="Z79" s="1993"/>
      <c r="AA79" s="2048"/>
      <c r="AG79" s="1120"/>
      <c r="AK79" s="2048"/>
    </row>
    <row r="80" spans="1:37" ht="24.75" thickBot="1">
      <c r="A80" s="2133" t="s">
        <v>2068</v>
      </c>
      <c r="B80" s="2137"/>
      <c r="C80" s="2039"/>
      <c r="D80" s="1064">
        <f t="shared" si="17"/>
        <v>0</v>
      </c>
      <c r="E80" s="748"/>
      <c r="F80" s="1812"/>
      <c r="G80" s="1062"/>
      <c r="H80" s="1065" t="str">
        <f t="shared" si="18"/>
        <v>——</v>
      </c>
      <c r="I80" s="3363">
        <v>0.05</v>
      </c>
      <c r="J80" s="1063">
        <f t="shared" si="19"/>
        <v>0</v>
      </c>
      <c r="K80" s="1063">
        <f t="shared" si="20"/>
        <v>0</v>
      </c>
      <c r="L80" s="1063">
        <v>0</v>
      </c>
      <c r="M80" s="1063">
        <f t="shared" si="21"/>
        <v>0</v>
      </c>
      <c r="N80" s="1063">
        <f t="shared" si="21"/>
        <v>0</v>
      </c>
      <c r="Z80" s="1993"/>
      <c r="AA80" s="2048"/>
      <c r="AG80" s="1120"/>
      <c r="AK80" s="2048"/>
    </row>
    <row r="81" spans="1:37" ht="15">
      <c r="A81" s="2121" t="s">
        <v>2069</v>
      </c>
      <c r="B81" s="2122">
        <f>1+E83</f>
        <v>1</v>
      </c>
      <c r="C81" s="741"/>
      <c r="D81" s="741"/>
      <c r="E81" s="742"/>
      <c r="F81" s="2124"/>
      <c r="G81" s="3"/>
      <c r="H81" s="3"/>
      <c r="I81" s="3"/>
      <c r="J81" s="4"/>
      <c r="K81" s="4"/>
      <c r="L81" s="4"/>
      <c r="M81" s="4"/>
      <c r="N81" s="4"/>
      <c r="Z81" s="1993"/>
      <c r="AA81" s="2048"/>
      <c r="AG81" s="1120"/>
      <c r="AK81" s="2048"/>
    </row>
    <row r="82" spans="1:37" ht="24.75">
      <c r="A82" s="2125" t="s">
        <v>2044</v>
      </c>
      <c r="B82" s="1349"/>
      <c r="C82" s="1349" t="s">
        <v>2046</v>
      </c>
      <c r="D82" s="1349" t="s">
        <v>2047</v>
      </c>
      <c r="E82" s="743" t="s">
        <v>2048</v>
      </c>
      <c r="F82" s="2126" t="s">
        <v>2063</v>
      </c>
      <c r="G82" s="1349" t="s">
        <v>310</v>
      </c>
      <c r="H82" s="2127" t="s">
        <v>2050</v>
      </c>
      <c r="I82" s="1349" t="s">
        <v>2051</v>
      </c>
      <c r="J82" s="552" t="s">
        <v>1721</v>
      </c>
      <c r="K82" s="552" t="s">
        <v>1722</v>
      </c>
      <c r="L82" s="552" t="s">
        <v>1723</v>
      </c>
      <c r="M82" s="552" t="s">
        <v>1724</v>
      </c>
      <c r="N82" s="552" t="s">
        <v>1725</v>
      </c>
      <c r="Z82" s="1993"/>
      <c r="AA82" s="2048"/>
      <c r="AG82" s="1120"/>
      <c r="AK82" s="2048"/>
    </row>
    <row r="83" spans="1:37" ht="38.25">
      <c r="A83" s="2125" t="s">
        <v>2070</v>
      </c>
      <c r="B83" s="2129" t="str">
        <f>估价对象房地状况!G15</f>
        <v>估价对象位于XX开发区，园区建设成熟度XX，产业集聚程度XX</v>
      </c>
      <c r="C83" s="2039"/>
      <c r="D83" s="1064">
        <f t="shared" ref="D83:D90" si="22">SUMIF($J$82:$N$82,C83,J83:N83)</f>
        <v>0</v>
      </c>
      <c r="E83" s="744">
        <f>ROUND(SUM(D83:D90),4)</f>
        <v>0</v>
      </c>
      <c r="F83" s="1812"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3"/>
      <c r="AA83" s="2048"/>
      <c r="AG83" s="1120"/>
      <c r="AK83" s="2048"/>
    </row>
    <row r="84" spans="1:37" ht="38.25">
      <c r="A84" s="2125" t="s">
        <v>2053</v>
      </c>
      <c r="B84" s="2129" t="str">
        <f>估价对象房地状况!G16</f>
        <v>估价对象周边道路状况、公共交通通达情况、停车便捷程度，综合评价交通便捷度较好</v>
      </c>
      <c r="C84" s="2039"/>
      <c r="D84" s="1064">
        <f t="shared" si="22"/>
        <v>0</v>
      </c>
      <c r="E84" s="747"/>
      <c r="F84" s="1812"/>
      <c r="G84" s="1062"/>
      <c r="H84" s="1065" t="str">
        <f t="shared" si="23"/>
        <v>——</v>
      </c>
      <c r="I84" s="3362">
        <v>0.3</v>
      </c>
      <c r="J84" s="1063">
        <f t="shared" si="24"/>
        <v>0</v>
      </c>
      <c r="K84" s="1063">
        <f t="shared" si="25"/>
        <v>0</v>
      </c>
      <c r="L84" s="1063">
        <v>0</v>
      </c>
      <c r="M84" s="1063">
        <f t="shared" si="26"/>
        <v>0</v>
      </c>
      <c r="N84" s="1063">
        <f t="shared" si="26"/>
        <v>0</v>
      </c>
      <c r="Z84" s="1993"/>
      <c r="AA84" s="2048"/>
      <c r="AG84" s="1120"/>
      <c r="AK84" s="2048"/>
    </row>
    <row r="85" spans="1:37" ht="36">
      <c r="A85" s="3364" t="s">
        <v>3274</v>
      </c>
      <c r="B85" s="2129">
        <f>估价对象房地状况!G17</f>
        <v>0</v>
      </c>
      <c r="C85" s="2039"/>
      <c r="D85" s="1064">
        <f t="shared" si="22"/>
        <v>0</v>
      </c>
      <c r="E85" s="747"/>
      <c r="F85" s="1812"/>
      <c r="G85" s="1062"/>
      <c r="H85" s="1065" t="str">
        <f t="shared" si="23"/>
        <v>——</v>
      </c>
      <c r="I85" s="3362">
        <v>0.1</v>
      </c>
      <c r="J85" s="1063">
        <f t="shared" si="24"/>
        <v>0</v>
      </c>
      <c r="K85" s="1063">
        <f t="shared" si="25"/>
        <v>0</v>
      </c>
      <c r="L85" s="1063">
        <v>0</v>
      </c>
      <c r="M85" s="1063">
        <f t="shared" si="26"/>
        <v>0</v>
      </c>
      <c r="N85" s="1063">
        <f t="shared" si="26"/>
        <v>0</v>
      </c>
      <c r="Z85" s="1993"/>
      <c r="AA85" s="2048"/>
      <c r="AG85" s="1120"/>
      <c r="AK85" s="2048"/>
    </row>
    <row r="86" spans="1:37" ht="14.25">
      <c r="A86" s="2125" t="s">
        <v>2067</v>
      </c>
      <c r="B86" s="2129">
        <f>估价对象房地状况!G22</f>
        <v>0</v>
      </c>
      <c r="C86" s="2039"/>
      <c r="D86" s="1064">
        <f t="shared" si="22"/>
        <v>0</v>
      </c>
      <c r="E86" s="747"/>
      <c r="F86" s="1812"/>
      <c r="G86" s="1062"/>
      <c r="H86" s="1065" t="str">
        <f t="shared" si="23"/>
        <v>——</v>
      </c>
      <c r="I86" s="3362">
        <v>0.05</v>
      </c>
      <c r="J86" s="1063">
        <f t="shared" si="24"/>
        <v>0</v>
      </c>
      <c r="K86" s="1063">
        <f t="shared" si="25"/>
        <v>0</v>
      </c>
      <c r="L86" s="1063">
        <v>0</v>
      </c>
      <c r="M86" s="1063">
        <f t="shared" si="26"/>
        <v>0</v>
      </c>
      <c r="N86" s="1063">
        <f t="shared" si="26"/>
        <v>0</v>
      </c>
      <c r="Z86" s="1993"/>
      <c r="AA86" s="2048"/>
      <c r="AG86" s="1120"/>
      <c r="AK86" s="2048"/>
    </row>
    <row r="87" spans="1:37" ht="25.5">
      <c r="A87" s="2125" t="s">
        <v>2059</v>
      </c>
      <c r="B87" s="1324" t="str">
        <f>估价对象房地状况!G19</f>
        <v>估价对象所在区域公共配套设施齐备情况</v>
      </c>
      <c r="C87" s="2039"/>
      <c r="D87" s="1064">
        <f t="shared" si="22"/>
        <v>0</v>
      </c>
      <c r="E87" s="747"/>
      <c r="F87" s="1812"/>
      <c r="G87" s="1062"/>
      <c r="H87" s="1065" t="str">
        <f t="shared" si="23"/>
        <v>——</v>
      </c>
      <c r="I87" s="3362">
        <v>0.06</v>
      </c>
      <c r="J87" s="1063">
        <f t="shared" si="24"/>
        <v>0</v>
      </c>
      <c r="K87" s="1063">
        <f t="shared" si="25"/>
        <v>0</v>
      </c>
      <c r="L87" s="1063">
        <v>0</v>
      </c>
      <c r="M87" s="1063">
        <f t="shared" si="26"/>
        <v>0</v>
      </c>
      <c r="N87" s="1063">
        <f t="shared" si="26"/>
        <v>0</v>
      </c>
    </row>
    <row r="88" spans="1:37" ht="25.5">
      <c r="A88" s="2125" t="s">
        <v>2060</v>
      </c>
      <c r="B88" s="1324" t="str">
        <f>估价对象房地状况!G20</f>
        <v>估价对象所在区域基础设施水平</v>
      </c>
      <c r="C88" s="2039"/>
      <c r="D88" s="1064">
        <f t="shared" si="22"/>
        <v>0</v>
      </c>
      <c r="E88" s="747"/>
      <c r="F88" s="1812"/>
      <c r="G88" s="1062"/>
      <c r="H88" s="1065" t="str">
        <f t="shared" si="23"/>
        <v>——</v>
      </c>
      <c r="I88" s="3362">
        <v>0.12</v>
      </c>
      <c r="J88" s="1063">
        <f t="shared" si="24"/>
        <v>0</v>
      </c>
      <c r="K88" s="1063">
        <f t="shared" si="25"/>
        <v>0</v>
      </c>
      <c r="L88" s="1063">
        <v>0</v>
      </c>
      <c r="M88" s="1063">
        <f t="shared" si="26"/>
        <v>0</v>
      </c>
      <c r="N88" s="1063">
        <f t="shared" si="26"/>
        <v>0</v>
      </c>
    </row>
    <row r="89" spans="1:37" ht="24">
      <c r="A89" s="2125" t="s">
        <v>2057</v>
      </c>
      <c r="B89" s="2131" t="s">
        <v>2071</v>
      </c>
      <c r="C89" s="2039"/>
      <c r="D89" s="1064">
        <f t="shared" si="22"/>
        <v>0</v>
      </c>
      <c r="E89" s="747"/>
      <c r="F89" s="1812"/>
      <c r="G89" s="1062"/>
      <c r="H89" s="1065" t="str">
        <f t="shared" si="23"/>
        <v>——</v>
      </c>
      <c r="I89" s="3362">
        <v>0.06</v>
      </c>
      <c r="J89" s="1063">
        <f t="shared" si="24"/>
        <v>0</v>
      </c>
      <c r="K89" s="1063">
        <f t="shared" si="25"/>
        <v>0</v>
      </c>
      <c r="L89" s="1063">
        <v>0</v>
      </c>
      <c r="M89" s="1063">
        <f t="shared" si="26"/>
        <v>0</v>
      </c>
      <c r="N89" s="1063">
        <f t="shared" si="26"/>
        <v>0</v>
      </c>
    </row>
    <row r="90" spans="1:37" ht="39" thickBot="1">
      <c r="A90" s="2133" t="s">
        <v>2072</v>
      </c>
      <c r="B90" s="2138" t="str">
        <f>估价对象房地状况!G18</f>
        <v>该园区内是否有污染型企业，绿化情况，卫生条件，整体环境状况判断</v>
      </c>
      <c r="C90" s="2039"/>
      <c r="D90" s="1064">
        <f t="shared" si="22"/>
        <v>0</v>
      </c>
      <c r="E90" s="748"/>
      <c r="F90" s="1812"/>
      <c r="G90" s="1062"/>
      <c r="H90" s="1065" t="str">
        <f t="shared" si="23"/>
        <v>——</v>
      </c>
      <c r="I90" s="3363">
        <v>0.05</v>
      </c>
      <c r="J90" s="1063">
        <f t="shared" si="24"/>
        <v>0</v>
      </c>
      <c r="K90" s="1063">
        <f t="shared" si="25"/>
        <v>0</v>
      </c>
      <c r="L90" s="1063">
        <v>0</v>
      </c>
      <c r="M90" s="1063">
        <f t="shared" si="26"/>
        <v>0</v>
      </c>
      <c r="N90" s="1063">
        <f t="shared" si="26"/>
        <v>0</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3275</v>
      </c>
      <c r="B92" s="3361"/>
      <c r="C92" s="3361" t="s">
        <v>3284</v>
      </c>
      <c r="D92" s="3361" t="s">
        <v>3285</v>
      </c>
      <c r="E92" s="3343" t="s">
        <v>3286</v>
      </c>
      <c r="F92" s="3376" t="s">
        <v>3287</v>
      </c>
      <c r="G92" s="3361" t="s">
        <v>3288</v>
      </c>
      <c r="H92" s="3383" t="s">
        <v>3291</v>
      </c>
      <c r="I92" s="3361" t="s">
        <v>3292</v>
      </c>
      <c r="J92" s="3384" t="s">
        <v>3293</v>
      </c>
      <c r="K92" s="3384" t="s">
        <v>3294</v>
      </c>
      <c r="L92" s="3384" t="s">
        <v>3295</v>
      </c>
      <c r="M92" s="3384" t="s">
        <v>3296</v>
      </c>
      <c r="N92" s="3384" t="s">
        <v>3297</v>
      </c>
    </row>
    <row r="93" spans="1:37" ht="24">
      <c r="A93" s="3364" t="s">
        <v>3276</v>
      </c>
      <c r="B93" s="1304"/>
      <c r="C93" s="2039"/>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3277</v>
      </c>
      <c r="B94" s="3365" t="str">
        <f>估价对象房地状况!C18</f>
        <v>估价对象周边道路状况、公共交通通达情况、停车便捷程度，综合评价交通便捷度较好</v>
      </c>
      <c r="C94" s="2039"/>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3273</v>
      </c>
      <c r="B95" s="3365">
        <f>估价对象房地状况!C19</f>
        <v>0</v>
      </c>
      <c r="C95" s="2039"/>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3278</v>
      </c>
      <c r="B96" s="3380" t="s">
        <v>3289</v>
      </c>
      <c r="C96" s="2039"/>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3279</v>
      </c>
      <c r="B97" s="3365">
        <f>估价对象房地状况!C24</f>
        <v>0</v>
      </c>
      <c r="C97" s="2039"/>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3280</v>
      </c>
      <c r="B98" s="3381" t="s">
        <v>3290</v>
      </c>
      <c r="C98" s="2039"/>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25.5">
      <c r="A99" s="3374" t="s">
        <v>3281</v>
      </c>
      <c r="B99" s="3365" t="str">
        <f>估价对象房地状况!C21</f>
        <v>估价对象所在区域公共配套设施齐备情况</v>
      </c>
      <c r="C99" s="2039"/>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3282</v>
      </c>
      <c r="B100" s="3365" t="str">
        <f>估价对象房地状况!C22</f>
        <v>估价对象所在区域基础设施水平</v>
      </c>
      <c r="C100" s="2039"/>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3283</v>
      </c>
      <c r="B101" s="3382" t="str">
        <f>估价对象房地状况!C20</f>
        <v>区域自然环境：；人文环境；综合评价环境状况一般</v>
      </c>
      <c r="C101" s="2039"/>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90" t="s">
        <v>3298</v>
      </c>
      <c r="B103" s="3890"/>
      <c r="C103" s="3890"/>
      <c r="D103" s="3890"/>
      <c r="E103" s="3890"/>
      <c r="F103" s="3890"/>
      <c r="G103" s="3890"/>
      <c r="H103" s="3890"/>
      <c r="I103" s="3890"/>
      <c r="J103" s="3890"/>
      <c r="K103" s="3385"/>
      <c r="L103" s="3385"/>
      <c r="M103" s="3385"/>
      <c r="N103" s="3385"/>
    </row>
    <row r="104" spans="1:14">
      <c r="A104" s="3891" t="s">
        <v>3299</v>
      </c>
      <c r="B104" s="3891" t="s">
        <v>3300</v>
      </c>
      <c r="C104" s="3386" t="s">
        <v>3301</v>
      </c>
      <c r="D104" s="3387"/>
      <c r="E104" s="3387"/>
      <c r="F104" s="3387"/>
      <c r="G104" s="3387"/>
      <c r="H104" s="3387"/>
      <c r="I104" s="3387"/>
      <c r="J104" s="3388"/>
      <c r="K104" s="3389"/>
      <c r="L104" s="3389"/>
      <c r="M104" s="3389"/>
      <c r="N104" s="3389"/>
    </row>
    <row r="105" spans="1:14">
      <c r="A105" s="3891"/>
      <c r="B105" s="3891"/>
      <c r="C105" s="3390" t="s">
        <v>3302</v>
      </c>
      <c r="D105" s="3390" t="s">
        <v>3303</v>
      </c>
      <c r="E105" s="3390" t="s">
        <v>3304</v>
      </c>
      <c r="F105" s="3390" t="s">
        <v>3305</v>
      </c>
      <c r="G105" s="3390" t="s">
        <v>3306</v>
      </c>
      <c r="H105" s="3390" t="s">
        <v>3307</v>
      </c>
      <c r="I105" s="3390" t="s">
        <v>3308</v>
      </c>
      <c r="J105" s="3390" t="s">
        <v>3309</v>
      </c>
      <c r="K105" s="3390" t="s">
        <v>3310</v>
      </c>
      <c r="L105" s="3390" t="s">
        <v>3311</v>
      </c>
      <c r="M105" s="3390" t="s">
        <v>3312</v>
      </c>
      <c r="N105" s="3390" t="s">
        <v>3313</v>
      </c>
    </row>
    <row r="106" spans="1:14">
      <c r="A106" s="3877" t="s">
        <v>3314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7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7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7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7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78"/>
      <c r="B111" s="3390" t="s">
        <v>3272</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7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80" t="s">
        <v>3315</v>
      </c>
      <c r="B113" s="3880"/>
      <c r="C113" s="3880"/>
      <c r="D113" s="3880"/>
      <c r="E113" s="3880"/>
      <c r="F113" s="3880"/>
      <c r="G113" s="3880"/>
      <c r="H113" s="3880"/>
      <c r="I113" s="3880"/>
      <c r="J113" s="388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3316</v>
      </c>
      <c r="B116" s="3411">
        <f>G3</f>
        <v>0</v>
      </c>
      <c r="C116" s="3395" t="s">
        <v>3317</v>
      </c>
      <c r="D116" s="3396">
        <f>SUMPRODUCT((A118:A122=F116)*(B117:M117=H116)*B118:M122)</f>
        <v>0</v>
      </c>
      <c r="E116" s="1995" t="s">
        <v>3318</v>
      </c>
      <c r="F116" s="3397">
        <f>E2</f>
        <v>0</v>
      </c>
      <c r="G116" s="1995" t="s">
        <v>3319</v>
      </c>
      <c r="H116" s="3397">
        <f>G2</f>
        <v>0</v>
      </c>
      <c r="I116" s="1995"/>
      <c r="J116" s="3398"/>
      <c r="K116" s="3398"/>
      <c r="L116" s="3398"/>
      <c r="M116" s="3398"/>
      <c r="N116" s="3393"/>
    </row>
    <row r="117" spans="1:14">
      <c r="A117" s="3399"/>
      <c r="B117" s="3400" t="s">
        <v>3320</v>
      </c>
      <c r="C117" s="3400" t="s">
        <v>3321</v>
      </c>
      <c r="D117" s="3400" t="s">
        <v>3322</v>
      </c>
      <c r="E117" s="3401" t="s">
        <v>3323</v>
      </c>
      <c r="F117" s="3401" t="s">
        <v>3324</v>
      </c>
      <c r="G117" s="3401" t="s">
        <v>3325</v>
      </c>
      <c r="H117" s="3402" t="s">
        <v>3326</v>
      </c>
      <c r="I117" s="3402" t="s">
        <v>3327</v>
      </c>
      <c r="J117" s="3403" t="s">
        <v>3328</v>
      </c>
      <c r="K117" s="3403" t="s">
        <v>3329</v>
      </c>
      <c r="L117" s="3403" t="s">
        <v>3330</v>
      </c>
      <c r="M117" s="3404" t="s">
        <v>3331</v>
      </c>
      <c r="N117" s="3393"/>
    </row>
    <row r="118" spans="1:14">
      <c r="A118" s="3405" t="s">
        <v>3332</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3333</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3334</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3335</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2614</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905" t="s">
        <v>2609</v>
      </c>
      <c r="B20" s="3900" t="s">
        <v>2630</v>
      </c>
      <c r="C20" s="3098" t="s">
        <v>2441</v>
      </c>
      <c r="D20" s="3099"/>
      <c r="E20" s="3100">
        <v>1</v>
      </c>
      <c r="F20" s="3101" t="s">
        <v>2442</v>
      </c>
      <c r="G20" s="3101"/>
    </row>
    <row r="21" spans="1:13" ht="19.5" customHeight="1">
      <c r="A21" s="3906"/>
      <c r="B21" s="3899"/>
      <c r="C21" s="3102" t="s">
        <v>2443</v>
      </c>
      <c r="D21" s="3103"/>
      <c r="E21" s="3104">
        <v>1</v>
      </c>
      <c r="F21" s="3101" t="s">
        <v>2444</v>
      </c>
      <c r="G21" s="3101"/>
    </row>
    <row r="22" spans="1:13" ht="19.5" customHeight="1">
      <c r="A22" s="3906"/>
      <c r="B22" s="3899"/>
      <c r="C22" s="3102" t="s">
        <v>2445</v>
      </c>
      <c r="D22" s="3103"/>
      <c r="E22" s="3104">
        <v>0.9</v>
      </c>
      <c r="F22" s="3101" t="s">
        <v>2446</v>
      </c>
      <c r="G22" s="3101"/>
    </row>
    <row r="23" spans="1:13" ht="19.5" customHeight="1">
      <c r="A23" s="3906"/>
      <c r="B23" s="3899"/>
      <c r="C23" s="3102" t="s">
        <v>2447</v>
      </c>
      <c r="D23" s="3103"/>
      <c r="E23" s="3104">
        <v>0.9</v>
      </c>
      <c r="F23" s="3101" t="s">
        <v>2448</v>
      </c>
      <c r="G23" s="3101"/>
    </row>
    <row r="24" spans="1:13" ht="19.5" customHeight="1">
      <c r="A24" s="3906"/>
      <c r="B24" s="3899"/>
      <c r="C24" s="3102" t="s">
        <v>2449</v>
      </c>
      <c r="D24" s="3103"/>
      <c r="E24" s="3104">
        <v>0.8</v>
      </c>
      <c r="F24" s="3101" t="s">
        <v>2450</v>
      </c>
      <c r="G24" s="3101"/>
    </row>
    <row r="25" spans="1:13" ht="19.5" customHeight="1" thickBot="1">
      <c r="A25" s="3907"/>
      <c r="B25" s="3901"/>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902" t="s">
        <v>2633</v>
      </c>
      <c r="B27" s="3900" t="s">
        <v>2614</v>
      </c>
      <c r="C27" s="3098" t="s">
        <v>2454</v>
      </c>
      <c r="D27" s="3099"/>
      <c r="E27" s="3100">
        <v>1</v>
      </c>
      <c r="F27" s="3101" t="s">
        <v>2455</v>
      </c>
      <c r="G27" s="3101"/>
    </row>
    <row r="28" spans="1:13" ht="19.5" customHeight="1">
      <c r="A28" s="3903"/>
      <c r="B28" s="3899"/>
      <c r="C28" s="3102" t="s">
        <v>2456</v>
      </c>
      <c r="D28" s="3103"/>
      <c r="E28" s="3104">
        <v>1</v>
      </c>
      <c r="F28" s="3101" t="s">
        <v>2457</v>
      </c>
      <c r="G28" s="3101"/>
    </row>
    <row r="29" spans="1:13" ht="19.5" customHeight="1">
      <c r="A29" s="3903"/>
      <c r="B29" s="3899"/>
      <c r="C29" s="3102" t="s">
        <v>2458</v>
      </c>
      <c r="D29" s="3103"/>
      <c r="E29" s="3104">
        <v>0.8</v>
      </c>
      <c r="F29" s="3101" t="s">
        <v>2459</v>
      </c>
      <c r="G29" s="3101"/>
    </row>
    <row r="30" spans="1:13" ht="19.5" customHeight="1">
      <c r="A30" s="3903"/>
      <c r="B30" s="3899"/>
      <c r="C30" s="3102" t="s">
        <v>2460</v>
      </c>
      <c r="D30" s="3103"/>
      <c r="E30" s="3104">
        <v>0.8</v>
      </c>
      <c r="F30" s="3101" t="s">
        <v>2461</v>
      </c>
      <c r="G30" s="3101"/>
    </row>
    <row r="31" spans="1:13" ht="19.5" customHeight="1">
      <c r="A31" s="3903"/>
      <c r="B31" s="3899"/>
      <c r="C31" s="3102" t="s">
        <v>2462</v>
      </c>
      <c r="D31" s="3103"/>
      <c r="E31" s="3104">
        <v>0.8</v>
      </c>
      <c r="F31" s="3101" t="s">
        <v>2463</v>
      </c>
      <c r="G31" s="3101"/>
    </row>
    <row r="32" spans="1:13" ht="19.5" customHeight="1">
      <c r="A32" s="3903"/>
      <c r="B32" s="3899"/>
      <c r="C32" s="3102" t="s">
        <v>2464</v>
      </c>
      <c r="D32" s="3103"/>
      <c r="E32" s="3104">
        <v>0.7</v>
      </c>
      <c r="F32" s="3101" t="s">
        <v>2465</v>
      </c>
      <c r="G32" s="3101"/>
    </row>
    <row r="33" spans="1:7" ht="19.5" customHeight="1">
      <c r="A33" s="3903"/>
      <c r="B33" s="3899"/>
      <c r="C33" s="3102" t="s">
        <v>2466</v>
      </c>
      <c r="D33" s="3103"/>
      <c r="E33" s="3104">
        <v>0.8</v>
      </c>
      <c r="F33" s="3101" t="s">
        <v>2467</v>
      </c>
      <c r="G33" s="3101"/>
    </row>
    <row r="34" spans="1:7" ht="19.5" customHeight="1">
      <c r="A34" s="3903"/>
      <c r="B34" s="3899"/>
      <c r="C34" s="3102" t="s">
        <v>2468</v>
      </c>
      <c r="D34" s="3103"/>
      <c r="E34" s="3104">
        <v>0.6</v>
      </c>
      <c r="F34" s="3101" t="s">
        <v>2469</v>
      </c>
      <c r="G34" s="3101"/>
    </row>
    <row r="35" spans="1:7" ht="19.5" customHeight="1">
      <c r="A35" s="3903"/>
      <c r="B35" s="3899"/>
      <c r="C35" s="3102" t="s">
        <v>2470</v>
      </c>
      <c r="D35" s="3103"/>
      <c r="E35" s="3104">
        <v>0.2</v>
      </c>
      <c r="F35" s="3101" t="s">
        <v>2471</v>
      </c>
      <c r="G35" s="3101"/>
    </row>
    <row r="36" spans="1:7" ht="19.5" customHeight="1">
      <c r="A36" s="3903"/>
      <c r="B36" s="3899"/>
      <c r="C36" s="3102" t="s">
        <v>2472</v>
      </c>
      <c r="D36" s="3103"/>
      <c r="E36" s="3104">
        <v>0.2</v>
      </c>
      <c r="F36" s="3101" t="s">
        <v>2473</v>
      </c>
      <c r="G36" s="3101"/>
    </row>
    <row r="37" spans="1:7" ht="19.5" customHeight="1">
      <c r="A37" s="3903"/>
      <c r="B37" s="3897" t="s">
        <v>2634</v>
      </c>
      <c r="C37" s="3102" t="s">
        <v>2474</v>
      </c>
      <c r="D37" s="3103"/>
      <c r="E37" s="3104">
        <v>0.6</v>
      </c>
      <c r="F37" s="3101" t="s">
        <v>2475</v>
      </c>
      <c r="G37" s="3101"/>
    </row>
    <row r="38" spans="1:7" ht="19.5" customHeight="1">
      <c r="A38" s="3903"/>
      <c r="B38" s="3899"/>
      <c r="C38" s="3102" t="s">
        <v>2476</v>
      </c>
      <c r="D38" s="3103"/>
      <c r="E38" s="3104">
        <v>0.6</v>
      </c>
      <c r="F38" s="3101" t="s">
        <v>2477</v>
      </c>
      <c r="G38" s="3101"/>
    </row>
    <row r="39" spans="1:7" ht="19.5" customHeight="1" thickBot="1">
      <c r="A39" s="3904"/>
      <c r="B39" s="3901"/>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905" t="s">
        <v>2612</v>
      </c>
      <c r="B41" s="3900" t="s">
        <v>2636</v>
      </c>
      <c r="C41" s="3098" t="s">
        <v>2481</v>
      </c>
      <c r="D41" s="3099"/>
      <c r="E41" s="3100">
        <v>1</v>
      </c>
      <c r="F41" s="3101" t="s">
        <v>2482</v>
      </c>
      <c r="G41" s="3101"/>
    </row>
    <row r="42" spans="1:7" ht="19.5" customHeight="1">
      <c r="A42" s="3906"/>
      <c r="B42" s="3899"/>
      <c r="C42" s="3102" t="s">
        <v>2483</v>
      </c>
      <c r="D42" s="3103"/>
      <c r="E42" s="3104">
        <v>1</v>
      </c>
      <c r="F42" s="3101" t="s">
        <v>2484</v>
      </c>
      <c r="G42" s="3101"/>
    </row>
    <row r="43" spans="1:7" ht="19.5" customHeight="1">
      <c r="A43" s="3906"/>
      <c r="B43" s="3898"/>
      <c r="C43" s="3102" t="s">
        <v>2485</v>
      </c>
      <c r="D43" s="3103"/>
      <c r="E43" s="3104">
        <v>1.5</v>
      </c>
      <c r="F43" s="3101" t="s">
        <v>2486</v>
      </c>
      <c r="G43" s="3101"/>
    </row>
    <row r="44" spans="1:7" ht="19.5" customHeight="1">
      <c r="A44" s="3906"/>
      <c r="B44" s="3113" t="s">
        <v>2637</v>
      </c>
      <c r="C44" s="3102" t="s">
        <v>2638</v>
      </c>
      <c r="D44" s="3103"/>
      <c r="E44" s="3104">
        <v>2</v>
      </c>
      <c r="F44" s="3101" t="s">
        <v>2487</v>
      </c>
      <c r="G44" s="3101"/>
    </row>
    <row r="45" spans="1:7" ht="19.5" customHeight="1">
      <c r="A45" s="3906"/>
      <c r="B45" s="3897" t="s">
        <v>2639</v>
      </c>
      <c r="C45" s="3102" t="s">
        <v>2488</v>
      </c>
      <c r="D45" s="3103"/>
      <c r="E45" s="3104">
        <v>1</v>
      </c>
      <c r="F45" s="3101" t="s">
        <v>2489</v>
      </c>
      <c r="G45" s="3101"/>
    </row>
    <row r="46" spans="1:7" ht="19.5" customHeight="1">
      <c r="A46" s="3906"/>
      <c r="B46" s="3899"/>
      <c r="C46" s="3102" t="s">
        <v>2490</v>
      </c>
      <c r="D46" s="3103"/>
      <c r="E46" s="3104">
        <v>1</v>
      </c>
      <c r="F46" s="3101" t="s">
        <v>2491</v>
      </c>
      <c r="G46" s="3101"/>
    </row>
    <row r="47" spans="1:7" ht="19.5" customHeight="1">
      <c r="A47" s="3906"/>
      <c r="B47" s="3899"/>
      <c r="C47" s="3102" t="s">
        <v>2492</v>
      </c>
      <c r="D47" s="3103"/>
      <c r="E47" s="3104">
        <v>1</v>
      </c>
      <c r="F47" s="3101" t="s">
        <v>2493</v>
      </c>
      <c r="G47" s="3101"/>
    </row>
    <row r="48" spans="1:7" ht="19.5" customHeight="1">
      <c r="A48" s="3906"/>
      <c r="B48" s="3899"/>
      <c r="C48" s="3102" t="s">
        <v>2494</v>
      </c>
      <c r="D48" s="3103"/>
      <c r="E48" s="3104">
        <v>1</v>
      </c>
      <c r="F48" s="3101" t="s">
        <v>2495</v>
      </c>
      <c r="G48" s="3101"/>
    </row>
    <row r="49" spans="1:7" ht="19.5" customHeight="1">
      <c r="A49" s="3906"/>
      <c r="B49" s="3899"/>
      <c r="C49" s="3102" t="s">
        <v>2496</v>
      </c>
      <c r="D49" s="3103"/>
      <c r="E49" s="3104">
        <v>1</v>
      </c>
      <c r="F49" s="3101" t="s">
        <v>2497</v>
      </c>
      <c r="G49" s="3101"/>
    </row>
    <row r="50" spans="1:7" ht="19.5" customHeight="1">
      <c r="A50" s="3906"/>
      <c r="B50" s="3899"/>
      <c r="C50" s="3102" t="s">
        <v>2498</v>
      </c>
      <c r="D50" s="3103"/>
      <c r="E50" s="3104">
        <v>1</v>
      </c>
      <c r="F50" s="3101" t="s">
        <v>2499</v>
      </c>
      <c r="G50" s="3101"/>
    </row>
    <row r="51" spans="1:7" ht="19.5" customHeight="1" thickBot="1">
      <c r="A51" s="3907"/>
      <c r="B51" s="3901"/>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897" t="s">
        <v>2653</v>
      </c>
      <c r="C73" s="3087" t="s">
        <v>2654</v>
      </c>
      <c r="D73" s="3087" t="s">
        <v>2655</v>
      </c>
      <c r="E73" s="3113">
        <v>0.2</v>
      </c>
      <c r="F73" s="3113">
        <v>25</v>
      </c>
    </row>
    <row r="74" spans="1:7" ht="24">
      <c r="A74" s="3113">
        <v>2</v>
      </c>
      <c r="B74" s="3899"/>
      <c r="C74" s="3087" t="s">
        <v>2656</v>
      </c>
      <c r="D74" s="3087" t="s">
        <v>2657</v>
      </c>
      <c r="E74" s="3113">
        <v>0.2</v>
      </c>
      <c r="F74" s="3113">
        <v>25</v>
      </c>
    </row>
    <row r="75" spans="1:7" ht="24">
      <c r="A75" s="3113">
        <v>3</v>
      </c>
      <c r="B75" s="3899"/>
      <c r="C75" s="3087" t="s">
        <v>2658</v>
      </c>
      <c r="D75" s="3087" t="s">
        <v>2659</v>
      </c>
      <c r="E75" s="3113">
        <v>0.2</v>
      </c>
      <c r="F75" s="3113">
        <v>25</v>
      </c>
    </row>
    <row r="76" spans="1:7" ht="13.5">
      <c r="A76" s="3113">
        <v>4</v>
      </c>
      <c r="B76" s="3899"/>
      <c r="C76" s="3087" t="s">
        <v>2660</v>
      </c>
      <c r="D76" s="3087" t="s">
        <v>2661</v>
      </c>
      <c r="E76" s="3113">
        <v>0.15</v>
      </c>
      <c r="F76" s="3113">
        <v>20</v>
      </c>
    </row>
    <row r="77" spans="1:7" ht="24">
      <c r="A77" s="3113">
        <v>5</v>
      </c>
      <c r="B77" s="3899"/>
      <c r="C77" s="3087" t="s">
        <v>2662</v>
      </c>
      <c r="D77" s="3087" t="s">
        <v>2663</v>
      </c>
      <c r="E77" s="3113">
        <v>0.15</v>
      </c>
      <c r="F77" s="3113">
        <v>20</v>
      </c>
    </row>
    <row r="78" spans="1:7" ht="24">
      <c r="A78" s="3113">
        <v>6</v>
      </c>
      <c r="B78" s="3899"/>
      <c r="C78" s="3087" t="s">
        <v>2664</v>
      </c>
      <c r="D78" s="3087" t="s">
        <v>2665</v>
      </c>
      <c r="E78" s="3113">
        <v>0.15</v>
      </c>
      <c r="F78" s="3113">
        <v>20</v>
      </c>
    </row>
    <row r="79" spans="1:7" ht="24">
      <c r="A79" s="3113">
        <v>7</v>
      </c>
      <c r="B79" s="3899"/>
      <c r="C79" s="3087" t="s">
        <v>2666</v>
      </c>
      <c r="D79" s="3087" t="s">
        <v>2667</v>
      </c>
      <c r="E79" s="3113">
        <v>0.15</v>
      </c>
      <c r="F79" s="3113">
        <v>20</v>
      </c>
    </row>
    <row r="80" spans="1:7" ht="24">
      <c r="A80" s="3113">
        <v>8</v>
      </c>
      <c r="B80" s="3899"/>
      <c r="C80" s="3087" t="s">
        <v>2668</v>
      </c>
      <c r="D80" s="3087" t="s">
        <v>2669</v>
      </c>
      <c r="E80" s="3113">
        <v>0.1</v>
      </c>
      <c r="F80" s="3113">
        <v>15</v>
      </c>
    </row>
    <row r="81" spans="1:6" ht="24">
      <c r="A81" s="3113">
        <v>9</v>
      </c>
      <c r="B81" s="3899"/>
      <c r="C81" s="3087" t="s">
        <v>2670</v>
      </c>
      <c r="D81" s="3087" t="s">
        <v>2671</v>
      </c>
      <c r="E81" s="3113">
        <v>0.1</v>
      </c>
      <c r="F81" s="3113">
        <v>15</v>
      </c>
    </row>
    <row r="82" spans="1:6" ht="24">
      <c r="A82" s="3113">
        <v>10</v>
      </c>
      <c r="B82" s="3899"/>
      <c r="C82" s="3087" t="s">
        <v>2672</v>
      </c>
      <c r="D82" s="3087" t="s">
        <v>2673</v>
      </c>
      <c r="E82" s="3113">
        <v>0.1</v>
      </c>
      <c r="F82" s="3113">
        <v>15</v>
      </c>
    </row>
    <row r="83" spans="1:6" ht="24">
      <c r="A83" s="3113">
        <v>11</v>
      </c>
      <c r="B83" s="3899"/>
      <c r="C83" s="3087" t="s">
        <v>2674</v>
      </c>
      <c r="D83" s="3087" t="s">
        <v>2675</v>
      </c>
      <c r="E83" s="3113">
        <v>0.1</v>
      </c>
      <c r="F83" s="3113">
        <v>15</v>
      </c>
    </row>
    <row r="84" spans="1:6" ht="24">
      <c r="A84" s="3113">
        <v>12</v>
      </c>
      <c r="B84" s="3899"/>
      <c r="C84" s="3087" t="s">
        <v>2676</v>
      </c>
      <c r="D84" s="3087" t="s">
        <v>2677</v>
      </c>
      <c r="E84" s="3113">
        <v>0.1</v>
      </c>
      <c r="F84" s="3113">
        <v>15</v>
      </c>
    </row>
    <row r="85" spans="1:6" ht="13.5">
      <c r="A85" s="3113">
        <v>13</v>
      </c>
      <c r="B85" s="3899"/>
      <c r="C85" s="3087" t="s">
        <v>2678</v>
      </c>
      <c r="D85" s="3087" t="s">
        <v>2679</v>
      </c>
      <c r="E85" s="3113">
        <v>0.1</v>
      </c>
      <c r="F85" s="3113">
        <v>15</v>
      </c>
    </row>
    <row r="86" spans="1:6" ht="13.5">
      <c r="A86" s="3113">
        <v>14</v>
      </c>
      <c r="B86" s="3899"/>
      <c r="C86" s="3087" t="s">
        <v>2680</v>
      </c>
      <c r="D86" s="3087" t="s">
        <v>2681</v>
      </c>
      <c r="E86" s="3113">
        <v>0.1</v>
      </c>
      <c r="F86" s="3113">
        <v>15</v>
      </c>
    </row>
    <row r="87" spans="1:6" ht="13.5">
      <c r="A87" s="3113">
        <v>15</v>
      </c>
      <c r="B87" s="3899"/>
      <c r="C87" s="3087" t="s">
        <v>2682</v>
      </c>
      <c r="D87" s="3087" t="s">
        <v>2683</v>
      </c>
      <c r="E87" s="3113">
        <v>0.1</v>
      </c>
      <c r="F87" s="3113">
        <v>15</v>
      </c>
    </row>
    <row r="88" spans="1:6" ht="24">
      <c r="A88" s="3113">
        <v>16</v>
      </c>
      <c r="B88" s="3899"/>
      <c r="C88" s="3087" t="s">
        <v>2684</v>
      </c>
      <c r="D88" s="3087" t="s">
        <v>2685</v>
      </c>
      <c r="E88" s="3113">
        <v>0.1</v>
      </c>
      <c r="F88" s="3113">
        <v>15</v>
      </c>
    </row>
    <row r="89" spans="1:6" ht="24">
      <c r="A89" s="3113">
        <v>17</v>
      </c>
      <c r="B89" s="3898"/>
      <c r="C89" s="3087" t="s">
        <v>2686</v>
      </c>
      <c r="D89" s="3087" t="s">
        <v>2687</v>
      </c>
      <c r="E89" s="3113">
        <v>0.1</v>
      </c>
      <c r="F89" s="3113">
        <v>15</v>
      </c>
    </row>
    <row r="90" spans="1:6" ht="13.5">
      <c r="A90" s="3113">
        <v>18</v>
      </c>
      <c r="B90" s="3897" t="s">
        <v>2688</v>
      </c>
      <c r="C90" s="3087" t="s">
        <v>2689</v>
      </c>
      <c r="D90" s="3087" t="s">
        <v>2690</v>
      </c>
      <c r="E90" s="3113">
        <v>0.2</v>
      </c>
      <c r="F90" s="3113">
        <v>25</v>
      </c>
    </row>
    <row r="91" spans="1:6" ht="24">
      <c r="A91" s="3113">
        <v>19</v>
      </c>
      <c r="B91" s="3899"/>
      <c r="C91" s="3087" t="s">
        <v>2691</v>
      </c>
      <c r="D91" s="3087" t="s">
        <v>2692</v>
      </c>
      <c r="E91" s="3113">
        <v>0.2</v>
      </c>
      <c r="F91" s="3113">
        <v>25</v>
      </c>
    </row>
    <row r="92" spans="1:6" ht="13.5">
      <c r="A92" s="3113">
        <v>20</v>
      </c>
      <c r="B92" s="3899"/>
      <c r="C92" s="3087" t="s">
        <v>2693</v>
      </c>
      <c r="D92" s="3087" t="s">
        <v>2694</v>
      </c>
      <c r="E92" s="3113">
        <v>0.15</v>
      </c>
      <c r="F92" s="3113">
        <v>20</v>
      </c>
    </row>
    <row r="93" spans="1:6" ht="13.5">
      <c r="A93" s="3113">
        <v>21</v>
      </c>
      <c r="B93" s="3899"/>
      <c r="C93" s="3087" t="s">
        <v>2695</v>
      </c>
      <c r="D93" s="3087" t="s">
        <v>2696</v>
      </c>
      <c r="E93" s="3113">
        <v>0.15</v>
      </c>
      <c r="F93" s="3113">
        <v>20</v>
      </c>
    </row>
    <row r="94" spans="1:6" ht="13.5">
      <c r="A94" s="3113">
        <v>22</v>
      </c>
      <c r="B94" s="3899"/>
      <c r="C94" s="3087" t="s">
        <v>2697</v>
      </c>
      <c r="D94" s="3087" t="s">
        <v>2698</v>
      </c>
      <c r="E94" s="3113">
        <v>0.15</v>
      </c>
      <c r="F94" s="3113">
        <v>20</v>
      </c>
    </row>
    <row r="95" spans="1:6" ht="36">
      <c r="A95" s="3113">
        <v>23</v>
      </c>
      <c r="B95" s="3899"/>
      <c r="C95" s="3087" t="s">
        <v>2699</v>
      </c>
      <c r="D95" s="3087" t="s">
        <v>2700</v>
      </c>
      <c r="E95" s="3113">
        <v>0.15</v>
      </c>
      <c r="F95" s="3113">
        <v>20</v>
      </c>
    </row>
    <row r="96" spans="1:6" ht="13.5">
      <c r="A96" s="3113">
        <v>24</v>
      </c>
      <c r="B96" s="3899"/>
      <c r="C96" s="3087" t="s">
        <v>2701</v>
      </c>
      <c r="D96" s="3087" t="s">
        <v>2702</v>
      </c>
      <c r="E96" s="3113">
        <v>0.1</v>
      </c>
      <c r="F96" s="3113">
        <v>15</v>
      </c>
    </row>
    <row r="97" spans="1:6" ht="13.5">
      <c r="A97" s="3113">
        <v>25</v>
      </c>
      <c r="B97" s="3899"/>
      <c r="C97" s="3087" t="s">
        <v>2703</v>
      </c>
      <c r="D97" s="3087" t="s">
        <v>2704</v>
      </c>
      <c r="E97" s="3113">
        <v>0.1</v>
      </c>
      <c r="F97" s="3113">
        <v>15</v>
      </c>
    </row>
    <row r="98" spans="1:6" ht="24">
      <c r="A98" s="3113">
        <v>26</v>
      </c>
      <c r="B98" s="3899"/>
      <c r="C98" s="3087" t="s">
        <v>2705</v>
      </c>
      <c r="D98" s="3087" t="s">
        <v>2706</v>
      </c>
      <c r="E98" s="3113">
        <v>0.1</v>
      </c>
      <c r="F98" s="3113">
        <v>15</v>
      </c>
    </row>
    <row r="99" spans="1:6" ht="24">
      <c r="A99" s="3113">
        <v>27</v>
      </c>
      <c r="B99" s="3899"/>
      <c r="C99" s="3087" t="s">
        <v>2707</v>
      </c>
      <c r="D99" s="3087" t="s">
        <v>2708</v>
      </c>
      <c r="E99" s="3113">
        <v>0.1</v>
      </c>
      <c r="F99" s="3113">
        <v>15</v>
      </c>
    </row>
    <row r="100" spans="1:6" ht="13.5">
      <c r="A100" s="3113">
        <v>28</v>
      </c>
      <c r="B100" s="3899"/>
      <c r="C100" s="3087" t="s">
        <v>2709</v>
      </c>
      <c r="D100" s="3087" t="s">
        <v>2710</v>
      </c>
      <c r="E100" s="3113">
        <v>0.1</v>
      </c>
      <c r="F100" s="3113">
        <v>15</v>
      </c>
    </row>
    <row r="101" spans="1:6" ht="13.5">
      <c r="A101" s="3113">
        <v>29</v>
      </c>
      <c r="B101" s="3899"/>
      <c r="C101" s="3087" t="s">
        <v>2711</v>
      </c>
      <c r="D101" s="3087" t="s">
        <v>2712</v>
      </c>
      <c r="E101" s="3113">
        <v>0.1</v>
      </c>
      <c r="F101" s="3113">
        <v>15</v>
      </c>
    </row>
    <row r="102" spans="1:6" ht="13.5">
      <c r="A102" s="3113">
        <v>30</v>
      </c>
      <c r="B102" s="3899"/>
      <c r="C102" s="3087" t="s">
        <v>2713</v>
      </c>
      <c r="D102" s="3087" t="s">
        <v>2714</v>
      </c>
      <c r="E102" s="3113">
        <v>0.1</v>
      </c>
      <c r="F102" s="3113">
        <v>15</v>
      </c>
    </row>
    <row r="103" spans="1:6" ht="24">
      <c r="A103" s="3113">
        <v>31</v>
      </c>
      <c r="B103" s="3899"/>
      <c r="C103" s="3087" t="s">
        <v>2715</v>
      </c>
      <c r="D103" s="3087" t="s">
        <v>2716</v>
      </c>
      <c r="E103" s="3113">
        <v>0.1</v>
      </c>
      <c r="F103" s="3113">
        <v>15</v>
      </c>
    </row>
    <row r="104" spans="1:6" ht="24">
      <c r="A104" s="3113">
        <v>32</v>
      </c>
      <c r="B104" s="3899"/>
      <c r="C104" s="3087" t="s">
        <v>2717</v>
      </c>
      <c r="D104" s="3087" t="s">
        <v>2718</v>
      </c>
      <c r="E104" s="3113">
        <v>0.1</v>
      </c>
      <c r="F104" s="3113">
        <v>15</v>
      </c>
    </row>
    <row r="105" spans="1:6" ht="24">
      <c r="A105" s="3113">
        <v>33</v>
      </c>
      <c r="B105" s="3899"/>
      <c r="C105" s="3087" t="s">
        <v>2719</v>
      </c>
      <c r="D105" s="3087" t="s">
        <v>2720</v>
      </c>
      <c r="E105" s="3113">
        <v>0.1</v>
      </c>
      <c r="F105" s="3113">
        <v>15</v>
      </c>
    </row>
    <row r="106" spans="1:6" ht="24">
      <c r="A106" s="3113">
        <v>34</v>
      </c>
      <c r="B106" s="3898"/>
      <c r="C106" s="3087" t="s">
        <v>2721</v>
      </c>
      <c r="D106" s="3087" t="s">
        <v>2722</v>
      </c>
      <c r="E106" s="3113">
        <v>0.1</v>
      </c>
      <c r="F106" s="3113">
        <v>15</v>
      </c>
    </row>
    <row r="107" spans="1:6" ht="24">
      <c r="A107" s="3113">
        <v>35</v>
      </c>
      <c r="B107" s="3897" t="s">
        <v>2723</v>
      </c>
      <c r="C107" s="3113" t="s">
        <v>2724</v>
      </c>
      <c r="D107" s="3087" t="s">
        <v>2725</v>
      </c>
      <c r="E107" s="3113">
        <v>0.15</v>
      </c>
      <c r="F107" s="3113">
        <v>20</v>
      </c>
    </row>
    <row r="108" spans="1:6" ht="13.5">
      <c r="A108" s="3113">
        <v>36</v>
      </c>
      <c r="B108" s="3899"/>
      <c r="C108" s="3113" t="s">
        <v>2726</v>
      </c>
      <c r="D108" s="3087" t="s">
        <v>2727</v>
      </c>
      <c r="E108" s="3113">
        <v>0.15</v>
      </c>
      <c r="F108" s="3113">
        <v>20</v>
      </c>
    </row>
    <row r="109" spans="1:6" ht="13.5">
      <c r="A109" s="3113">
        <v>37</v>
      </c>
      <c r="B109" s="3899"/>
      <c r="C109" s="3113" t="s">
        <v>2728</v>
      </c>
      <c r="D109" s="3087" t="s">
        <v>2729</v>
      </c>
      <c r="E109" s="3113">
        <v>0.15</v>
      </c>
      <c r="F109" s="3113">
        <v>20</v>
      </c>
    </row>
    <row r="110" spans="1:6" ht="13.5">
      <c r="A110" s="3113">
        <v>38</v>
      </c>
      <c r="B110" s="3899"/>
      <c r="C110" s="3113" t="s">
        <v>2730</v>
      </c>
      <c r="D110" s="3087" t="s">
        <v>2731</v>
      </c>
      <c r="E110" s="3113">
        <v>0.1</v>
      </c>
      <c r="F110" s="3113">
        <v>15</v>
      </c>
    </row>
    <row r="111" spans="1:6" ht="24">
      <c r="A111" s="3113">
        <v>39</v>
      </c>
      <c r="B111" s="3899"/>
      <c r="C111" s="3113" t="s">
        <v>2732</v>
      </c>
      <c r="D111" s="3087" t="s">
        <v>2733</v>
      </c>
      <c r="E111" s="3113">
        <v>0.1</v>
      </c>
      <c r="F111" s="3113">
        <v>15</v>
      </c>
    </row>
    <row r="112" spans="1:6" ht="24">
      <c r="A112" s="3113">
        <v>40</v>
      </c>
      <c r="B112" s="3898"/>
      <c r="C112" s="3113" t="s">
        <v>2734</v>
      </c>
      <c r="D112" s="3087" t="s">
        <v>2735</v>
      </c>
      <c r="E112" s="3113">
        <v>0.1</v>
      </c>
      <c r="F112" s="3113">
        <v>15</v>
      </c>
    </row>
    <row r="113" spans="1:6" ht="13.5">
      <c r="A113" s="3113">
        <v>41</v>
      </c>
      <c r="B113" s="3896" t="s">
        <v>2736</v>
      </c>
      <c r="C113" s="3113" t="s">
        <v>2737</v>
      </c>
      <c r="D113" s="3087" t="s">
        <v>2738</v>
      </c>
      <c r="E113" s="3113">
        <v>0.1</v>
      </c>
      <c r="F113" s="3113">
        <v>15</v>
      </c>
    </row>
    <row r="114" spans="1:6" ht="13.5">
      <c r="A114" s="3113">
        <v>42</v>
      </c>
      <c r="B114" s="3896"/>
      <c r="C114" s="3113" t="s">
        <v>2739</v>
      </c>
      <c r="D114" s="3087" t="s">
        <v>2740</v>
      </c>
      <c r="E114" s="3113">
        <v>0.1</v>
      </c>
      <c r="F114" s="3113">
        <v>15</v>
      </c>
    </row>
    <row r="115" spans="1:6" ht="24">
      <c r="A115" s="3113">
        <v>43</v>
      </c>
      <c r="B115" s="3896"/>
      <c r="C115" s="3113" t="s">
        <v>2741</v>
      </c>
      <c r="D115" s="3087" t="s">
        <v>2742</v>
      </c>
      <c r="E115" s="3113">
        <v>0.1</v>
      </c>
      <c r="F115" s="3113">
        <v>15</v>
      </c>
    </row>
    <row r="116" spans="1:6" ht="13.5">
      <c r="A116" s="3113">
        <v>44</v>
      </c>
      <c r="B116" s="3897" t="s">
        <v>2743</v>
      </c>
      <c r="C116" s="3113" t="s">
        <v>2744</v>
      </c>
      <c r="D116" s="3087" t="s">
        <v>2745</v>
      </c>
      <c r="E116" s="3113">
        <v>0.1</v>
      </c>
      <c r="F116" s="3113">
        <v>15</v>
      </c>
    </row>
    <row r="117" spans="1:6" ht="24">
      <c r="A117" s="3113">
        <v>45</v>
      </c>
      <c r="B117" s="3898"/>
      <c r="C117" s="3087" t="s">
        <v>2746</v>
      </c>
      <c r="D117" s="3087" t="s">
        <v>2747</v>
      </c>
      <c r="E117" s="3113">
        <v>0.1</v>
      </c>
      <c r="F117" s="3113">
        <v>15</v>
      </c>
    </row>
    <row r="118" spans="1:6" ht="24">
      <c r="A118" s="3113">
        <v>46</v>
      </c>
      <c r="B118" s="3897" t="s">
        <v>2748</v>
      </c>
      <c r="C118" s="3113" t="s">
        <v>2749</v>
      </c>
      <c r="D118" s="3087" t="s">
        <v>2750</v>
      </c>
      <c r="E118" s="3113">
        <v>0.1</v>
      </c>
      <c r="F118" s="3113">
        <v>15</v>
      </c>
    </row>
    <row r="119" spans="1:6" ht="24">
      <c r="A119" s="3113">
        <v>47</v>
      </c>
      <c r="B119" s="3898"/>
      <c r="C119" s="3113" t="s">
        <v>2751</v>
      </c>
      <c r="D119" s="3087" t="s">
        <v>2752</v>
      </c>
      <c r="E119" s="3113">
        <v>0.1</v>
      </c>
      <c r="F119" s="3113">
        <v>15</v>
      </c>
    </row>
    <row r="120" spans="1:6" ht="13.5">
      <c r="A120" s="3113">
        <v>48</v>
      </c>
      <c r="B120" s="3897" t="s">
        <v>2753</v>
      </c>
      <c r="C120" s="3113" t="s">
        <v>2754</v>
      </c>
      <c r="D120" s="3087" t="s">
        <v>2755</v>
      </c>
      <c r="E120" s="3113">
        <v>0.1</v>
      </c>
      <c r="F120" s="3113">
        <v>15</v>
      </c>
    </row>
    <row r="121" spans="1:6" ht="13.5">
      <c r="A121" s="3113">
        <v>49</v>
      </c>
      <c r="B121" s="3898"/>
      <c r="C121" s="3113" t="s">
        <v>2756</v>
      </c>
      <c r="D121" s="3087" t="s">
        <v>2757</v>
      </c>
      <c r="E121" s="3113">
        <v>0.1</v>
      </c>
      <c r="F121" s="3113">
        <v>15</v>
      </c>
    </row>
    <row r="122" spans="1:6" ht="24">
      <c r="A122" s="3113">
        <v>50</v>
      </c>
      <c r="B122" s="3896" t="s">
        <v>2758</v>
      </c>
      <c r="C122" s="3113" t="s">
        <v>2759</v>
      </c>
      <c r="D122" s="3087" t="s">
        <v>2760</v>
      </c>
      <c r="E122" s="3113">
        <v>0.1</v>
      </c>
      <c r="F122" s="3113">
        <v>15</v>
      </c>
    </row>
    <row r="123" spans="1:6" ht="24">
      <c r="A123" s="3113">
        <v>51</v>
      </c>
      <c r="B123" s="3896"/>
      <c r="C123" s="3113" t="s">
        <v>2761</v>
      </c>
      <c r="D123" s="3087" t="s">
        <v>2762</v>
      </c>
      <c r="E123" s="3113">
        <v>0.1</v>
      </c>
      <c r="F123" s="3113">
        <v>15</v>
      </c>
    </row>
    <row r="124" spans="1:6" ht="24">
      <c r="A124" s="3113">
        <v>52</v>
      </c>
      <c r="B124" s="3896" t="s">
        <v>2763</v>
      </c>
      <c r="C124" s="3113" t="s">
        <v>2764</v>
      </c>
      <c r="D124" s="3087" t="s">
        <v>2765</v>
      </c>
      <c r="E124" s="3113">
        <v>0.1</v>
      </c>
      <c r="F124" s="3113">
        <v>15</v>
      </c>
    </row>
    <row r="125" spans="1:6" ht="24">
      <c r="A125" s="3113">
        <v>53</v>
      </c>
      <c r="B125" s="3896"/>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896" t="s">
        <v>2771</v>
      </c>
      <c r="C127" s="3113" t="s">
        <v>2772</v>
      </c>
      <c r="D127" s="3087" t="s">
        <v>2773</v>
      </c>
      <c r="E127" s="3113">
        <v>0.1</v>
      </c>
      <c r="F127" s="3113">
        <v>15</v>
      </c>
    </row>
    <row r="128" spans="1:6" ht="13.5">
      <c r="A128" s="3113">
        <v>56</v>
      </c>
      <c r="B128" s="3896"/>
      <c r="C128" s="3113" t="s">
        <v>2774</v>
      </c>
      <c r="D128" s="3087" t="s">
        <v>2775</v>
      </c>
      <c r="E128" s="3113">
        <v>0.1</v>
      </c>
      <c r="F128" s="3113">
        <v>15</v>
      </c>
    </row>
    <row r="129" spans="1:6" ht="24">
      <c r="A129" s="3113">
        <v>57</v>
      </c>
      <c r="B129" s="3896"/>
      <c r="C129" s="3113" t="s">
        <v>2776</v>
      </c>
      <c r="D129" s="3087" t="s">
        <v>2777</v>
      </c>
      <c r="E129" s="3113">
        <v>0.1</v>
      </c>
      <c r="F129" s="3113">
        <v>15</v>
      </c>
    </row>
    <row r="130" spans="1:6" ht="24">
      <c r="A130" s="3113">
        <v>58</v>
      </c>
      <c r="B130" s="3896" t="s">
        <v>2778</v>
      </c>
      <c r="C130" s="3113" t="s">
        <v>2779</v>
      </c>
      <c r="D130" s="3087" t="s">
        <v>2780</v>
      </c>
      <c r="E130" s="3113">
        <v>0.1</v>
      </c>
      <c r="F130" s="3113">
        <v>15</v>
      </c>
    </row>
    <row r="131" spans="1:6" ht="13.5">
      <c r="A131" s="3113">
        <v>59</v>
      </c>
      <c r="B131" s="3896"/>
      <c r="C131" s="3113" t="s">
        <v>2781</v>
      </c>
      <c r="D131" s="3087" t="s">
        <v>2782</v>
      </c>
      <c r="E131" s="3113">
        <v>0.1</v>
      </c>
      <c r="F131" s="3113">
        <v>15</v>
      </c>
    </row>
    <row r="132" spans="1:6" ht="13.5">
      <c r="A132" s="3113">
        <v>60</v>
      </c>
      <c r="B132" s="3897" t="s">
        <v>2783</v>
      </c>
      <c r="C132" s="3113" t="s">
        <v>2784</v>
      </c>
      <c r="D132" s="3087" t="s">
        <v>2785</v>
      </c>
      <c r="E132" s="3113">
        <v>0.1</v>
      </c>
      <c r="F132" s="3113">
        <v>15</v>
      </c>
    </row>
    <row r="133" spans="1:6" ht="13.5">
      <c r="A133" s="3113">
        <v>61</v>
      </c>
      <c r="B133" s="3898"/>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896" t="s">
        <v>2791</v>
      </c>
      <c r="C135" s="3113" t="s">
        <v>2792</v>
      </c>
      <c r="D135" s="3087" t="s">
        <v>2793</v>
      </c>
      <c r="E135" s="3113">
        <v>0.1</v>
      </c>
      <c r="F135" s="3113">
        <v>15</v>
      </c>
    </row>
    <row r="136" spans="1:6" ht="13.5">
      <c r="A136" s="3113">
        <v>64</v>
      </c>
      <c r="B136" s="3896"/>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0</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1"/>
      <c r="C2" s="3571"/>
      <c r="D2" s="3571"/>
      <c r="E2" s="3571"/>
    </row>
    <row r="3" spans="1:5" ht="18">
      <c r="A3" s="3572" t="str">
        <f>IF(项目基本情况!B9="房地产市场价值","估价结果一览表（市场价值不需“结果表-1”）","估价结果一览表")</f>
        <v>估价结果一览表</v>
      </c>
      <c r="B3" s="3572"/>
      <c r="C3" s="3572"/>
      <c r="D3" s="3572"/>
      <c r="E3" s="3572"/>
    </row>
    <row r="4" spans="1:5" ht="19.5" thickBot="1">
      <c r="A4" s="1491"/>
      <c r="B4" s="3570" t="s">
        <v>917</v>
      </c>
      <c r="C4" s="3570"/>
      <c r="D4" s="3570"/>
      <c r="E4" s="1491"/>
    </row>
    <row r="5" spans="1:5" ht="16.5" thickTop="1">
      <c r="A5" s="1489"/>
      <c r="B5" s="3568" t="s">
        <v>909</v>
      </c>
      <c r="C5" s="1492" t="s">
        <v>910</v>
      </c>
      <c r="D5" s="850" t="e">
        <f ca="1">结果表!H101</f>
        <v>#REF!</v>
      </c>
      <c r="E5" s="1489"/>
    </row>
    <row r="6" spans="1:5" ht="15.75">
      <c r="A6" s="1489"/>
      <c r="B6" s="3568"/>
      <c r="C6" s="1492" t="s">
        <v>911</v>
      </c>
      <c r="D6" s="850" t="e">
        <f ca="1">NUMBERSTRING(INT(D5*10000),2)&amp;"元整"</f>
        <v>#REF!</v>
      </c>
      <c r="E6" s="1489"/>
    </row>
    <row r="7" spans="1:5" ht="15.75">
      <c r="A7" s="1489"/>
      <c r="B7" s="3573"/>
      <c r="C7" s="1493" t="s">
        <v>912</v>
      </c>
      <c r="D7" s="851" t="e">
        <f ca="1">结果表!H102</f>
        <v>#REF!</v>
      </c>
      <c r="E7" s="1489"/>
    </row>
    <row r="8" spans="1:5" ht="15.75">
      <c r="A8" s="1489"/>
      <c r="B8" s="3574" t="str">
        <f>结果表!E103</f>
        <v>2.估价师知悉的法定优先受偿款</v>
      </c>
      <c r="C8" s="1494" t="s">
        <v>913</v>
      </c>
      <c r="D8" s="851">
        <f>结果表!H103</f>
        <v>0</v>
      </c>
      <c r="E8" s="1489"/>
    </row>
    <row r="9" spans="1:5" ht="15.75">
      <c r="A9" s="1489"/>
      <c r="B9" s="3576"/>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567" t="str">
        <f>结果表!E107</f>
        <v>3.房地产抵押价值</v>
      </c>
      <c r="C13" s="1497" t="s">
        <v>910</v>
      </c>
      <c r="D13" s="853" t="e">
        <f ca="1">结果表!H107</f>
        <v>#REF!</v>
      </c>
      <c r="E13" s="1489"/>
    </row>
    <row r="14" spans="1:5" ht="15.75">
      <c r="A14" s="1489"/>
      <c r="B14" s="3568"/>
      <c r="C14" s="1492" t="s">
        <v>911</v>
      </c>
      <c r="D14" s="850" t="e">
        <f ca="1">NUMBERSTRING(INT(D13*10000),2)&amp;"元整"</f>
        <v>#REF!</v>
      </c>
      <c r="E14" s="1489"/>
    </row>
    <row r="15" spans="1:5" ht="15">
      <c r="A15" s="1489"/>
      <c r="B15" s="3573"/>
      <c r="C15" s="1493" t="s">
        <v>921</v>
      </c>
      <c r="D15" s="859" t="e">
        <f ca="1">结果表!H108</f>
        <v>#REF!</v>
      </c>
      <c r="E15" s="1489"/>
    </row>
    <row r="16" spans="1:5" ht="15">
      <c r="A16" s="1489"/>
      <c r="B16" s="3574" t="str">
        <f>结果表!E109</f>
        <v>——</v>
      </c>
      <c r="C16" s="1497" t="s">
        <v>922</v>
      </c>
      <c r="D16" s="1498" t="str">
        <f>结果表!H109</f>
        <v>——</v>
      </c>
      <c r="E16" s="1489"/>
    </row>
    <row r="17" spans="1:5" ht="15.75">
      <c r="A17" s="1489"/>
      <c r="B17" s="3575"/>
      <c r="C17" s="1492" t="s">
        <v>923</v>
      </c>
      <c r="D17" s="850" t="e">
        <f>NUMBERSTRING(INT(D16*10000),2)&amp;"元整"</f>
        <v>#VALUE!</v>
      </c>
      <c r="E17" s="1489"/>
    </row>
    <row r="18" spans="1:5" ht="15">
      <c r="A18" s="1489"/>
      <c r="B18" s="3576"/>
      <c r="C18" s="1493" t="s">
        <v>912</v>
      </c>
      <c r="D18" s="859" t="str">
        <f>结果表!H110</f>
        <v>——</v>
      </c>
      <c r="E18" s="1489"/>
    </row>
    <row r="19" spans="1:5" ht="15.75">
      <c r="A19" s="1489"/>
      <c r="B19" s="3567" t="str">
        <f>结果表!E111</f>
        <v>——</v>
      </c>
      <c r="C19" s="1497" t="s">
        <v>910</v>
      </c>
      <c r="D19" s="851" t="str">
        <f>结果表!H111</f>
        <v>——</v>
      </c>
      <c r="E19" s="1489"/>
    </row>
    <row r="20" spans="1:5" ht="15.75">
      <c r="A20" s="1489"/>
      <c r="B20" s="3568"/>
      <c r="C20" s="1492" t="s">
        <v>923</v>
      </c>
      <c r="D20" s="850" t="e">
        <f>NUMBERSTRING(INT(D19*10000),2)&amp;"元整"</f>
        <v>#VALUE!</v>
      </c>
      <c r="E20" s="1489"/>
    </row>
    <row r="21" spans="1:5" ht="15.75" thickBot="1">
      <c r="A21" s="1489"/>
      <c r="B21" s="3569"/>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25740</v>
      </c>
      <c r="C2" s="2" t="s">
        <v>106</v>
      </c>
      <c r="D2" s="199"/>
      <c r="E2" s="199"/>
      <c r="F2" s="199"/>
      <c r="G2" s="199"/>
    </row>
    <row r="3" spans="1:7" s="200" customFormat="1" ht="18" customHeight="1" thickBot="1">
      <c r="A3" s="203" t="s">
        <v>58</v>
      </c>
      <c r="B3" s="204">
        <f ca="1">ROUND(B2*10000/'数据-汇总表'!E3,0)</f>
        <v>1460426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86.91</v>
      </c>
      <c r="E9" s="225">
        <f>'数据-取费表'!B27</f>
        <v>150</v>
      </c>
      <c r="F9" s="221"/>
      <c r="G9" s="226"/>
    </row>
    <row r="10" spans="1:7" s="214" customFormat="1" ht="13.5" customHeight="1">
      <c r="A10" s="779" t="s">
        <v>356</v>
      </c>
      <c r="B10" s="224" t="s">
        <v>67</v>
      </c>
      <c r="C10" s="225">
        <f>ROUND(D10*E10/10000,0)</f>
        <v>2</v>
      </c>
      <c r="D10" s="845">
        <f>'数据-汇总表'!E6</f>
        <v>89.34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176.25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1504</v>
      </c>
      <c r="D22" s="235">
        <f ca="1">C26</f>
        <v>6.9999999999999999E-4</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2523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2523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25645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4</v>
      </c>
      <c r="D37" s="217">
        <f>'数据-汇总表'!E3</f>
        <v>176.25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824" t="s">
        <v>94</v>
      </c>
    </row>
    <row r="43" spans="1:7" ht="13.5" customHeight="1">
      <c r="A43" s="780" t="s">
        <v>347</v>
      </c>
      <c r="B43" s="215" t="s">
        <v>426</v>
      </c>
      <c r="C43" s="238">
        <f ca="1">ROUND(IF('数据-取费表'!B22&lt;=1,C39*F22*'数据-取费表'!B21/2,C39*(POWER((1+F22),'数据-取费表'!B21/2)-1)),0)</f>
        <v>0</v>
      </c>
      <c r="D43" s="238"/>
      <c r="E43" s="238"/>
      <c r="F43" s="239"/>
      <c r="G43" s="3825"/>
    </row>
    <row r="44" spans="1:7" ht="13.5" customHeight="1">
      <c r="A44" s="780" t="s">
        <v>348</v>
      </c>
      <c r="B44" s="215" t="s">
        <v>428</v>
      </c>
      <c r="C44" s="238">
        <f ca="1">ROUND(IF('数据-取费表'!B22&lt;=1,C40*F22*'数据-取费表'!B21/2,C40*(POWER((1+F22),'数据-取费表'!B21/2)-1)),4)</f>
        <v>6.9999999999999999E-4</v>
      </c>
      <c r="D44" s="238"/>
      <c r="E44" s="238"/>
      <c r="F44" s="239"/>
      <c r="G44" s="3826"/>
    </row>
    <row r="45" spans="1:7" s="214" customFormat="1" ht="13.5" customHeight="1">
      <c r="A45" s="777" t="s">
        <v>341</v>
      </c>
      <c r="B45" s="244" t="s">
        <v>85</v>
      </c>
      <c r="C45" s="245">
        <f>C46</f>
        <v>10</v>
      </c>
      <c r="D45" s="235">
        <f>C47</f>
        <v>2.3999999999999998E-3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95</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95</v>
      </c>
      <c r="D51" s="232"/>
      <c r="E51" s="232"/>
      <c r="F51" s="264"/>
      <c r="G51" s="234" t="s">
        <v>37</v>
      </c>
    </row>
    <row r="52" spans="1:7" s="208" customFormat="1" ht="16.5" thickBot="1">
      <c r="A52" s="265" t="s">
        <v>38</v>
      </c>
      <c r="B52" s="266"/>
      <c r="C52" s="267">
        <f ca="1">C31+C51</f>
        <v>25740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10" t="s">
        <v>2843</v>
      </c>
      <c r="B1" s="3910"/>
      <c r="C1" s="3910"/>
      <c r="D1" s="3910"/>
      <c r="E1" s="3910"/>
      <c r="F1" s="3910"/>
      <c r="G1" s="3911"/>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908" t="s">
        <v>2870</v>
      </c>
      <c r="B3" s="3225"/>
      <c r="C3" s="3226" t="s">
        <v>2813</v>
      </c>
      <c r="D3" s="3226" t="s">
        <v>2871</v>
      </c>
      <c r="E3" s="3226" t="s">
        <v>2815</v>
      </c>
      <c r="F3" s="3226" t="s">
        <v>2872</v>
      </c>
      <c r="G3" s="3226" t="s">
        <v>2633</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909"/>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12" t="s">
        <v>3185</v>
      </c>
      <c r="B1" s="3912"/>
    </row>
    <row r="2" spans="1:7" ht="14.25" thickBot="1">
      <c r="A2" s="3250"/>
      <c r="B2" s="3250"/>
    </row>
    <row r="3" spans="1:7" ht="14.25" thickBot="1">
      <c r="A3" s="3250"/>
      <c r="B3" s="3250"/>
      <c r="C3" s="3251" t="s">
        <v>2813</v>
      </c>
      <c r="D3" s="3251" t="s">
        <v>2871</v>
      </c>
      <c r="E3" s="3251" t="s">
        <v>2815</v>
      </c>
      <c r="F3" s="3251" t="s">
        <v>2872</v>
      </c>
      <c r="G3" s="3251" t="s">
        <v>2633</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ht="15">
      <c r="A1" s="3913" t="s">
        <v>3236</v>
      </c>
      <c r="B1" s="3913"/>
      <c r="C1" s="3913"/>
      <c r="D1" s="3913"/>
      <c r="E1" s="3913"/>
      <c r="F1" s="3914"/>
    </row>
    <row r="2" spans="1:6" ht="15">
      <c r="A2" s="3286" t="s">
        <v>3237</v>
      </c>
      <c r="B2" s="3287"/>
      <c r="C2" s="3287"/>
      <c r="D2" s="3287"/>
      <c r="E2" s="3287"/>
      <c r="F2" s="3287"/>
    </row>
    <row r="3" spans="1:6" ht="15">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16">
        <f>基准地价修正!G23</f>
        <v>45126</v>
      </c>
      <c r="B1" s="3205" t="s">
        <v>2842</v>
      </c>
      <c r="C1" s="3206"/>
      <c r="D1" s="3206"/>
      <c r="E1" s="3206"/>
      <c r="F1" s="3206"/>
      <c r="G1" s="3206"/>
      <c r="H1" s="3206"/>
      <c r="I1" s="3206"/>
      <c r="J1" s="3160"/>
      <c r="K1" s="3206" t="s">
        <v>454</v>
      </c>
      <c r="L1" s="3206"/>
      <c r="M1" s="3206"/>
      <c r="N1" s="3206"/>
      <c r="O1" s="3206"/>
      <c r="P1" s="3206"/>
      <c r="Q1" s="3160"/>
      <c r="R1" s="3915" t="s">
        <v>456</v>
      </c>
      <c r="S1" s="3916"/>
      <c r="T1" s="3916"/>
      <c r="U1" s="3916"/>
      <c r="V1" s="3916"/>
      <c r="W1" s="3916"/>
      <c r="X1" s="3160"/>
      <c r="Y1" s="3915" t="s">
        <v>457</v>
      </c>
      <c r="Z1" s="3916"/>
      <c r="AA1" s="3916"/>
      <c r="AB1" s="3916"/>
      <c r="AC1" s="3916"/>
      <c r="AD1" s="3916"/>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3371</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3372</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3376</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3375</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3373</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2822</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2823</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2824</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2825</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2826</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3369</v>
      </c>
    </row>
    <row r="19" spans="1:30" s="3004" customFormat="1">
      <c r="I19" s="3203" t="s">
        <v>2827</v>
      </c>
    </row>
    <row r="20" spans="1:30" s="3004" customFormat="1"/>
    <row r="21" spans="1:30" s="3204" customFormat="1" ht="12.75">
      <c r="B21" s="3205" t="s">
        <v>2828</v>
      </c>
      <c r="C21" s="3206"/>
      <c r="D21" s="3206"/>
      <c r="E21" s="3206"/>
      <c r="F21" s="3206"/>
      <c r="G21" s="3206"/>
      <c r="H21" s="3206"/>
      <c r="I21" s="3206"/>
      <c r="J21" s="3160"/>
      <c r="K21" s="3206" t="s">
        <v>2829</v>
      </c>
      <c r="L21" s="3206"/>
      <c r="M21" s="3206"/>
      <c r="N21" s="3206"/>
      <c r="O21" s="3206"/>
      <c r="P21" s="3206"/>
      <c r="Q21" s="3160"/>
      <c r="R21" s="3915" t="s">
        <v>2830</v>
      </c>
      <c r="S21" s="3916"/>
      <c r="T21" s="3916"/>
      <c r="U21" s="3916"/>
      <c r="V21" s="3916"/>
      <c r="W21" s="3916"/>
      <c r="X21" s="3160"/>
      <c r="Y21" s="3915" t="s">
        <v>2831</v>
      </c>
      <c r="Z21" s="3916"/>
      <c r="AA21" s="3916"/>
      <c r="AB21" s="3916"/>
      <c r="AC21" s="3916"/>
      <c r="AD21" s="3916"/>
    </row>
    <row r="22" spans="1:30" s="3138" customFormat="1" ht="14.25" thickBot="1">
      <c r="B22" s="3139"/>
      <c r="C22" s="3140"/>
      <c r="D22" s="3141" t="s">
        <v>2832</v>
      </c>
      <c r="E22" s="3142" t="s">
        <v>2833</v>
      </c>
      <c r="F22" s="3142" t="s">
        <v>2834</v>
      </c>
      <c r="G22" s="3142" t="s">
        <v>2835</v>
      </c>
      <c r="H22" s="3142"/>
      <c r="I22" s="3142" t="s">
        <v>2836</v>
      </c>
      <c r="J22" s="3143"/>
      <c r="K22" s="3141" t="s">
        <v>2832</v>
      </c>
      <c r="L22" s="3142" t="s">
        <v>2833</v>
      </c>
      <c r="M22" s="3142" t="s">
        <v>2834</v>
      </c>
      <c r="N22" s="3142" t="s">
        <v>2835</v>
      </c>
      <c r="O22" s="3142"/>
      <c r="P22" s="3142" t="s">
        <v>2836</v>
      </c>
      <c r="Q22" s="3143"/>
      <c r="R22" s="3141" t="s">
        <v>2832</v>
      </c>
      <c r="S22" s="3142" t="s">
        <v>2833</v>
      </c>
      <c r="T22" s="3142" t="s">
        <v>2834</v>
      </c>
      <c r="U22" s="3142" t="s">
        <v>2835</v>
      </c>
      <c r="V22" s="3142"/>
      <c r="W22" s="3142" t="s">
        <v>2836</v>
      </c>
      <c r="X22" s="3143"/>
      <c r="Y22" s="3141" t="s">
        <v>2832</v>
      </c>
      <c r="Z22" s="3142" t="s">
        <v>2833</v>
      </c>
      <c r="AA22" s="3142" t="s">
        <v>2834</v>
      </c>
      <c r="AB22" s="3142" t="s">
        <v>2835</v>
      </c>
      <c r="AC22" s="3142"/>
      <c r="AD22" s="3142" t="s">
        <v>2836</v>
      </c>
    </row>
    <row r="23" spans="1:30" s="3156" customFormat="1" ht="12.75">
      <c r="A23" s="3144" t="s">
        <v>2837</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3371</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3372</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3374</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3375</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3373</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2838</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2839</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2840</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2841</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2826</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22" t="s">
        <v>452</v>
      </c>
      <c r="C1" s="3922"/>
      <c r="D1" s="3922"/>
      <c r="E1" s="3922"/>
      <c r="F1" s="3922"/>
      <c r="G1" s="3921" t="s">
        <v>453</v>
      </c>
      <c r="H1" s="3921"/>
      <c r="I1" s="3921"/>
      <c r="J1" s="3921"/>
      <c r="K1" s="3921"/>
      <c r="L1" s="3921"/>
      <c r="N1" s="3921" t="s">
        <v>454</v>
      </c>
      <c r="O1" s="3921"/>
      <c r="P1" s="3921"/>
      <c r="Q1" s="3921"/>
      <c r="S1" s="3921" t="s">
        <v>455</v>
      </c>
      <c r="T1" s="3921"/>
      <c r="U1" s="3921"/>
      <c r="V1" s="3921"/>
      <c r="X1" s="3920" t="s">
        <v>456</v>
      </c>
      <c r="Y1" s="3921"/>
      <c r="Z1" s="3921"/>
      <c r="AA1" s="3921"/>
      <c r="AB1" s="3921"/>
      <c r="AD1" s="3920" t="s">
        <v>457</v>
      </c>
      <c r="AE1" s="3921"/>
      <c r="AF1" s="3921"/>
      <c r="AG1" s="3921"/>
      <c r="AH1" s="392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3366</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3363</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3364</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3365</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92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2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2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2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2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45126</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45097</v>
      </c>
      <c r="D13" s="2817">
        <v>3.55</v>
      </c>
      <c r="E13" s="2817">
        <f>D13</f>
        <v>3.55</v>
      </c>
      <c r="F13" s="2817">
        <f>D13</f>
        <v>3.55</v>
      </c>
      <c r="G13" s="2817">
        <f>D13</f>
        <v>3.55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44795</v>
      </c>
      <c r="D14" s="2812">
        <v>3.65</v>
      </c>
      <c r="E14" s="2812">
        <v>3.65</v>
      </c>
      <c r="F14" s="2812">
        <v>3.65</v>
      </c>
      <c r="G14" s="2812">
        <v>3.65</v>
      </c>
      <c r="H14" s="2812">
        <v>4.3</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44701</v>
      </c>
      <c r="D15" s="2812">
        <v>3.7</v>
      </c>
      <c r="E15" s="2812">
        <f>D15</f>
        <v>3.7</v>
      </c>
      <c r="F15" s="2812">
        <f>D15</f>
        <v>3.7</v>
      </c>
      <c r="G15" s="2812">
        <f>D15</f>
        <v>3.7</v>
      </c>
      <c r="H15" s="2812">
        <v>4.45</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44581</v>
      </c>
      <c r="D16" s="2812">
        <v>3.7</v>
      </c>
      <c r="E16" s="2812">
        <f>D16</f>
        <v>3.7</v>
      </c>
      <c r="F16" s="2812">
        <f>D16</f>
        <v>3.7</v>
      </c>
      <c r="G16" s="2812">
        <f>D16</f>
        <v>3.7</v>
      </c>
      <c r="H16" s="2812">
        <v>4.5999999999999996</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3">
        <v>44550</v>
      </c>
      <c r="D17" s="2812">
        <v>3.8</v>
      </c>
      <c r="E17" s="2812">
        <f>D17</f>
        <v>3.8</v>
      </c>
      <c r="F17" s="2812">
        <f>D17</f>
        <v>3.8</v>
      </c>
      <c r="G17" s="2812">
        <f>D17</f>
        <v>3.8</v>
      </c>
      <c r="H17" s="2812">
        <v>4.6500000000000004</v>
      </c>
      <c r="I17" s="2812"/>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43881</v>
      </c>
      <c r="D19" s="2812">
        <v>4.05</v>
      </c>
      <c r="E19" s="2812">
        <v>4.05</v>
      </c>
      <c r="F19" s="2812">
        <v>4.05</v>
      </c>
      <c r="G19" s="2812">
        <v>4.05</v>
      </c>
      <c r="H19" s="2812">
        <v>4.75</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43789</v>
      </c>
      <c r="D20" s="2812">
        <v>4.1500000000000004</v>
      </c>
      <c r="E20" s="2812">
        <v>4.1500000000000004</v>
      </c>
      <c r="F20" s="2812">
        <v>4.1500000000000004</v>
      </c>
      <c r="G20" s="2812">
        <v>4.1500000000000004</v>
      </c>
      <c r="H20" s="2812">
        <v>4.8</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43728</v>
      </c>
      <c r="D21" s="2812">
        <v>4.2</v>
      </c>
      <c r="E21" s="2812">
        <v>4.2</v>
      </c>
      <c r="F21" s="2812">
        <v>4.2</v>
      </c>
      <c r="G21" s="2812">
        <v>4.2</v>
      </c>
      <c r="H21" s="2812">
        <v>4.8499999999999996</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t="s">
        <v>2311</v>
      </c>
      <c r="C22" s="2814">
        <v>43697</v>
      </c>
      <c r="D22" s="2815">
        <v>4.25</v>
      </c>
      <c r="E22" s="2815">
        <v>4.25</v>
      </c>
      <c r="F22" s="2815">
        <v>4.25</v>
      </c>
      <c r="G22" s="2815">
        <v>4.25</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9"/>
      <c r="C23" s="2820">
        <v>42301</v>
      </c>
      <c r="D23" s="2821">
        <v>4.3499999999999996</v>
      </c>
      <c r="E23" s="2821">
        <v>4.3499999999999996</v>
      </c>
      <c r="F23" s="2821">
        <v>4.75</v>
      </c>
      <c r="G23" s="2821">
        <v>4.75</v>
      </c>
      <c r="H23" s="2821">
        <v>4.9000000000000004</v>
      </c>
      <c r="I23" s="2821"/>
      <c r="J23" s="2821"/>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election activeCell="I23" sqref="I23"/>
    </sheetView>
  </sheetViews>
  <sheetFormatPr defaultRowHeight="12"/>
  <cols>
    <col min="1" max="1" width="10.5" style="3445" bestFit="1" customWidth="1"/>
    <col min="2" max="16384" width="9" style="3445"/>
  </cols>
  <sheetData>
    <row r="1" spans="1:12">
      <c r="A1" s="3928"/>
      <c r="B1" s="3928"/>
      <c r="C1" s="3928"/>
      <c r="D1" s="3928"/>
      <c r="E1" s="3928"/>
      <c r="F1" s="3928"/>
      <c r="G1" s="3928"/>
      <c r="H1" s="3928"/>
      <c r="I1" s="3928"/>
      <c r="J1" s="3928"/>
      <c r="K1" s="3928"/>
      <c r="L1" s="3928"/>
    </row>
    <row r="2" spans="1:12">
      <c r="A2" s="3929"/>
      <c r="B2" s="3928"/>
      <c r="C2" s="3928"/>
      <c r="D2" s="3928"/>
      <c r="E2" s="3928"/>
      <c r="F2" s="3928"/>
      <c r="G2" s="3928"/>
      <c r="H2" s="3928"/>
      <c r="I2" s="3928"/>
      <c r="J2" s="3928"/>
      <c r="K2" s="3928"/>
      <c r="L2" s="3928"/>
    </row>
    <row r="3" spans="1:12">
      <c r="A3" s="3929"/>
      <c r="B3" s="3928"/>
      <c r="C3" s="3928"/>
      <c r="D3" s="3928"/>
      <c r="E3" s="3928"/>
      <c r="F3" s="3928"/>
      <c r="G3" s="3928"/>
      <c r="H3" s="3928"/>
      <c r="I3" s="3928"/>
      <c r="J3" s="3928"/>
      <c r="K3" s="3928"/>
      <c r="L3" s="3928"/>
    </row>
    <row r="4" spans="1:12">
      <c r="A4" s="3929"/>
      <c r="B4" s="3928"/>
      <c r="C4" s="3928"/>
      <c r="D4" s="3928"/>
      <c r="E4" s="3928"/>
      <c r="F4" s="3928"/>
      <c r="G4" s="3928"/>
      <c r="H4" s="3928"/>
      <c r="I4" s="3928"/>
      <c r="J4" s="3928"/>
      <c r="K4" s="3928"/>
      <c r="L4" s="3928"/>
    </row>
    <row r="5" spans="1:12">
      <c r="A5" s="3929" t="s">
        <v>3956</v>
      </c>
      <c r="B5" s="3928"/>
      <c r="C5" s="3928"/>
      <c r="D5" s="3928" t="s">
        <v>3957</v>
      </c>
      <c r="E5" s="3928">
        <v>158</v>
      </c>
      <c r="F5" s="3928"/>
      <c r="G5" s="3928"/>
      <c r="H5" s="3928"/>
      <c r="I5" s="3928"/>
      <c r="J5" s="3928"/>
      <c r="K5" s="3928"/>
      <c r="L5" s="3928"/>
    </row>
    <row r="6" spans="1:12">
      <c r="A6" s="3929" t="s">
        <v>3945</v>
      </c>
      <c r="B6" s="3928">
        <v>60.29</v>
      </c>
      <c r="C6" s="3928"/>
      <c r="D6" s="3928" t="s">
        <v>3958</v>
      </c>
      <c r="E6" s="3928">
        <v>30</v>
      </c>
      <c r="F6" s="3928"/>
      <c r="G6" s="3928"/>
      <c r="H6" s="3928"/>
      <c r="I6" s="3928"/>
      <c r="J6" s="3928"/>
      <c r="K6" s="3928"/>
      <c r="L6" s="3928"/>
    </row>
    <row r="7" spans="1:12">
      <c r="A7" s="3449" t="s">
        <v>3946</v>
      </c>
      <c r="B7" s="3928">
        <v>90.43</v>
      </c>
      <c r="C7" s="3928"/>
      <c r="D7" s="3928"/>
      <c r="E7" s="3928"/>
      <c r="F7" s="3928"/>
      <c r="G7" s="3928"/>
      <c r="H7" s="3928"/>
      <c r="I7" s="3928"/>
      <c r="J7" s="3928"/>
      <c r="K7" s="3928"/>
      <c r="L7" s="3928"/>
    </row>
    <row r="8" spans="1:12">
      <c r="A8" s="3449" t="s">
        <v>3947</v>
      </c>
      <c r="B8" s="3928">
        <v>90.43</v>
      </c>
      <c r="C8" s="3928"/>
      <c r="D8" s="3928"/>
      <c r="E8" s="3928"/>
      <c r="F8" s="3928"/>
      <c r="G8" s="3928"/>
      <c r="H8" s="3928"/>
      <c r="I8" s="3928"/>
      <c r="J8" s="3928"/>
      <c r="K8" s="3928"/>
      <c r="L8" s="3928"/>
    </row>
    <row r="9" spans="1:12">
      <c r="A9" s="3449" t="s">
        <v>3948</v>
      </c>
      <c r="B9" s="3928">
        <v>90.43</v>
      </c>
      <c r="C9" s="3928"/>
      <c r="D9" s="3928"/>
      <c r="E9" s="3928"/>
      <c r="F9" s="3928"/>
      <c r="G9" s="3928"/>
      <c r="H9" s="3928"/>
      <c r="I9" s="3928"/>
      <c r="J9" s="3928"/>
      <c r="K9" s="3928"/>
      <c r="L9" s="3928"/>
    </row>
    <row r="10" spans="1:12">
      <c r="A10" s="3449" t="s">
        <v>3949</v>
      </c>
      <c r="B10" s="3928">
        <v>90.43</v>
      </c>
      <c r="C10" s="3928"/>
      <c r="D10" s="3928"/>
      <c r="E10" s="3928"/>
      <c r="F10" s="3928"/>
      <c r="G10" s="3928"/>
      <c r="H10" s="3928"/>
      <c r="I10" s="3928"/>
      <c r="J10" s="3928"/>
      <c r="K10" s="3928"/>
      <c r="L10" s="3928"/>
    </row>
    <row r="11" spans="1:12">
      <c r="A11" s="3449" t="s">
        <v>3950</v>
      </c>
      <c r="B11" s="3928">
        <v>90.43</v>
      </c>
      <c r="C11" s="3928"/>
      <c r="D11" s="3928"/>
      <c r="E11" s="3928"/>
      <c r="F11" s="3928"/>
      <c r="G11" s="3928"/>
      <c r="H11" s="3928"/>
      <c r="I11" s="3928"/>
      <c r="J11" s="3928"/>
      <c r="K11" s="3928"/>
      <c r="L11" s="3928"/>
    </row>
    <row r="12" spans="1:12">
      <c r="A12" s="3449" t="s">
        <v>3951</v>
      </c>
      <c r="B12" s="3928">
        <v>119.66</v>
      </c>
      <c r="C12" s="3928"/>
      <c r="D12" s="3928"/>
      <c r="E12" s="3928"/>
      <c r="F12" s="3928"/>
      <c r="G12" s="3928"/>
      <c r="H12" s="3928"/>
      <c r="I12" s="3928"/>
      <c r="J12" s="3928"/>
      <c r="K12" s="3928"/>
      <c r="L12" s="3928"/>
    </row>
    <row r="13" spans="1:12">
      <c r="A13" s="3449" t="s">
        <v>3952</v>
      </c>
      <c r="B13" s="3928">
        <v>180.86</v>
      </c>
      <c r="C13" s="3928"/>
      <c r="D13" s="3928"/>
      <c r="E13" s="3928"/>
      <c r="F13" s="3928"/>
      <c r="G13" s="3928"/>
      <c r="H13" s="3928"/>
      <c r="I13" s="3928"/>
      <c r="J13" s="3928"/>
      <c r="K13" s="3928"/>
      <c r="L13" s="3928"/>
    </row>
    <row r="14" spans="1:12">
      <c r="A14" s="3449" t="s">
        <v>3953</v>
      </c>
      <c r="B14" s="3928">
        <v>180.86</v>
      </c>
      <c r="C14" s="3928"/>
      <c r="D14" s="3928"/>
      <c r="E14" s="3928"/>
      <c r="F14" s="3928"/>
      <c r="G14" s="3928"/>
      <c r="H14" s="3928"/>
      <c r="I14" s="3928"/>
      <c r="J14" s="3928"/>
      <c r="K14" s="3928"/>
      <c r="L14" s="3928"/>
    </row>
    <row r="15" spans="1:12">
      <c r="A15" s="3449" t="s">
        <v>3954</v>
      </c>
      <c r="B15" s="3928">
        <v>180.86</v>
      </c>
      <c r="C15" s="3928"/>
      <c r="D15" s="3928"/>
      <c r="E15" s="3928"/>
      <c r="F15" s="3928"/>
      <c r="G15" s="3928"/>
      <c r="H15" s="3928"/>
      <c r="I15" s="3928"/>
      <c r="J15" s="3928"/>
      <c r="K15" s="3928"/>
      <c r="L15" s="3928"/>
    </row>
    <row r="16" spans="1:12">
      <c r="A16" s="3449" t="s">
        <v>3955</v>
      </c>
      <c r="B16" s="3928">
        <v>180.86</v>
      </c>
      <c r="C16" s="3928"/>
      <c r="D16" s="3928"/>
      <c r="E16" s="3928"/>
      <c r="F16" s="3928"/>
      <c r="G16" s="3928"/>
      <c r="H16" s="3928"/>
      <c r="I16" s="3928"/>
      <c r="J16" s="3928"/>
      <c r="K16" s="3928"/>
      <c r="L16" s="3928"/>
    </row>
    <row r="17" spans="1:12">
      <c r="A17" s="3449" t="s">
        <v>3926</v>
      </c>
      <c r="B17" s="3930">
        <v>60.29</v>
      </c>
      <c r="C17" s="3930"/>
      <c r="D17" s="3930"/>
      <c r="E17" s="3930"/>
      <c r="F17" s="3930"/>
      <c r="G17" s="3930"/>
      <c r="H17" s="3930"/>
      <c r="I17" s="3930"/>
      <c r="J17" s="3930"/>
      <c r="K17" s="3930"/>
      <c r="L17" s="3930"/>
    </row>
    <row r="18" spans="1:12">
      <c r="A18" s="3449" t="s">
        <v>3927</v>
      </c>
      <c r="B18" s="3930">
        <v>120.58</v>
      </c>
      <c r="C18" s="3930"/>
      <c r="D18" s="3930"/>
      <c r="E18" s="3930"/>
      <c r="F18" s="3930"/>
      <c r="G18" s="3930"/>
      <c r="H18" s="3930"/>
      <c r="I18" s="3930"/>
      <c r="J18" s="3930"/>
      <c r="K18" s="3930"/>
      <c r="L18" s="3930"/>
    </row>
    <row r="19" spans="1:12">
      <c r="A19" s="3449" t="s">
        <v>3928</v>
      </c>
      <c r="B19" s="3450">
        <v>180.86</v>
      </c>
      <c r="C19" s="3450"/>
      <c r="D19" s="3450"/>
      <c r="E19" s="3450"/>
      <c r="F19" s="3450"/>
      <c r="G19" s="3450"/>
      <c r="H19" s="3450"/>
      <c r="I19" s="3450"/>
      <c r="J19" s="3450"/>
      <c r="K19" s="3450"/>
      <c r="L19" s="3450"/>
    </row>
    <row r="20" spans="1:12">
      <c r="A20" s="3449" t="s">
        <v>3929</v>
      </c>
      <c r="B20" s="3930">
        <v>180.86</v>
      </c>
      <c r="C20" s="3930"/>
      <c r="D20" s="3930"/>
      <c r="E20" s="3930"/>
      <c r="F20" s="3930"/>
      <c r="G20" s="3930"/>
      <c r="H20" s="3930"/>
      <c r="I20" s="3930"/>
      <c r="J20" s="3930"/>
      <c r="K20" s="3930"/>
      <c r="L20" s="3930"/>
    </row>
    <row r="21" spans="1:12">
      <c r="A21" s="3449" t="s">
        <v>3930</v>
      </c>
      <c r="B21" s="3930">
        <v>180.86</v>
      </c>
      <c r="C21" s="3930"/>
      <c r="D21" s="3930"/>
      <c r="E21" s="3930"/>
      <c r="F21" s="3930"/>
      <c r="G21" s="3930"/>
      <c r="H21" s="3930"/>
      <c r="I21" s="3930"/>
      <c r="J21" s="3930"/>
      <c r="K21" s="3930"/>
      <c r="L21" s="3930"/>
    </row>
    <row r="22" spans="1:12">
      <c r="A22" s="3449" t="s">
        <v>3931</v>
      </c>
      <c r="B22" s="3930">
        <v>180.86</v>
      </c>
      <c r="C22" s="3930"/>
      <c r="D22" s="3930"/>
      <c r="E22" s="3930"/>
      <c r="F22" s="3930"/>
      <c r="G22" s="3930"/>
      <c r="H22" s="3930"/>
      <c r="I22" s="3930"/>
      <c r="J22" s="3930"/>
      <c r="K22" s="3930"/>
      <c r="L22" s="3930"/>
    </row>
    <row r="23" spans="1:12">
      <c r="A23" s="3449" t="s">
        <v>3932</v>
      </c>
      <c r="B23" s="3930">
        <v>150.72</v>
      </c>
      <c r="C23" s="3930"/>
      <c r="D23" s="3930"/>
      <c r="E23" s="3930"/>
      <c r="F23" s="3930"/>
      <c r="G23" s="3930"/>
      <c r="H23" s="3930"/>
      <c r="I23" s="3930"/>
      <c r="J23" s="3930"/>
      <c r="K23" s="3930"/>
      <c r="L23" s="3930"/>
    </row>
    <row r="24" spans="1:12">
      <c r="A24" s="3449" t="s">
        <v>3933</v>
      </c>
      <c r="B24" s="3930">
        <v>60.29</v>
      </c>
      <c r="C24" s="3930"/>
      <c r="D24" s="3930"/>
      <c r="E24" s="3930"/>
      <c r="F24" s="3930"/>
      <c r="G24" s="3930"/>
      <c r="H24" s="3930"/>
      <c r="I24" s="3930"/>
      <c r="J24" s="3930"/>
      <c r="K24" s="3930"/>
      <c r="L24" s="3930"/>
    </row>
    <row r="25" spans="1:12">
      <c r="A25" s="3449" t="s">
        <v>3934</v>
      </c>
      <c r="B25" s="3930">
        <v>60.29</v>
      </c>
      <c r="C25" s="3930"/>
      <c r="D25" s="3930"/>
      <c r="E25" s="3930"/>
      <c r="F25" s="3930"/>
      <c r="G25" s="3930"/>
      <c r="H25" s="3930"/>
      <c r="I25" s="3930"/>
      <c r="J25" s="3930"/>
      <c r="K25" s="3930"/>
      <c r="L25" s="3930"/>
    </row>
    <row r="26" spans="1:12">
      <c r="A26" s="3449" t="s">
        <v>3935</v>
      </c>
      <c r="B26" s="3930">
        <v>60.29</v>
      </c>
      <c r="C26" s="3930"/>
      <c r="D26" s="3930"/>
      <c r="E26" s="3930"/>
      <c r="F26" s="3930"/>
      <c r="G26" s="3930"/>
      <c r="H26" s="3930"/>
      <c r="I26" s="3930"/>
      <c r="J26" s="3930"/>
      <c r="K26" s="3930"/>
      <c r="L26" s="3930"/>
    </row>
    <row r="27" spans="1:12">
      <c r="A27" s="3449" t="s">
        <v>3936</v>
      </c>
      <c r="B27" s="3930">
        <v>180.86</v>
      </c>
      <c r="C27" s="3930"/>
      <c r="D27" s="3930"/>
      <c r="E27" s="3930"/>
      <c r="F27" s="3930"/>
      <c r="G27" s="3930"/>
      <c r="H27" s="3930"/>
      <c r="I27" s="3930"/>
      <c r="J27" s="3930"/>
      <c r="K27" s="3930"/>
      <c r="L27" s="3930"/>
    </row>
    <row r="28" spans="1:12">
      <c r="A28" s="3449" t="s">
        <v>3937</v>
      </c>
      <c r="B28" s="3930">
        <v>180.86</v>
      </c>
      <c r="C28" s="3930"/>
      <c r="D28" s="3930"/>
      <c r="E28" s="3930"/>
      <c r="F28" s="3930"/>
      <c r="G28" s="3930"/>
      <c r="H28" s="3930"/>
      <c r="I28" s="3930"/>
      <c r="J28" s="3930"/>
      <c r="K28" s="3930"/>
      <c r="L28" s="3930"/>
    </row>
    <row r="29" spans="1:12">
      <c r="A29" s="3449" t="s">
        <v>3938</v>
      </c>
      <c r="B29" s="3930">
        <v>180.86</v>
      </c>
      <c r="C29" s="3930"/>
      <c r="D29" s="3930"/>
      <c r="E29" s="3930"/>
      <c r="F29" s="3930"/>
      <c r="G29" s="3930"/>
      <c r="H29" s="3930"/>
      <c r="I29" s="3930"/>
      <c r="J29" s="3930"/>
      <c r="K29" s="3930"/>
      <c r="L29" s="3930"/>
    </row>
    <row r="30" spans="1:12">
      <c r="A30" s="3449" t="s">
        <v>3939</v>
      </c>
      <c r="B30" s="3930">
        <v>180.86</v>
      </c>
      <c r="C30" s="3930"/>
      <c r="D30" s="3930"/>
      <c r="E30" s="3930"/>
      <c r="F30" s="3930"/>
      <c r="G30" s="3930"/>
      <c r="H30" s="3930"/>
      <c r="I30" s="3930"/>
      <c r="J30" s="3930"/>
      <c r="K30" s="3930"/>
      <c r="L30" s="3930"/>
    </row>
    <row r="31" spans="1:12">
      <c r="A31" s="3449" t="s">
        <v>3940</v>
      </c>
      <c r="B31" s="3930">
        <v>271.29000000000002</v>
      </c>
      <c r="C31" s="3930"/>
      <c r="D31" s="3930"/>
      <c r="E31" s="3930"/>
      <c r="F31" s="3930"/>
      <c r="G31" s="3930"/>
      <c r="H31" s="3930"/>
      <c r="I31" s="3930"/>
      <c r="J31" s="3930"/>
      <c r="K31" s="3930"/>
      <c r="L31" s="3930"/>
    </row>
    <row r="32" spans="1:12">
      <c r="A32" s="3449" t="s">
        <v>3941</v>
      </c>
      <c r="B32" s="3930">
        <v>271.29000000000002</v>
      </c>
      <c r="C32" s="3930"/>
      <c r="D32" s="3930"/>
      <c r="E32" s="3930"/>
      <c r="F32" s="3930"/>
      <c r="G32" s="3930"/>
      <c r="H32" s="3930"/>
      <c r="I32" s="3930"/>
      <c r="J32" s="3930"/>
      <c r="K32" s="3930"/>
      <c r="L32" s="3930"/>
    </row>
    <row r="33" spans="1:12">
      <c r="A33" s="3449" t="s">
        <v>3942</v>
      </c>
      <c r="B33" s="3930">
        <v>271.29000000000002</v>
      </c>
      <c r="C33" s="3930"/>
      <c r="D33" s="3930"/>
      <c r="E33" s="3930"/>
      <c r="F33" s="3930"/>
      <c r="G33" s="3930"/>
      <c r="H33" s="3930"/>
      <c r="I33" s="3930"/>
      <c r="J33" s="3930"/>
      <c r="K33" s="3930"/>
      <c r="L33" s="3930"/>
    </row>
    <row r="34" spans="1:12">
      <c r="A34" s="3449" t="s">
        <v>3943</v>
      </c>
      <c r="B34" s="3930">
        <v>271.29000000000002</v>
      </c>
      <c r="C34" s="3930"/>
      <c r="D34" s="3930"/>
      <c r="E34" s="3930"/>
      <c r="F34" s="3930"/>
      <c r="G34" s="3930"/>
      <c r="H34" s="3930"/>
      <c r="I34" s="3930"/>
      <c r="J34" s="3930"/>
      <c r="K34" s="3930"/>
      <c r="L34" s="3930"/>
    </row>
    <row r="35" spans="1:12">
      <c r="A35" s="3449" t="s">
        <v>3944</v>
      </c>
      <c r="B35" s="3930">
        <v>120.58</v>
      </c>
      <c r="C35" s="3930"/>
      <c r="D35" s="3930"/>
      <c r="E35" s="3930"/>
      <c r="F35" s="3930"/>
      <c r="G35" s="3930"/>
      <c r="H35" s="3930"/>
      <c r="I35" s="3930"/>
      <c r="J35" s="3930"/>
      <c r="K35" s="3930"/>
      <c r="L35" s="3930"/>
    </row>
    <row r="36" spans="1:12">
      <c r="A36" s="3929"/>
      <c r="B36" s="3930">
        <f>SUM(B1:B35)</f>
        <v>4520.6200000000008</v>
      </c>
      <c r="C36" s="3930"/>
      <c r="D36" s="3930"/>
      <c r="E36" s="3930"/>
      <c r="F36" s="3930"/>
      <c r="G36" s="3930"/>
      <c r="H36" s="3930"/>
      <c r="I36" s="3930"/>
      <c r="J36" s="3930"/>
      <c r="K36" s="3930"/>
      <c r="L36" s="3930"/>
    </row>
    <row r="37" spans="1:12">
      <c r="A37" s="3929"/>
      <c r="B37" s="3930"/>
      <c r="C37" s="3930"/>
      <c r="D37" s="3930"/>
      <c r="E37" s="3930"/>
      <c r="F37" s="3930"/>
      <c r="G37" s="3930"/>
      <c r="H37" s="3930"/>
      <c r="I37" s="3930"/>
      <c r="J37" s="3930"/>
      <c r="K37" s="3930"/>
      <c r="L37" s="3930"/>
    </row>
    <row r="38" spans="1:12">
      <c r="A38" s="3929"/>
      <c r="B38" s="3930"/>
      <c r="C38" s="3930"/>
      <c r="D38" s="3930"/>
      <c r="E38" s="3930"/>
      <c r="F38" s="3930"/>
      <c r="G38" s="3930"/>
      <c r="H38" s="3930"/>
      <c r="I38" s="3930"/>
      <c r="J38" s="3930"/>
      <c r="K38" s="3930"/>
      <c r="L38" s="3930"/>
    </row>
    <row r="39" spans="1:12">
      <c r="A39" s="3929"/>
      <c r="B39" s="3930"/>
      <c r="C39" s="3930"/>
      <c r="D39" s="3930"/>
      <c r="E39" s="3930"/>
      <c r="F39" s="3930"/>
      <c r="G39" s="3930"/>
      <c r="H39" s="3930"/>
      <c r="I39" s="3930"/>
      <c r="J39" s="3930"/>
      <c r="K39" s="3930"/>
      <c r="L39" s="3930"/>
    </row>
    <row r="40" spans="1:12">
      <c r="A40" s="3929"/>
      <c r="B40" s="3930"/>
      <c r="C40" s="3930"/>
      <c r="D40" s="3930"/>
      <c r="E40" s="3930"/>
      <c r="F40" s="3930"/>
      <c r="G40" s="3930"/>
      <c r="H40" s="3930"/>
      <c r="I40" s="3930"/>
      <c r="J40" s="3930"/>
      <c r="K40" s="3930"/>
      <c r="L40" s="3930"/>
    </row>
    <row r="41" spans="1:12">
      <c r="A41" s="3929"/>
      <c r="B41" s="3930"/>
      <c r="C41" s="3930"/>
      <c r="D41" s="3930"/>
      <c r="E41" s="3930"/>
      <c r="F41" s="3930"/>
      <c r="G41" s="3930"/>
      <c r="H41" s="3930"/>
      <c r="I41" s="3930"/>
      <c r="J41" s="3930"/>
      <c r="K41" s="3930"/>
      <c r="L41" s="3930"/>
    </row>
    <row r="42" spans="1:12">
      <c r="A42" s="3929"/>
      <c r="B42" s="3930"/>
      <c r="C42" s="3930"/>
      <c r="D42" s="3930"/>
      <c r="E42" s="3930"/>
      <c r="F42" s="3930"/>
      <c r="G42" s="3930"/>
      <c r="H42" s="3930"/>
      <c r="I42" s="3930"/>
      <c r="J42" s="3930"/>
      <c r="K42" s="3930"/>
      <c r="L42" s="3930"/>
    </row>
    <row r="43" spans="1:12">
      <c r="A43" s="3929"/>
      <c r="B43" s="3930"/>
      <c r="C43" s="3930"/>
      <c r="D43" s="3930"/>
      <c r="E43" s="3930"/>
      <c r="F43" s="3930"/>
      <c r="G43" s="3930"/>
      <c r="H43" s="3930"/>
      <c r="I43" s="3930"/>
      <c r="J43" s="3930"/>
      <c r="K43" s="3930"/>
      <c r="L43" s="3930"/>
    </row>
    <row r="44" spans="1:12">
      <c r="A44" s="3929"/>
      <c r="B44" s="3930"/>
      <c r="C44" s="3930"/>
      <c r="D44" s="3930"/>
      <c r="E44" s="3930"/>
      <c r="F44" s="3930"/>
      <c r="G44" s="3930"/>
      <c r="H44" s="3930"/>
      <c r="I44" s="3930"/>
      <c r="J44" s="3930"/>
      <c r="K44" s="3930"/>
      <c r="L44" s="3930"/>
    </row>
    <row r="45" spans="1:12">
      <c r="A45" s="3929"/>
      <c r="B45" s="3930"/>
      <c r="C45" s="3930"/>
      <c r="D45" s="3930"/>
      <c r="E45" s="3930"/>
      <c r="F45" s="3930"/>
      <c r="G45" s="3930"/>
      <c r="H45" s="3930"/>
      <c r="I45" s="3930"/>
      <c r="J45" s="3930"/>
      <c r="K45" s="3930"/>
      <c r="L45" s="3930"/>
    </row>
    <row r="46" spans="1:12">
      <c r="A46" s="3929"/>
      <c r="B46" s="3930"/>
      <c r="C46" s="3930"/>
      <c r="D46" s="3930"/>
      <c r="E46" s="3930"/>
      <c r="F46" s="3930"/>
      <c r="G46" s="3930"/>
      <c r="H46" s="3930"/>
      <c r="I46" s="3930"/>
      <c r="J46" s="3930"/>
      <c r="K46" s="3930"/>
      <c r="L46" s="3930"/>
    </row>
    <row r="47" spans="1:12">
      <c r="A47" s="3929"/>
      <c r="B47" s="3930"/>
      <c r="C47" s="3930"/>
      <c r="D47" s="3930"/>
      <c r="E47" s="3930"/>
      <c r="F47" s="3930"/>
      <c r="G47" s="3930"/>
      <c r="H47" s="3930"/>
      <c r="I47" s="3930"/>
      <c r="J47" s="3930"/>
      <c r="K47" s="3930"/>
      <c r="L47" s="3930"/>
    </row>
    <row r="48" spans="1:12">
      <c r="A48" s="3929"/>
      <c r="B48" s="3930"/>
      <c r="C48" s="3930"/>
      <c r="D48" s="3930"/>
      <c r="E48" s="3930"/>
      <c r="F48" s="3930"/>
      <c r="G48" s="3930"/>
      <c r="H48" s="3930"/>
      <c r="I48" s="3930"/>
      <c r="J48" s="3930"/>
      <c r="K48" s="3930"/>
      <c r="L48" s="3930"/>
    </row>
    <row r="49" spans="1:12">
      <c r="A49" s="3929"/>
      <c r="B49" s="3930"/>
      <c r="C49" s="3930"/>
      <c r="D49" s="3930"/>
      <c r="E49" s="3930"/>
      <c r="F49" s="3930"/>
      <c r="G49" s="3930"/>
      <c r="H49" s="3930"/>
      <c r="I49" s="3930"/>
      <c r="J49" s="3930"/>
      <c r="K49" s="3930"/>
      <c r="L49" s="3930"/>
    </row>
    <row r="50" spans="1:12">
      <c r="A50" s="3929"/>
      <c r="B50" s="3930"/>
      <c r="C50" s="3930"/>
      <c r="D50" s="3930"/>
      <c r="E50" s="3930"/>
      <c r="F50" s="3930"/>
      <c r="G50" s="3930"/>
      <c r="H50" s="3930"/>
      <c r="I50" s="3930"/>
      <c r="J50" s="3930"/>
      <c r="K50" s="3930"/>
      <c r="L50" s="3930"/>
    </row>
    <row r="51" spans="1:12">
      <c r="A51" s="3929"/>
      <c r="B51" s="3930"/>
      <c r="C51" s="3930"/>
      <c r="D51" s="3930"/>
      <c r="E51" s="3930"/>
      <c r="F51" s="3930"/>
      <c r="G51" s="3930"/>
      <c r="H51" s="3930"/>
      <c r="I51" s="3930"/>
      <c r="J51" s="3930"/>
      <c r="K51" s="3930"/>
      <c r="L51" s="3930"/>
    </row>
    <row r="52" spans="1:12">
      <c r="A52" s="3929"/>
      <c r="B52" s="3930"/>
      <c r="C52" s="3930"/>
      <c r="D52" s="3930"/>
      <c r="E52" s="3930"/>
      <c r="F52" s="3930"/>
      <c r="G52" s="3930"/>
      <c r="H52" s="3930"/>
      <c r="I52" s="3930"/>
      <c r="J52" s="3930"/>
      <c r="K52" s="3930"/>
      <c r="L52" s="3930"/>
    </row>
    <row r="53" spans="1:12">
      <c r="A53" s="3929"/>
      <c r="B53" s="3930"/>
      <c r="C53" s="3930"/>
      <c r="D53" s="3930"/>
      <c r="E53" s="3930"/>
      <c r="F53" s="3930"/>
      <c r="G53" s="3930"/>
      <c r="H53" s="3930"/>
      <c r="I53" s="3930"/>
      <c r="J53" s="3930"/>
      <c r="K53" s="3930"/>
      <c r="L53" s="3930"/>
    </row>
    <row r="54" spans="1:12">
      <c r="A54" s="3929"/>
      <c r="B54" s="3930"/>
      <c r="C54" s="3930"/>
      <c r="D54" s="3930"/>
      <c r="E54" s="3930"/>
      <c r="F54" s="3930"/>
      <c r="G54" s="3930"/>
      <c r="H54" s="3930"/>
      <c r="I54" s="3930"/>
      <c r="J54" s="3930"/>
      <c r="K54" s="3930"/>
      <c r="L54" s="3930"/>
    </row>
    <row r="55" spans="1:12">
      <c r="A55" s="3929"/>
      <c r="B55" s="3930"/>
      <c r="C55" s="3930"/>
      <c r="D55" s="3930"/>
      <c r="E55" s="3930"/>
      <c r="F55" s="3930"/>
      <c r="G55" s="3930"/>
      <c r="H55" s="3930"/>
      <c r="I55" s="3930"/>
      <c r="J55" s="3930"/>
      <c r="K55" s="3930"/>
      <c r="L55" s="3930"/>
    </row>
    <row r="56" spans="1:12">
      <c r="A56" s="3929"/>
      <c r="B56" s="3930"/>
      <c r="C56" s="3930"/>
      <c r="D56" s="3930"/>
      <c r="E56" s="3930"/>
      <c r="F56" s="3930"/>
      <c r="G56" s="3930"/>
      <c r="H56" s="3930"/>
      <c r="I56" s="3930"/>
      <c r="J56" s="3930"/>
      <c r="K56" s="3930"/>
      <c r="L56" s="3930"/>
    </row>
    <row r="57" spans="1:12">
      <c r="A57" s="3929"/>
      <c r="B57" s="3930"/>
      <c r="C57" s="3930"/>
      <c r="D57" s="3930"/>
      <c r="E57" s="3930"/>
      <c r="F57" s="3930"/>
      <c r="G57" s="3930"/>
      <c r="H57" s="3930"/>
      <c r="I57" s="3930"/>
      <c r="J57" s="3930"/>
      <c r="K57" s="3930"/>
      <c r="L57" s="3930"/>
    </row>
    <row r="58" spans="1:12">
      <c r="A58" s="3929"/>
      <c r="B58" s="3930"/>
      <c r="C58" s="3930"/>
      <c r="D58" s="3930"/>
      <c r="E58" s="3930"/>
      <c r="F58" s="3930"/>
      <c r="G58" s="3930"/>
      <c r="H58" s="3930"/>
      <c r="I58" s="3930"/>
      <c r="J58" s="3930"/>
      <c r="K58" s="3930"/>
      <c r="L58" s="3930"/>
    </row>
    <row r="59" spans="1:12">
      <c r="A59" s="3929"/>
      <c r="B59" s="3930"/>
      <c r="C59" s="3930"/>
      <c r="D59" s="3930"/>
      <c r="E59" s="3930"/>
      <c r="F59" s="3930"/>
      <c r="G59" s="3930"/>
      <c r="H59" s="3930"/>
      <c r="I59" s="3930"/>
      <c r="J59" s="3930"/>
      <c r="K59" s="3930"/>
      <c r="L59" s="3930"/>
    </row>
    <row r="60" spans="1:12">
      <c r="A60" s="3929"/>
      <c r="B60" s="3930"/>
      <c r="C60" s="3930"/>
      <c r="D60" s="3930"/>
      <c r="E60" s="3930"/>
      <c r="F60" s="3930"/>
      <c r="G60" s="3930"/>
      <c r="H60" s="3930"/>
      <c r="I60" s="3930"/>
      <c r="J60" s="3930"/>
      <c r="K60" s="3930"/>
      <c r="L60" s="3930"/>
    </row>
    <row r="61" spans="1:12">
      <c r="A61" s="3929"/>
      <c r="B61" s="3930"/>
      <c r="C61" s="3930"/>
      <c r="D61" s="3930"/>
      <c r="E61" s="3930"/>
      <c r="F61" s="3930"/>
      <c r="G61" s="3930"/>
      <c r="H61" s="3930"/>
      <c r="I61" s="3930"/>
      <c r="J61" s="3930"/>
      <c r="K61" s="3930"/>
      <c r="L61" s="3930"/>
    </row>
    <row r="62" spans="1:12">
      <c r="A62" s="3929"/>
      <c r="B62" s="3930"/>
      <c r="C62" s="3930"/>
      <c r="D62" s="3930"/>
      <c r="E62" s="3930"/>
      <c r="F62" s="3930"/>
      <c r="G62" s="3930"/>
      <c r="H62" s="3930"/>
      <c r="I62" s="3930"/>
      <c r="J62" s="3930"/>
      <c r="K62" s="3930"/>
      <c r="L62" s="3930"/>
    </row>
    <row r="63" spans="1:12">
      <c r="A63" s="3929"/>
      <c r="B63" s="3930"/>
      <c r="C63" s="3930"/>
      <c r="D63" s="3930"/>
      <c r="E63" s="3930"/>
      <c r="F63" s="3930"/>
      <c r="G63" s="3930"/>
      <c r="H63" s="3930"/>
      <c r="I63" s="3930"/>
      <c r="J63" s="3930"/>
      <c r="K63" s="3930"/>
      <c r="L63" s="3930"/>
    </row>
    <row r="64" spans="1:12">
      <c r="A64" s="3929"/>
      <c r="B64" s="3930"/>
      <c r="C64" s="3930"/>
      <c r="D64" s="3930"/>
      <c r="E64" s="3930"/>
      <c r="F64" s="3930"/>
      <c r="G64" s="3930"/>
      <c r="H64" s="3930"/>
      <c r="I64" s="3930"/>
      <c r="J64" s="3930"/>
      <c r="K64" s="3930"/>
      <c r="L64" s="3930"/>
    </row>
    <row r="65" spans="1:12">
      <c r="A65" s="3929"/>
      <c r="B65" s="3930"/>
      <c r="C65" s="3930"/>
      <c r="D65" s="3930"/>
      <c r="E65" s="3930"/>
      <c r="F65" s="3930"/>
      <c r="G65" s="3930"/>
      <c r="H65" s="3930"/>
      <c r="I65" s="3930"/>
      <c r="J65" s="3930"/>
      <c r="K65" s="3930"/>
      <c r="L65" s="3930"/>
    </row>
    <row r="66" spans="1:12">
      <c r="A66" s="3929"/>
      <c r="B66" s="3930"/>
      <c r="C66" s="3930"/>
      <c r="D66" s="3930"/>
      <c r="E66" s="3930"/>
      <c r="F66" s="3930"/>
      <c r="G66" s="3930"/>
      <c r="H66" s="3930"/>
      <c r="I66" s="3930"/>
      <c r="J66" s="3930"/>
      <c r="K66" s="3930"/>
      <c r="L66" s="3930"/>
    </row>
    <row r="67" spans="1:12">
      <c r="A67" s="3929"/>
      <c r="B67" s="3930"/>
      <c r="C67" s="3930"/>
      <c r="D67" s="3930"/>
      <c r="E67" s="3930"/>
      <c r="F67" s="3930"/>
      <c r="G67" s="3930"/>
      <c r="H67" s="3930"/>
      <c r="I67" s="3930"/>
      <c r="J67" s="3930"/>
      <c r="K67" s="3930"/>
      <c r="L67" s="3930"/>
    </row>
    <row r="68" spans="1:12">
      <c r="A68" s="3929"/>
      <c r="B68" s="3930"/>
      <c r="C68" s="3930"/>
      <c r="D68" s="3930"/>
      <c r="E68" s="3930"/>
      <c r="F68" s="3930"/>
      <c r="G68" s="3930"/>
      <c r="H68" s="3930"/>
      <c r="I68" s="3930"/>
      <c r="J68" s="3930"/>
      <c r="K68" s="3930"/>
      <c r="L68" s="3930"/>
    </row>
    <row r="69" spans="1:12">
      <c r="A69" s="3929"/>
      <c r="B69" s="3930"/>
      <c r="C69" s="3930"/>
      <c r="D69" s="3930"/>
      <c r="E69" s="3930"/>
      <c r="F69" s="3930"/>
      <c r="G69" s="3930"/>
      <c r="H69" s="3930"/>
      <c r="I69" s="3930"/>
      <c r="J69" s="3930"/>
      <c r="K69" s="3930"/>
      <c r="L69" s="3930"/>
    </row>
    <row r="70" spans="1:12">
      <c r="A70" s="3929"/>
      <c r="B70" s="3930"/>
      <c r="C70" s="3930"/>
      <c r="D70" s="3930"/>
      <c r="E70" s="3930"/>
      <c r="F70" s="3930"/>
      <c r="G70" s="3930"/>
      <c r="H70" s="3930"/>
      <c r="I70" s="3930"/>
      <c r="J70" s="3930"/>
      <c r="K70" s="3930"/>
      <c r="L70" s="3930"/>
    </row>
    <row r="71" spans="1:12">
      <c r="A71" s="3929"/>
      <c r="B71" s="3930"/>
      <c r="C71" s="3930"/>
      <c r="D71" s="3930"/>
      <c r="E71" s="3930"/>
      <c r="F71" s="3930"/>
      <c r="G71" s="3930"/>
      <c r="H71" s="3930"/>
      <c r="I71" s="3930"/>
      <c r="J71" s="3930"/>
      <c r="K71" s="3930"/>
      <c r="L71" s="3930"/>
    </row>
    <row r="72" spans="1:12">
      <c r="A72" s="3929"/>
      <c r="B72" s="3930"/>
      <c r="C72" s="3930"/>
      <c r="D72" s="3930"/>
      <c r="E72" s="3930"/>
      <c r="F72" s="3930"/>
      <c r="G72" s="3930"/>
      <c r="H72" s="3930"/>
      <c r="I72" s="3930"/>
      <c r="J72" s="3930"/>
      <c r="K72" s="3930"/>
      <c r="L72" s="3930"/>
    </row>
    <row r="73" spans="1:12">
      <c r="A73" s="3929"/>
      <c r="B73" s="3930"/>
      <c r="C73" s="3930"/>
      <c r="D73" s="3930"/>
      <c r="E73" s="3930"/>
      <c r="F73" s="3930"/>
      <c r="G73" s="3930"/>
      <c r="H73" s="3930"/>
      <c r="I73" s="3930"/>
      <c r="J73" s="3930"/>
      <c r="K73" s="3930"/>
      <c r="L73" s="3930"/>
    </row>
    <row r="74" spans="1:12">
      <c r="A74" s="3929"/>
      <c r="B74" s="3930"/>
      <c r="C74" s="3930"/>
      <c r="D74" s="3930"/>
      <c r="E74" s="3930"/>
      <c r="F74" s="3930"/>
      <c r="G74" s="3930"/>
      <c r="H74" s="3930"/>
      <c r="I74" s="3930"/>
      <c r="J74" s="3930"/>
      <c r="K74" s="3930"/>
      <c r="L74" s="3930"/>
    </row>
    <row r="75" spans="1:12">
      <c r="A75" s="3929"/>
      <c r="B75" s="3930"/>
      <c r="C75" s="3930"/>
      <c r="D75" s="3930"/>
      <c r="E75" s="3930"/>
      <c r="F75" s="3930"/>
      <c r="G75" s="3930"/>
      <c r="H75" s="3930"/>
      <c r="I75" s="3930"/>
      <c r="J75" s="3930"/>
      <c r="K75" s="3930"/>
      <c r="L75" s="3930"/>
    </row>
    <row r="76" spans="1:12">
      <c r="A76" s="3929"/>
      <c r="B76" s="3930"/>
      <c r="C76" s="3930"/>
      <c r="D76" s="3930"/>
      <c r="E76" s="3930"/>
      <c r="F76" s="3930"/>
      <c r="G76" s="3930"/>
      <c r="H76" s="3930"/>
      <c r="I76" s="3930"/>
      <c r="J76" s="3930"/>
      <c r="K76" s="3930"/>
      <c r="L76" s="3930"/>
    </row>
    <row r="77" spans="1:12">
      <c r="A77" s="3929"/>
      <c r="B77" s="3930"/>
      <c r="C77" s="3930"/>
      <c r="D77" s="3930"/>
      <c r="E77" s="3930"/>
      <c r="F77" s="3930"/>
      <c r="G77" s="3930"/>
      <c r="H77" s="3930"/>
      <c r="I77" s="3930"/>
      <c r="J77" s="3930"/>
      <c r="K77" s="3930"/>
      <c r="L77" s="3930"/>
    </row>
    <row r="78" spans="1:12">
      <c r="A78" s="3929"/>
      <c r="B78" s="3930"/>
      <c r="C78" s="3930"/>
      <c r="D78" s="3930"/>
      <c r="E78" s="3930"/>
      <c r="F78" s="3930"/>
      <c r="G78" s="3930"/>
      <c r="H78" s="3930"/>
      <c r="I78" s="3930"/>
      <c r="J78" s="3930"/>
      <c r="K78" s="3930"/>
      <c r="L78" s="3930"/>
    </row>
    <row r="79" spans="1:12">
      <c r="A79" s="3929"/>
      <c r="B79" s="3930"/>
      <c r="C79" s="3930"/>
      <c r="D79" s="3930"/>
      <c r="E79" s="3930"/>
      <c r="F79" s="3930"/>
      <c r="G79" s="3930"/>
      <c r="H79" s="3930"/>
      <c r="I79" s="3930"/>
      <c r="J79" s="3930"/>
      <c r="K79" s="3930"/>
      <c r="L79" s="3930"/>
    </row>
    <row r="80" spans="1:12">
      <c r="A80" s="3929"/>
      <c r="B80" s="3930"/>
      <c r="C80" s="3930"/>
      <c r="D80" s="3930"/>
      <c r="E80" s="3930"/>
      <c r="F80" s="3930"/>
      <c r="G80" s="3930"/>
      <c r="H80" s="3930"/>
      <c r="I80" s="3930"/>
      <c r="J80" s="3930"/>
      <c r="K80" s="3930"/>
      <c r="L80" s="3930"/>
    </row>
    <row r="81" spans="1:12">
      <c r="A81" s="3929"/>
      <c r="B81" s="3930"/>
      <c r="C81" s="3930"/>
      <c r="D81" s="3930"/>
      <c r="E81" s="3930"/>
      <c r="F81" s="3930"/>
      <c r="G81" s="3930"/>
      <c r="H81" s="3930"/>
      <c r="I81" s="3930"/>
      <c r="J81" s="3930"/>
      <c r="K81" s="3930"/>
      <c r="L81" s="3930"/>
    </row>
    <row r="82" spans="1:12">
      <c r="A82" s="3929"/>
      <c r="B82" s="3930"/>
      <c r="C82" s="3930"/>
      <c r="D82" s="3930"/>
      <c r="E82" s="3930"/>
      <c r="F82" s="3930"/>
      <c r="G82" s="3930"/>
      <c r="H82" s="3930"/>
      <c r="I82" s="3930"/>
      <c r="J82" s="3930"/>
      <c r="K82" s="3930"/>
      <c r="L82" s="3930"/>
    </row>
    <row r="83" spans="1:12">
      <c r="A83" s="3929"/>
      <c r="B83" s="3930"/>
      <c r="C83" s="3930"/>
      <c r="D83" s="3930"/>
      <c r="E83" s="3930"/>
      <c r="F83" s="3930"/>
      <c r="G83" s="3930"/>
      <c r="H83" s="3930"/>
      <c r="I83" s="3930"/>
      <c r="J83" s="3930"/>
      <c r="K83" s="3930"/>
      <c r="L83" s="3930"/>
    </row>
    <row r="84" spans="1:12">
      <c r="A84" s="3929"/>
      <c r="B84" s="3930"/>
      <c r="C84" s="3930"/>
      <c r="D84" s="3930"/>
      <c r="E84" s="3930"/>
      <c r="F84" s="3930"/>
      <c r="G84" s="3930"/>
      <c r="H84" s="3930"/>
      <c r="I84" s="3930"/>
      <c r="J84" s="3930"/>
      <c r="K84" s="3930"/>
      <c r="L84" s="3930"/>
    </row>
    <row r="85" spans="1:12">
      <c r="A85" s="3929"/>
      <c r="B85" s="3930"/>
      <c r="C85" s="3930"/>
      <c r="D85" s="3930"/>
      <c r="E85" s="3930"/>
      <c r="F85" s="3930"/>
      <c r="G85" s="3930"/>
      <c r="H85" s="3930"/>
      <c r="I85" s="3930"/>
      <c r="J85" s="3930"/>
      <c r="K85" s="3930"/>
      <c r="L85" s="3930"/>
    </row>
    <row r="86" spans="1:12">
      <c r="A86" s="3929"/>
      <c r="B86" s="3930"/>
      <c r="C86" s="3930"/>
      <c r="D86" s="3930"/>
      <c r="E86" s="3930"/>
      <c r="F86" s="3930"/>
      <c r="G86" s="3930"/>
      <c r="H86" s="3930"/>
      <c r="I86" s="3930"/>
      <c r="J86" s="3930"/>
      <c r="K86" s="3930"/>
      <c r="L86" s="3930"/>
    </row>
    <row r="87" spans="1:12">
      <c r="A87" s="3929"/>
      <c r="B87" s="3930"/>
      <c r="C87" s="3930"/>
      <c r="D87" s="3930"/>
      <c r="E87" s="3930"/>
      <c r="F87" s="3930"/>
      <c r="G87" s="3930"/>
      <c r="H87" s="3930"/>
      <c r="I87" s="3930"/>
      <c r="J87" s="3930"/>
      <c r="K87" s="3930"/>
      <c r="L87" s="3930"/>
    </row>
    <row r="88" spans="1:12">
      <c r="A88" s="3929"/>
      <c r="B88" s="3930"/>
      <c r="C88" s="3930"/>
      <c r="D88" s="3930"/>
      <c r="E88" s="3930"/>
      <c r="F88" s="3930"/>
      <c r="G88" s="3930"/>
      <c r="H88" s="3930"/>
      <c r="I88" s="3930"/>
      <c r="J88" s="3930"/>
      <c r="K88" s="3930"/>
      <c r="L88" s="3930"/>
    </row>
    <row r="89" spans="1:12">
      <c r="A89" s="3929"/>
      <c r="B89" s="3930"/>
      <c r="C89" s="3930"/>
      <c r="D89" s="3930"/>
      <c r="E89" s="3930"/>
      <c r="F89" s="3930"/>
      <c r="G89" s="3930"/>
      <c r="H89" s="3930"/>
      <c r="I89" s="3930"/>
      <c r="J89" s="3930"/>
      <c r="K89" s="3930"/>
      <c r="L89" s="3930"/>
    </row>
    <row r="90" spans="1:12">
      <c r="A90" s="3929"/>
      <c r="B90" s="3930"/>
      <c r="C90" s="3930"/>
      <c r="D90" s="3930"/>
      <c r="E90" s="3930"/>
      <c r="F90" s="3930"/>
      <c r="G90" s="3930"/>
      <c r="H90" s="3930"/>
      <c r="I90" s="3930"/>
      <c r="J90" s="3930"/>
      <c r="K90" s="3930"/>
      <c r="L90" s="3930"/>
    </row>
    <row r="91" spans="1:12">
      <c r="A91" s="3929"/>
      <c r="B91" s="3930"/>
      <c r="C91" s="3930"/>
      <c r="D91" s="3930"/>
      <c r="E91" s="3930"/>
      <c r="F91" s="3930"/>
      <c r="G91" s="3930"/>
      <c r="H91" s="3930"/>
      <c r="I91" s="3930"/>
      <c r="J91" s="3930"/>
      <c r="K91" s="3930"/>
      <c r="L91" s="3930"/>
    </row>
    <row r="92" spans="1:12">
      <c r="A92" s="3929"/>
      <c r="B92" s="3930"/>
      <c r="C92" s="3930"/>
      <c r="D92" s="3930"/>
      <c r="E92" s="3930"/>
      <c r="F92" s="3930"/>
      <c r="G92" s="3930"/>
      <c r="H92" s="3930"/>
      <c r="I92" s="3930"/>
      <c r="J92" s="3930"/>
      <c r="K92" s="3930"/>
      <c r="L92" s="3930"/>
    </row>
    <row r="93" spans="1:12">
      <c r="A93" s="3929"/>
      <c r="B93" s="3930"/>
      <c r="C93" s="3930"/>
      <c r="D93" s="3930"/>
      <c r="E93" s="3930"/>
      <c r="F93" s="3930"/>
      <c r="G93" s="3930"/>
      <c r="H93" s="3930"/>
      <c r="I93" s="3930"/>
      <c r="J93" s="3930"/>
      <c r="K93" s="3930"/>
      <c r="L93" s="3930"/>
    </row>
    <row r="94" spans="1:12">
      <c r="A94" s="3929"/>
      <c r="B94" s="3930"/>
      <c r="C94" s="3930"/>
      <c r="D94" s="3930"/>
      <c r="E94" s="3930"/>
      <c r="F94" s="3930"/>
      <c r="G94" s="3930"/>
      <c r="H94" s="3930"/>
      <c r="I94" s="3930"/>
      <c r="J94" s="3930"/>
      <c r="K94" s="3930"/>
      <c r="L94" s="3930"/>
    </row>
    <row r="95" spans="1:12">
      <c r="A95" s="3929"/>
      <c r="B95" s="3930"/>
      <c r="C95" s="3930"/>
      <c r="D95" s="3930"/>
      <c r="E95" s="3930"/>
      <c r="F95" s="3930"/>
      <c r="G95" s="3930"/>
      <c r="H95" s="3930"/>
      <c r="I95" s="3930"/>
      <c r="J95" s="3930"/>
      <c r="K95" s="3930"/>
      <c r="L95" s="3930"/>
    </row>
    <row r="96" spans="1:12">
      <c r="A96" s="3929"/>
      <c r="B96" s="3930"/>
      <c r="C96" s="3930"/>
      <c r="D96" s="3930"/>
      <c r="E96" s="3930"/>
      <c r="F96" s="3930"/>
      <c r="G96" s="3930"/>
      <c r="H96" s="3930"/>
      <c r="I96" s="3930"/>
      <c r="J96" s="3930"/>
      <c r="K96" s="3930"/>
      <c r="L96" s="3930"/>
    </row>
  </sheetData>
  <mergeCells count="1112">
    <mergeCell ref="J49"/>
    <mergeCell ref="K49"/>
    <mergeCell ref="L49"/>
    <mergeCell ref="A49"/>
    <mergeCell ref="B49"/>
    <mergeCell ref="C49"/>
    <mergeCell ref="D49"/>
    <mergeCell ref="E49"/>
    <mergeCell ref="F49"/>
    <mergeCell ref="G49"/>
    <mergeCell ref="H49"/>
    <mergeCell ref="I49"/>
    <mergeCell ref="J50"/>
    <mergeCell ref="K50"/>
    <mergeCell ref="L50"/>
    <mergeCell ref="A51"/>
    <mergeCell ref="B51"/>
    <mergeCell ref="C51"/>
    <mergeCell ref="D51"/>
    <mergeCell ref="E51"/>
    <mergeCell ref="F51"/>
    <mergeCell ref="G51"/>
    <mergeCell ref="H51"/>
    <mergeCell ref="I51"/>
    <mergeCell ref="J51"/>
    <mergeCell ref="K51"/>
    <mergeCell ref="L51"/>
    <mergeCell ref="A50"/>
    <mergeCell ref="B50"/>
    <mergeCell ref="C50"/>
    <mergeCell ref="D50"/>
    <mergeCell ref="E50"/>
    <mergeCell ref="F50"/>
    <mergeCell ref="G50"/>
    <mergeCell ref="H50"/>
    <mergeCell ref="I50"/>
    <mergeCell ref="J52"/>
    <mergeCell ref="K52"/>
    <mergeCell ref="L52"/>
    <mergeCell ref="A53"/>
    <mergeCell ref="B53"/>
    <mergeCell ref="C53"/>
    <mergeCell ref="D53"/>
    <mergeCell ref="E53"/>
    <mergeCell ref="F53"/>
    <mergeCell ref="G53"/>
    <mergeCell ref="H53"/>
    <mergeCell ref="I53"/>
    <mergeCell ref="J53"/>
    <mergeCell ref="K53"/>
    <mergeCell ref="L53"/>
    <mergeCell ref="A52"/>
    <mergeCell ref="B52"/>
    <mergeCell ref="C52"/>
    <mergeCell ref="D52"/>
    <mergeCell ref="E52"/>
    <mergeCell ref="F52"/>
    <mergeCell ref="G52"/>
    <mergeCell ref="H52"/>
    <mergeCell ref="I52"/>
    <mergeCell ref="J54"/>
    <mergeCell ref="K54"/>
    <mergeCell ref="L54"/>
    <mergeCell ref="A55"/>
    <mergeCell ref="B55"/>
    <mergeCell ref="C55"/>
    <mergeCell ref="D55"/>
    <mergeCell ref="E55"/>
    <mergeCell ref="F55"/>
    <mergeCell ref="G55"/>
    <mergeCell ref="H55"/>
    <mergeCell ref="I55"/>
    <mergeCell ref="J55"/>
    <mergeCell ref="K55"/>
    <mergeCell ref="L55"/>
    <mergeCell ref="A54"/>
    <mergeCell ref="B54"/>
    <mergeCell ref="C54"/>
    <mergeCell ref="D54"/>
    <mergeCell ref="E54"/>
    <mergeCell ref="F54"/>
    <mergeCell ref="G54"/>
    <mergeCell ref="H54"/>
    <mergeCell ref="I54"/>
    <mergeCell ref="J56"/>
    <mergeCell ref="K56"/>
    <mergeCell ref="L56"/>
    <mergeCell ref="A57"/>
    <mergeCell ref="B57"/>
    <mergeCell ref="C57"/>
    <mergeCell ref="D57"/>
    <mergeCell ref="E57"/>
    <mergeCell ref="F57"/>
    <mergeCell ref="G57"/>
    <mergeCell ref="H57"/>
    <mergeCell ref="I57"/>
    <mergeCell ref="J57"/>
    <mergeCell ref="K57"/>
    <mergeCell ref="L57"/>
    <mergeCell ref="A56"/>
    <mergeCell ref="B56"/>
    <mergeCell ref="C56"/>
    <mergeCell ref="D56"/>
    <mergeCell ref="E56"/>
    <mergeCell ref="F56"/>
    <mergeCell ref="G56"/>
    <mergeCell ref="H56"/>
    <mergeCell ref="I56"/>
    <mergeCell ref="J58"/>
    <mergeCell ref="K58"/>
    <mergeCell ref="L58"/>
    <mergeCell ref="A59"/>
    <mergeCell ref="B59"/>
    <mergeCell ref="C59"/>
    <mergeCell ref="D59"/>
    <mergeCell ref="E59"/>
    <mergeCell ref="F59"/>
    <mergeCell ref="G59"/>
    <mergeCell ref="H59"/>
    <mergeCell ref="I59"/>
    <mergeCell ref="J59"/>
    <mergeCell ref="K59"/>
    <mergeCell ref="L59"/>
    <mergeCell ref="A58"/>
    <mergeCell ref="B58"/>
    <mergeCell ref="C58"/>
    <mergeCell ref="D58"/>
    <mergeCell ref="E58"/>
    <mergeCell ref="F58"/>
    <mergeCell ref="G58"/>
    <mergeCell ref="H58"/>
    <mergeCell ref="I58"/>
    <mergeCell ref="J60"/>
    <mergeCell ref="K60"/>
    <mergeCell ref="L60"/>
    <mergeCell ref="A61"/>
    <mergeCell ref="B61"/>
    <mergeCell ref="C61"/>
    <mergeCell ref="D61"/>
    <mergeCell ref="E61"/>
    <mergeCell ref="F61"/>
    <mergeCell ref="G61"/>
    <mergeCell ref="H61"/>
    <mergeCell ref="I61"/>
    <mergeCell ref="J61"/>
    <mergeCell ref="K61"/>
    <mergeCell ref="L61"/>
    <mergeCell ref="A60"/>
    <mergeCell ref="B60"/>
    <mergeCell ref="C60"/>
    <mergeCell ref="D60"/>
    <mergeCell ref="E60"/>
    <mergeCell ref="F60"/>
    <mergeCell ref="G60"/>
    <mergeCell ref="H60"/>
    <mergeCell ref="I60"/>
    <mergeCell ref="J62"/>
    <mergeCell ref="K62"/>
    <mergeCell ref="L62"/>
    <mergeCell ref="A63"/>
    <mergeCell ref="B63"/>
    <mergeCell ref="C63"/>
    <mergeCell ref="D63"/>
    <mergeCell ref="E63"/>
    <mergeCell ref="F63"/>
    <mergeCell ref="G63"/>
    <mergeCell ref="H63"/>
    <mergeCell ref="I63"/>
    <mergeCell ref="J63"/>
    <mergeCell ref="K63"/>
    <mergeCell ref="L63"/>
    <mergeCell ref="A62"/>
    <mergeCell ref="B62"/>
    <mergeCell ref="C62"/>
    <mergeCell ref="D62"/>
    <mergeCell ref="E62"/>
    <mergeCell ref="F62"/>
    <mergeCell ref="G62"/>
    <mergeCell ref="H62"/>
    <mergeCell ref="I62"/>
    <mergeCell ref="J64"/>
    <mergeCell ref="K64"/>
    <mergeCell ref="L64"/>
    <mergeCell ref="A65"/>
    <mergeCell ref="B65"/>
    <mergeCell ref="C65"/>
    <mergeCell ref="D65"/>
    <mergeCell ref="E65"/>
    <mergeCell ref="F65"/>
    <mergeCell ref="G65"/>
    <mergeCell ref="H65"/>
    <mergeCell ref="I65"/>
    <mergeCell ref="J65"/>
    <mergeCell ref="K65"/>
    <mergeCell ref="L65"/>
    <mergeCell ref="A64"/>
    <mergeCell ref="B64"/>
    <mergeCell ref="C64"/>
    <mergeCell ref="D64"/>
    <mergeCell ref="E64"/>
    <mergeCell ref="F64"/>
    <mergeCell ref="G64"/>
    <mergeCell ref="H64"/>
    <mergeCell ref="I64"/>
    <mergeCell ref="J66"/>
    <mergeCell ref="K66"/>
    <mergeCell ref="L66"/>
    <mergeCell ref="A67"/>
    <mergeCell ref="B67"/>
    <mergeCell ref="C67"/>
    <mergeCell ref="D67"/>
    <mergeCell ref="E67"/>
    <mergeCell ref="F67"/>
    <mergeCell ref="G67"/>
    <mergeCell ref="H67"/>
    <mergeCell ref="I67"/>
    <mergeCell ref="J67"/>
    <mergeCell ref="K67"/>
    <mergeCell ref="L67"/>
    <mergeCell ref="A66"/>
    <mergeCell ref="B66"/>
    <mergeCell ref="C66"/>
    <mergeCell ref="D66"/>
    <mergeCell ref="E66"/>
    <mergeCell ref="F66"/>
    <mergeCell ref="G66"/>
    <mergeCell ref="H66"/>
    <mergeCell ref="I66"/>
    <mergeCell ref="J68"/>
    <mergeCell ref="K68"/>
    <mergeCell ref="L68"/>
    <mergeCell ref="A69"/>
    <mergeCell ref="B69"/>
    <mergeCell ref="C69"/>
    <mergeCell ref="D69"/>
    <mergeCell ref="E69"/>
    <mergeCell ref="F69"/>
    <mergeCell ref="G69"/>
    <mergeCell ref="H69"/>
    <mergeCell ref="I69"/>
    <mergeCell ref="J69"/>
    <mergeCell ref="K69"/>
    <mergeCell ref="L69"/>
    <mergeCell ref="A68"/>
    <mergeCell ref="B68"/>
    <mergeCell ref="C68"/>
    <mergeCell ref="D68"/>
    <mergeCell ref="E68"/>
    <mergeCell ref="F68"/>
    <mergeCell ref="G68"/>
    <mergeCell ref="H68"/>
    <mergeCell ref="I68"/>
    <mergeCell ref="J70"/>
    <mergeCell ref="K70"/>
    <mergeCell ref="L70"/>
    <mergeCell ref="A71"/>
    <mergeCell ref="B71"/>
    <mergeCell ref="C71"/>
    <mergeCell ref="D71"/>
    <mergeCell ref="E71"/>
    <mergeCell ref="F71"/>
    <mergeCell ref="G71"/>
    <mergeCell ref="H71"/>
    <mergeCell ref="I71"/>
    <mergeCell ref="J71"/>
    <mergeCell ref="K71"/>
    <mergeCell ref="L71"/>
    <mergeCell ref="A70"/>
    <mergeCell ref="B70"/>
    <mergeCell ref="C70"/>
    <mergeCell ref="D70"/>
    <mergeCell ref="E70"/>
    <mergeCell ref="F70"/>
    <mergeCell ref="G70"/>
    <mergeCell ref="H70"/>
    <mergeCell ref="I70"/>
    <mergeCell ref="J72"/>
    <mergeCell ref="K72"/>
    <mergeCell ref="L72"/>
    <mergeCell ref="A73"/>
    <mergeCell ref="B73"/>
    <mergeCell ref="C73"/>
    <mergeCell ref="D73"/>
    <mergeCell ref="E73"/>
    <mergeCell ref="F73"/>
    <mergeCell ref="G73"/>
    <mergeCell ref="H73"/>
    <mergeCell ref="I73"/>
    <mergeCell ref="J73"/>
    <mergeCell ref="K73"/>
    <mergeCell ref="L73"/>
    <mergeCell ref="A72"/>
    <mergeCell ref="B72"/>
    <mergeCell ref="C72"/>
    <mergeCell ref="D72"/>
    <mergeCell ref="E72"/>
    <mergeCell ref="F72"/>
    <mergeCell ref="G72"/>
    <mergeCell ref="H72"/>
    <mergeCell ref="I72"/>
    <mergeCell ref="J74"/>
    <mergeCell ref="K74"/>
    <mergeCell ref="L74"/>
    <mergeCell ref="A75"/>
    <mergeCell ref="B75"/>
    <mergeCell ref="C75"/>
    <mergeCell ref="D75"/>
    <mergeCell ref="E75"/>
    <mergeCell ref="F75"/>
    <mergeCell ref="G75"/>
    <mergeCell ref="H75"/>
    <mergeCell ref="I75"/>
    <mergeCell ref="J75"/>
    <mergeCell ref="K75"/>
    <mergeCell ref="L75"/>
    <mergeCell ref="A74"/>
    <mergeCell ref="B74"/>
    <mergeCell ref="C74"/>
    <mergeCell ref="D74"/>
    <mergeCell ref="E74"/>
    <mergeCell ref="F74"/>
    <mergeCell ref="G74"/>
    <mergeCell ref="H74"/>
    <mergeCell ref="I74"/>
    <mergeCell ref="J76"/>
    <mergeCell ref="K76"/>
    <mergeCell ref="L76"/>
    <mergeCell ref="A77"/>
    <mergeCell ref="B77"/>
    <mergeCell ref="C77"/>
    <mergeCell ref="D77"/>
    <mergeCell ref="E77"/>
    <mergeCell ref="F77"/>
    <mergeCell ref="G77"/>
    <mergeCell ref="H77"/>
    <mergeCell ref="I77"/>
    <mergeCell ref="J77"/>
    <mergeCell ref="K77"/>
    <mergeCell ref="L77"/>
    <mergeCell ref="A76"/>
    <mergeCell ref="B76"/>
    <mergeCell ref="C76"/>
    <mergeCell ref="D76"/>
    <mergeCell ref="E76"/>
    <mergeCell ref="F76"/>
    <mergeCell ref="G76"/>
    <mergeCell ref="H76"/>
    <mergeCell ref="I76"/>
    <mergeCell ref="J78"/>
    <mergeCell ref="K78"/>
    <mergeCell ref="L78"/>
    <mergeCell ref="A79"/>
    <mergeCell ref="B79"/>
    <mergeCell ref="C79"/>
    <mergeCell ref="D79"/>
    <mergeCell ref="E79"/>
    <mergeCell ref="F79"/>
    <mergeCell ref="G79"/>
    <mergeCell ref="H79"/>
    <mergeCell ref="I79"/>
    <mergeCell ref="J79"/>
    <mergeCell ref="K79"/>
    <mergeCell ref="L79"/>
    <mergeCell ref="A78"/>
    <mergeCell ref="B78"/>
    <mergeCell ref="C78"/>
    <mergeCell ref="D78"/>
    <mergeCell ref="E78"/>
    <mergeCell ref="F78"/>
    <mergeCell ref="G78"/>
    <mergeCell ref="H78"/>
    <mergeCell ref="I78"/>
    <mergeCell ref="J80"/>
    <mergeCell ref="K80"/>
    <mergeCell ref="L80"/>
    <mergeCell ref="A81"/>
    <mergeCell ref="B81"/>
    <mergeCell ref="C81"/>
    <mergeCell ref="D81"/>
    <mergeCell ref="E81"/>
    <mergeCell ref="F81"/>
    <mergeCell ref="G81"/>
    <mergeCell ref="H81"/>
    <mergeCell ref="I81"/>
    <mergeCell ref="J81"/>
    <mergeCell ref="K81"/>
    <mergeCell ref="L81"/>
    <mergeCell ref="A80"/>
    <mergeCell ref="B80"/>
    <mergeCell ref="C80"/>
    <mergeCell ref="D80"/>
    <mergeCell ref="E80"/>
    <mergeCell ref="F80"/>
    <mergeCell ref="G80"/>
    <mergeCell ref="H80"/>
    <mergeCell ref="I80"/>
    <mergeCell ref="J82"/>
    <mergeCell ref="K82"/>
    <mergeCell ref="L82"/>
    <mergeCell ref="A83"/>
    <mergeCell ref="B83"/>
    <mergeCell ref="C83"/>
    <mergeCell ref="D83"/>
    <mergeCell ref="E83"/>
    <mergeCell ref="F83"/>
    <mergeCell ref="G83"/>
    <mergeCell ref="H83"/>
    <mergeCell ref="I83"/>
    <mergeCell ref="J83"/>
    <mergeCell ref="K83"/>
    <mergeCell ref="L83"/>
    <mergeCell ref="A82"/>
    <mergeCell ref="B82"/>
    <mergeCell ref="C82"/>
    <mergeCell ref="D82"/>
    <mergeCell ref="E82"/>
    <mergeCell ref="F82"/>
    <mergeCell ref="G82"/>
    <mergeCell ref="H82"/>
    <mergeCell ref="I82"/>
    <mergeCell ref="K84"/>
    <mergeCell ref="L84"/>
    <mergeCell ref="A85"/>
    <mergeCell ref="B85"/>
    <mergeCell ref="C85"/>
    <mergeCell ref="D85"/>
    <mergeCell ref="E85"/>
    <mergeCell ref="F85"/>
    <mergeCell ref="G85"/>
    <mergeCell ref="H85"/>
    <mergeCell ref="I85"/>
    <mergeCell ref="J85"/>
    <mergeCell ref="K85"/>
    <mergeCell ref="L85"/>
    <mergeCell ref="A84"/>
    <mergeCell ref="B84"/>
    <mergeCell ref="C84"/>
    <mergeCell ref="D84"/>
    <mergeCell ref="E84"/>
    <mergeCell ref="F84"/>
    <mergeCell ref="G84"/>
    <mergeCell ref="H84"/>
    <mergeCell ref="I84"/>
    <mergeCell ref="A87"/>
    <mergeCell ref="B87"/>
    <mergeCell ref="C87"/>
    <mergeCell ref="D87"/>
    <mergeCell ref="E87"/>
    <mergeCell ref="F87"/>
    <mergeCell ref="G87"/>
    <mergeCell ref="H87"/>
    <mergeCell ref="I87"/>
    <mergeCell ref="J87"/>
    <mergeCell ref="K87"/>
    <mergeCell ref="L87"/>
    <mergeCell ref="A86"/>
    <mergeCell ref="B86"/>
    <mergeCell ref="C86"/>
    <mergeCell ref="D86"/>
    <mergeCell ref="E86"/>
    <mergeCell ref="F86"/>
    <mergeCell ref="G86"/>
    <mergeCell ref="H86"/>
    <mergeCell ref="I86"/>
    <mergeCell ref="A89"/>
    <mergeCell ref="B89"/>
    <mergeCell ref="C89"/>
    <mergeCell ref="D89"/>
    <mergeCell ref="E89"/>
    <mergeCell ref="F89"/>
    <mergeCell ref="G89"/>
    <mergeCell ref="H89"/>
    <mergeCell ref="I89"/>
    <mergeCell ref="J89"/>
    <mergeCell ref="K89"/>
    <mergeCell ref="L89"/>
    <mergeCell ref="A88"/>
    <mergeCell ref="B88"/>
    <mergeCell ref="C88"/>
    <mergeCell ref="D88"/>
    <mergeCell ref="E88"/>
    <mergeCell ref="F88"/>
    <mergeCell ref="G88"/>
    <mergeCell ref="H88"/>
    <mergeCell ref="I88"/>
    <mergeCell ref="A91"/>
    <mergeCell ref="B91"/>
    <mergeCell ref="C91"/>
    <mergeCell ref="D91"/>
    <mergeCell ref="E91"/>
    <mergeCell ref="F91"/>
    <mergeCell ref="G91"/>
    <mergeCell ref="H91"/>
    <mergeCell ref="I91"/>
    <mergeCell ref="J91"/>
    <mergeCell ref="K91"/>
    <mergeCell ref="L91"/>
    <mergeCell ref="A90"/>
    <mergeCell ref="B90"/>
    <mergeCell ref="C90"/>
    <mergeCell ref="D90"/>
    <mergeCell ref="E90"/>
    <mergeCell ref="F90"/>
    <mergeCell ref="G90"/>
    <mergeCell ref="H90"/>
    <mergeCell ref="I90"/>
    <mergeCell ref="A93"/>
    <mergeCell ref="B93"/>
    <mergeCell ref="C93"/>
    <mergeCell ref="D93"/>
    <mergeCell ref="E93"/>
    <mergeCell ref="F93"/>
    <mergeCell ref="G93"/>
    <mergeCell ref="H93"/>
    <mergeCell ref="I93"/>
    <mergeCell ref="J93"/>
    <mergeCell ref="K93"/>
    <mergeCell ref="L93"/>
    <mergeCell ref="A92"/>
    <mergeCell ref="B92"/>
    <mergeCell ref="C92"/>
    <mergeCell ref="D92"/>
    <mergeCell ref="E92"/>
    <mergeCell ref="F92"/>
    <mergeCell ref="G92"/>
    <mergeCell ref="H92"/>
    <mergeCell ref="I92"/>
    <mergeCell ref="F94"/>
    <mergeCell ref="G94"/>
    <mergeCell ref="H94"/>
    <mergeCell ref="I94"/>
    <mergeCell ref="J17"/>
    <mergeCell ref="K17"/>
    <mergeCell ref="L17"/>
    <mergeCell ref="B17"/>
    <mergeCell ref="C17"/>
    <mergeCell ref="D17"/>
    <mergeCell ref="E17"/>
    <mergeCell ref="F17"/>
    <mergeCell ref="G17"/>
    <mergeCell ref="H17"/>
    <mergeCell ref="I17"/>
    <mergeCell ref="J18"/>
    <mergeCell ref="K18"/>
    <mergeCell ref="L18"/>
    <mergeCell ref="B20"/>
    <mergeCell ref="J92"/>
    <mergeCell ref="K92"/>
    <mergeCell ref="L92"/>
    <mergeCell ref="J90"/>
    <mergeCell ref="K90"/>
    <mergeCell ref="L90"/>
    <mergeCell ref="J88"/>
    <mergeCell ref="K88"/>
    <mergeCell ref="L88"/>
    <mergeCell ref="J86"/>
    <mergeCell ref="K86"/>
    <mergeCell ref="L86"/>
    <mergeCell ref="J84"/>
    <mergeCell ref="J96"/>
    <mergeCell ref="K96"/>
    <mergeCell ref="L96"/>
    <mergeCell ref="A96"/>
    <mergeCell ref="B96"/>
    <mergeCell ref="C96"/>
    <mergeCell ref="D96"/>
    <mergeCell ref="E96"/>
    <mergeCell ref="F96"/>
    <mergeCell ref="G96"/>
    <mergeCell ref="H96"/>
    <mergeCell ref="I96"/>
    <mergeCell ref="J94"/>
    <mergeCell ref="K94"/>
    <mergeCell ref="L94"/>
    <mergeCell ref="A95"/>
    <mergeCell ref="B95"/>
    <mergeCell ref="C95"/>
    <mergeCell ref="D95"/>
    <mergeCell ref="E95"/>
    <mergeCell ref="F95"/>
    <mergeCell ref="G95"/>
    <mergeCell ref="H95"/>
    <mergeCell ref="I95"/>
    <mergeCell ref="J95"/>
    <mergeCell ref="K95"/>
    <mergeCell ref="L95"/>
    <mergeCell ref="A94"/>
    <mergeCell ref="B94"/>
    <mergeCell ref="C94"/>
    <mergeCell ref="D94"/>
    <mergeCell ref="E94"/>
    <mergeCell ref="C20"/>
    <mergeCell ref="D20"/>
    <mergeCell ref="E20"/>
    <mergeCell ref="F20"/>
    <mergeCell ref="G20"/>
    <mergeCell ref="H20"/>
    <mergeCell ref="I20"/>
    <mergeCell ref="J20"/>
    <mergeCell ref="K20"/>
    <mergeCell ref="L20"/>
    <mergeCell ref="B18"/>
    <mergeCell ref="C18"/>
    <mergeCell ref="D18"/>
    <mergeCell ref="E18"/>
    <mergeCell ref="F18"/>
    <mergeCell ref="G18"/>
    <mergeCell ref="H18"/>
    <mergeCell ref="I18"/>
    <mergeCell ref="J21"/>
    <mergeCell ref="K21"/>
    <mergeCell ref="L21"/>
    <mergeCell ref="B22"/>
    <mergeCell ref="C22"/>
    <mergeCell ref="D22"/>
    <mergeCell ref="E22"/>
    <mergeCell ref="F22"/>
    <mergeCell ref="G22"/>
    <mergeCell ref="H22"/>
    <mergeCell ref="I22"/>
    <mergeCell ref="J22"/>
    <mergeCell ref="K22"/>
    <mergeCell ref="L22"/>
    <mergeCell ref="B21"/>
    <mergeCell ref="C21"/>
    <mergeCell ref="D21"/>
    <mergeCell ref="E21"/>
    <mergeCell ref="F21"/>
    <mergeCell ref="G21"/>
    <mergeCell ref="H21"/>
    <mergeCell ref="I21"/>
    <mergeCell ref="J23"/>
    <mergeCell ref="K23"/>
    <mergeCell ref="L23"/>
    <mergeCell ref="B24"/>
    <mergeCell ref="C24"/>
    <mergeCell ref="D24"/>
    <mergeCell ref="E24"/>
    <mergeCell ref="F24"/>
    <mergeCell ref="G24"/>
    <mergeCell ref="H24"/>
    <mergeCell ref="I24"/>
    <mergeCell ref="J24"/>
    <mergeCell ref="K24"/>
    <mergeCell ref="L24"/>
    <mergeCell ref="B23"/>
    <mergeCell ref="C23"/>
    <mergeCell ref="D23"/>
    <mergeCell ref="E23"/>
    <mergeCell ref="F23"/>
    <mergeCell ref="G23"/>
    <mergeCell ref="H23"/>
    <mergeCell ref="I23"/>
    <mergeCell ref="J25"/>
    <mergeCell ref="K25"/>
    <mergeCell ref="L25"/>
    <mergeCell ref="B26"/>
    <mergeCell ref="C26"/>
    <mergeCell ref="D26"/>
    <mergeCell ref="E26"/>
    <mergeCell ref="F26"/>
    <mergeCell ref="G26"/>
    <mergeCell ref="H26"/>
    <mergeCell ref="I26"/>
    <mergeCell ref="J26"/>
    <mergeCell ref="K26"/>
    <mergeCell ref="L26"/>
    <mergeCell ref="B25"/>
    <mergeCell ref="C25"/>
    <mergeCell ref="D25"/>
    <mergeCell ref="E25"/>
    <mergeCell ref="F25"/>
    <mergeCell ref="G25"/>
    <mergeCell ref="H25"/>
    <mergeCell ref="I25"/>
    <mergeCell ref="J27"/>
    <mergeCell ref="K27"/>
    <mergeCell ref="L27"/>
    <mergeCell ref="B28"/>
    <mergeCell ref="C28"/>
    <mergeCell ref="D28"/>
    <mergeCell ref="E28"/>
    <mergeCell ref="F28"/>
    <mergeCell ref="G28"/>
    <mergeCell ref="H28"/>
    <mergeCell ref="I28"/>
    <mergeCell ref="J28"/>
    <mergeCell ref="K28"/>
    <mergeCell ref="L28"/>
    <mergeCell ref="B27"/>
    <mergeCell ref="C27"/>
    <mergeCell ref="D27"/>
    <mergeCell ref="E27"/>
    <mergeCell ref="F27"/>
    <mergeCell ref="G27"/>
    <mergeCell ref="H27"/>
    <mergeCell ref="I27"/>
    <mergeCell ref="J29"/>
    <mergeCell ref="K29"/>
    <mergeCell ref="L29"/>
    <mergeCell ref="B30"/>
    <mergeCell ref="C30"/>
    <mergeCell ref="D30"/>
    <mergeCell ref="E30"/>
    <mergeCell ref="F30"/>
    <mergeCell ref="G30"/>
    <mergeCell ref="H30"/>
    <mergeCell ref="I30"/>
    <mergeCell ref="J30"/>
    <mergeCell ref="K30"/>
    <mergeCell ref="L30"/>
    <mergeCell ref="B29"/>
    <mergeCell ref="C29"/>
    <mergeCell ref="D29"/>
    <mergeCell ref="E29"/>
    <mergeCell ref="F29"/>
    <mergeCell ref="G29"/>
    <mergeCell ref="H29"/>
    <mergeCell ref="I29"/>
    <mergeCell ref="J31"/>
    <mergeCell ref="K31"/>
    <mergeCell ref="L31"/>
    <mergeCell ref="B32"/>
    <mergeCell ref="C32"/>
    <mergeCell ref="D32"/>
    <mergeCell ref="E32"/>
    <mergeCell ref="F32"/>
    <mergeCell ref="G32"/>
    <mergeCell ref="H32"/>
    <mergeCell ref="I32"/>
    <mergeCell ref="J32"/>
    <mergeCell ref="K32"/>
    <mergeCell ref="L32"/>
    <mergeCell ref="B31"/>
    <mergeCell ref="C31"/>
    <mergeCell ref="D31"/>
    <mergeCell ref="E31"/>
    <mergeCell ref="F31"/>
    <mergeCell ref="G31"/>
    <mergeCell ref="H31"/>
    <mergeCell ref="I31"/>
    <mergeCell ref="J33"/>
    <mergeCell ref="K33"/>
    <mergeCell ref="L33"/>
    <mergeCell ref="B34"/>
    <mergeCell ref="C34"/>
    <mergeCell ref="D34"/>
    <mergeCell ref="E34"/>
    <mergeCell ref="F34"/>
    <mergeCell ref="G34"/>
    <mergeCell ref="H34"/>
    <mergeCell ref="I34"/>
    <mergeCell ref="J34"/>
    <mergeCell ref="K34"/>
    <mergeCell ref="L34"/>
    <mergeCell ref="B33"/>
    <mergeCell ref="C33"/>
    <mergeCell ref="D33"/>
    <mergeCell ref="E33"/>
    <mergeCell ref="F33"/>
    <mergeCell ref="G33"/>
    <mergeCell ref="H33"/>
    <mergeCell ref="I33"/>
    <mergeCell ref="J35"/>
    <mergeCell ref="K35"/>
    <mergeCell ref="L35"/>
    <mergeCell ref="A36"/>
    <mergeCell ref="B36"/>
    <mergeCell ref="C36"/>
    <mergeCell ref="D36"/>
    <mergeCell ref="E36"/>
    <mergeCell ref="F36"/>
    <mergeCell ref="G36"/>
    <mergeCell ref="H36"/>
    <mergeCell ref="I36"/>
    <mergeCell ref="J36"/>
    <mergeCell ref="K36"/>
    <mergeCell ref="L36"/>
    <mergeCell ref="B35"/>
    <mergeCell ref="C35"/>
    <mergeCell ref="D35"/>
    <mergeCell ref="E35"/>
    <mergeCell ref="F35"/>
    <mergeCell ref="G35"/>
    <mergeCell ref="H35"/>
    <mergeCell ref="I35"/>
    <mergeCell ref="J37"/>
    <mergeCell ref="K37"/>
    <mergeCell ref="L37"/>
    <mergeCell ref="A38"/>
    <mergeCell ref="B38"/>
    <mergeCell ref="C38"/>
    <mergeCell ref="D38"/>
    <mergeCell ref="E38"/>
    <mergeCell ref="F38"/>
    <mergeCell ref="G38"/>
    <mergeCell ref="H38"/>
    <mergeCell ref="I38"/>
    <mergeCell ref="J38"/>
    <mergeCell ref="K38"/>
    <mergeCell ref="L38"/>
    <mergeCell ref="A37"/>
    <mergeCell ref="B37"/>
    <mergeCell ref="C37"/>
    <mergeCell ref="D37"/>
    <mergeCell ref="E37"/>
    <mergeCell ref="F37"/>
    <mergeCell ref="G37"/>
    <mergeCell ref="H37"/>
    <mergeCell ref="I37"/>
    <mergeCell ref="J39"/>
    <mergeCell ref="K39"/>
    <mergeCell ref="L39"/>
    <mergeCell ref="A40"/>
    <mergeCell ref="B40"/>
    <mergeCell ref="C40"/>
    <mergeCell ref="D40"/>
    <mergeCell ref="E40"/>
    <mergeCell ref="F40"/>
    <mergeCell ref="G40"/>
    <mergeCell ref="H40"/>
    <mergeCell ref="I40"/>
    <mergeCell ref="J40"/>
    <mergeCell ref="K40"/>
    <mergeCell ref="L40"/>
    <mergeCell ref="A39"/>
    <mergeCell ref="B39"/>
    <mergeCell ref="C39"/>
    <mergeCell ref="D39"/>
    <mergeCell ref="E39"/>
    <mergeCell ref="F39"/>
    <mergeCell ref="G39"/>
    <mergeCell ref="H39"/>
    <mergeCell ref="I39"/>
    <mergeCell ref="J41"/>
    <mergeCell ref="K41"/>
    <mergeCell ref="L41"/>
    <mergeCell ref="A42"/>
    <mergeCell ref="B42"/>
    <mergeCell ref="C42"/>
    <mergeCell ref="D42"/>
    <mergeCell ref="E42"/>
    <mergeCell ref="F42"/>
    <mergeCell ref="G42"/>
    <mergeCell ref="H42"/>
    <mergeCell ref="I42"/>
    <mergeCell ref="J42"/>
    <mergeCell ref="K42"/>
    <mergeCell ref="L42"/>
    <mergeCell ref="A41"/>
    <mergeCell ref="B41"/>
    <mergeCell ref="C41"/>
    <mergeCell ref="D41"/>
    <mergeCell ref="E41"/>
    <mergeCell ref="F41"/>
    <mergeCell ref="G41"/>
    <mergeCell ref="H41"/>
    <mergeCell ref="I41"/>
    <mergeCell ref="J43"/>
    <mergeCell ref="K43"/>
    <mergeCell ref="L43"/>
    <mergeCell ref="A44"/>
    <mergeCell ref="B44"/>
    <mergeCell ref="C44"/>
    <mergeCell ref="D44"/>
    <mergeCell ref="E44"/>
    <mergeCell ref="F44"/>
    <mergeCell ref="G44"/>
    <mergeCell ref="H44"/>
    <mergeCell ref="I44"/>
    <mergeCell ref="J44"/>
    <mergeCell ref="K44"/>
    <mergeCell ref="L44"/>
    <mergeCell ref="A43"/>
    <mergeCell ref="B43"/>
    <mergeCell ref="C43"/>
    <mergeCell ref="D43"/>
    <mergeCell ref="E43"/>
    <mergeCell ref="F43"/>
    <mergeCell ref="G43"/>
    <mergeCell ref="H43"/>
    <mergeCell ref="I43"/>
    <mergeCell ref="J45"/>
    <mergeCell ref="K45"/>
    <mergeCell ref="L45"/>
    <mergeCell ref="A46"/>
    <mergeCell ref="B46"/>
    <mergeCell ref="C46"/>
    <mergeCell ref="D46"/>
    <mergeCell ref="E46"/>
    <mergeCell ref="F46"/>
    <mergeCell ref="G46"/>
    <mergeCell ref="H46"/>
    <mergeCell ref="I46"/>
    <mergeCell ref="J46"/>
    <mergeCell ref="K46"/>
    <mergeCell ref="L46"/>
    <mergeCell ref="A45"/>
    <mergeCell ref="B45"/>
    <mergeCell ref="C45"/>
    <mergeCell ref="D45"/>
    <mergeCell ref="E45"/>
    <mergeCell ref="F45"/>
    <mergeCell ref="G45"/>
    <mergeCell ref="H45"/>
    <mergeCell ref="I45"/>
    <mergeCell ref="J47"/>
    <mergeCell ref="K47"/>
    <mergeCell ref="L47"/>
    <mergeCell ref="A48"/>
    <mergeCell ref="B48"/>
    <mergeCell ref="C48"/>
    <mergeCell ref="D48"/>
    <mergeCell ref="E48"/>
    <mergeCell ref="F48"/>
    <mergeCell ref="G48"/>
    <mergeCell ref="H48"/>
    <mergeCell ref="I48"/>
    <mergeCell ref="J48"/>
    <mergeCell ref="K48"/>
    <mergeCell ref="L48"/>
    <mergeCell ref="A47"/>
    <mergeCell ref="B47"/>
    <mergeCell ref="C47"/>
    <mergeCell ref="D47"/>
    <mergeCell ref="E47"/>
    <mergeCell ref="F47"/>
    <mergeCell ref="G47"/>
    <mergeCell ref="H47"/>
    <mergeCell ref="I47"/>
    <mergeCell ref="J1"/>
    <mergeCell ref="K1"/>
    <mergeCell ref="L1"/>
    <mergeCell ref="A2"/>
    <mergeCell ref="B2"/>
    <mergeCell ref="C2"/>
    <mergeCell ref="D2"/>
    <mergeCell ref="E2"/>
    <mergeCell ref="F2"/>
    <mergeCell ref="G2"/>
    <mergeCell ref="H2"/>
    <mergeCell ref="I2"/>
    <mergeCell ref="J2"/>
    <mergeCell ref="K2"/>
    <mergeCell ref="L2"/>
    <mergeCell ref="A1"/>
    <mergeCell ref="B1"/>
    <mergeCell ref="C1"/>
    <mergeCell ref="D1"/>
    <mergeCell ref="E1"/>
    <mergeCell ref="F1"/>
    <mergeCell ref="G1"/>
    <mergeCell ref="H1"/>
    <mergeCell ref="I1"/>
    <mergeCell ref="J3"/>
    <mergeCell ref="K3"/>
    <mergeCell ref="L3"/>
    <mergeCell ref="A4"/>
    <mergeCell ref="B4"/>
    <mergeCell ref="C4"/>
    <mergeCell ref="D4"/>
    <mergeCell ref="E4"/>
    <mergeCell ref="F4"/>
    <mergeCell ref="G4"/>
    <mergeCell ref="H4"/>
    <mergeCell ref="I4"/>
    <mergeCell ref="J4"/>
    <mergeCell ref="K4"/>
    <mergeCell ref="L4"/>
    <mergeCell ref="A3"/>
    <mergeCell ref="B3"/>
    <mergeCell ref="C3"/>
    <mergeCell ref="D3"/>
    <mergeCell ref="E3"/>
    <mergeCell ref="F3"/>
    <mergeCell ref="G3"/>
    <mergeCell ref="H3"/>
    <mergeCell ref="I3"/>
    <mergeCell ref="J5"/>
    <mergeCell ref="K5"/>
    <mergeCell ref="L5"/>
    <mergeCell ref="A6"/>
    <mergeCell ref="B6"/>
    <mergeCell ref="C6"/>
    <mergeCell ref="D6"/>
    <mergeCell ref="E6"/>
    <mergeCell ref="F6"/>
    <mergeCell ref="G6"/>
    <mergeCell ref="H6"/>
    <mergeCell ref="I6"/>
    <mergeCell ref="J6"/>
    <mergeCell ref="K6"/>
    <mergeCell ref="L6"/>
    <mergeCell ref="A5"/>
    <mergeCell ref="B5"/>
    <mergeCell ref="C5"/>
    <mergeCell ref="D5"/>
    <mergeCell ref="E5"/>
    <mergeCell ref="F5"/>
    <mergeCell ref="G5"/>
    <mergeCell ref="H5"/>
    <mergeCell ref="I5"/>
    <mergeCell ref="J7"/>
    <mergeCell ref="K7"/>
    <mergeCell ref="L7"/>
    <mergeCell ref="B8"/>
    <mergeCell ref="C8"/>
    <mergeCell ref="D8"/>
    <mergeCell ref="E8"/>
    <mergeCell ref="F8"/>
    <mergeCell ref="G8"/>
    <mergeCell ref="H8"/>
    <mergeCell ref="I8"/>
    <mergeCell ref="J8"/>
    <mergeCell ref="K8"/>
    <mergeCell ref="L8"/>
    <mergeCell ref="B7"/>
    <mergeCell ref="C7"/>
    <mergeCell ref="D7"/>
    <mergeCell ref="E7"/>
    <mergeCell ref="F7"/>
    <mergeCell ref="G7"/>
    <mergeCell ref="H7"/>
    <mergeCell ref="I7"/>
    <mergeCell ref="J9"/>
    <mergeCell ref="K9"/>
    <mergeCell ref="L9"/>
    <mergeCell ref="B10"/>
    <mergeCell ref="C10"/>
    <mergeCell ref="D10"/>
    <mergeCell ref="E10"/>
    <mergeCell ref="F10"/>
    <mergeCell ref="G10"/>
    <mergeCell ref="H10"/>
    <mergeCell ref="I10"/>
    <mergeCell ref="J10"/>
    <mergeCell ref="K10"/>
    <mergeCell ref="L10"/>
    <mergeCell ref="B9"/>
    <mergeCell ref="C9"/>
    <mergeCell ref="D9"/>
    <mergeCell ref="E9"/>
    <mergeCell ref="F9"/>
    <mergeCell ref="G9"/>
    <mergeCell ref="H9"/>
    <mergeCell ref="I9"/>
    <mergeCell ref="J11"/>
    <mergeCell ref="K11"/>
    <mergeCell ref="L11"/>
    <mergeCell ref="B12"/>
    <mergeCell ref="C12"/>
    <mergeCell ref="D12"/>
    <mergeCell ref="E12"/>
    <mergeCell ref="F12"/>
    <mergeCell ref="G12"/>
    <mergeCell ref="H12"/>
    <mergeCell ref="I12"/>
    <mergeCell ref="J12"/>
    <mergeCell ref="K12"/>
    <mergeCell ref="L12"/>
    <mergeCell ref="B11"/>
    <mergeCell ref="C11"/>
    <mergeCell ref="D11"/>
    <mergeCell ref="E11"/>
    <mergeCell ref="F11"/>
    <mergeCell ref="G11"/>
    <mergeCell ref="H11"/>
    <mergeCell ref="I11"/>
    <mergeCell ref="J13"/>
    <mergeCell ref="K13"/>
    <mergeCell ref="L13"/>
    <mergeCell ref="B14"/>
    <mergeCell ref="C14"/>
    <mergeCell ref="D14"/>
    <mergeCell ref="E14"/>
    <mergeCell ref="F14"/>
    <mergeCell ref="G14"/>
    <mergeCell ref="H14"/>
    <mergeCell ref="I14"/>
    <mergeCell ref="J14"/>
    <mergeCell ref="K14"/>
    <mergeCell ref="L14"/>
    <mergeCell ref="B13"/>
    <mergeCell ref="C13"/>
    <mergeCell ref="D13"/>
    <mergeCell ref="E13"/>
    <mergeCell ref="F13"/>
    <mergeCell ref="G13"/>
    <mergeCell ref="H13"/>
    <mergeCell ref="I13"/>
    <mergeCell ref="J15"/>
    <mergeCell ref="K15"/>
    <mergeCell ref="L15"/>
    <mergeCell ref="B16"/>
    <mergeCell ref="C16"/>
    <mergeCell ref="D16"/>
    <mergeCell ref="E16"/>
    <mergeCell ref="F16"/>
    <mergeCell ref="G16"/>
    <mergeCell ref="H16"/>
    <mergeCell ref="I16"/>
    <mergeCell ref="J16"/>
    <mergeCell ref="K16"/>
    <mergeCell ref="L16"/>
    <mergeCell ref="B15"/>
    <mergeCell ref="C15"/>
    <mergeCell ref="D15"/>
    <mergeCell ref="E15"/>
    <mergeCell ref="F15"/>
    <mergeCell ref="G15"/>
    <mergeCell ref="H15"/>
    <mergeCell ref="I15"/>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34" t="s">
        <v>2084</v>
      </c>
      <c r="D1" s="3935"/>
      <c r="E1" s="3935"/>
      <c r="F1" s="3935"/>
      <c r="G1" s="3935"/>
      <c r="H1" s="3935"/>
      <c r="I1" s="3935"/>
      <c r="J1" s="3935"/>
      <c r="K1" s="3935"/>
      <c r="L1" s="3935"/>
      <c r="M1" s="3935"/>
      <c r="N1" s="3935"/>
      <c r="O1" s="3935"/>
      <c r="P1" s="3935"/>
      <c r="Q1" s="3935"/>
      <c r="R1" s="3935"/>
      <c r="S1" s="3936"/>
      <c r="T1" s="983" t="s">
        <v>2085</v>
      </c>
    </row>
    <row r="2" spans="1:45" s="655" customFormat="1" ht="38.25">
      <c r="A2" s="984"/>
      <c r="B2" s="651" t="s">
        <v>2086</v>
      </c>
      <c r="C2" s="652" t="str">
        <f t="shared" ref="C2:L2" si="0">C3&amp;"(含)"&amp;"-"&amp;D3</f>
        <v>0(含)-50</v>
      </c>
      <c r="D2" s="653" t="str">
        <f t="shared" si="0"/>
        <v>50(含)-100</v>
      </c>
      <c r="E2" s="653" t="str">
        <f t="shared" si="0"/>
        <v>100(含)-150</v>
      </c>
      <c r="F2" s="653" t="str">
        <f t="shared" si="0"/>
        <v>150(含)-200</v>
      </c>
      <c r="G2" s="653" t="str">
        <f t="shared" si="0"/>
        <v>200(含)-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100</v>
      </c>
      <c r="F3" s="1303">
        <v>150</v>
      </c>
      <c r="G3" s="1303">
        <v>200</v>
      </c>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v>98</v>
      </c>
      <c r="F4" s="1307">
        <v>97</v>
      </c>
      <c r="G4" s="1307">
        <v>96</v>
      </c>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tr">
        <f>'比较法-住宅'!B32</f>
        <v>建筑类型</v>
      </c>
      <c r="C5" s="3564" t="s">
        <v>4899</v>
      </c>
      <c r="D5" s="3565" t="s">
        <v>4900</v>
      </c>
      <c r="E5" s="996"/>
      <c r="F5" s="1310"/>
      <c r="G5" s="1310"/>
      <c r="H5" s="1310"/>
      <c r="I5" s="1310"/>
      <c r="J5" s="1310"/>
      <c r="K5" s="1310"/>
      <c r="L5" s="1311"/>
      <c r="M5" s="1312"/>
      <c r="N5" s="1312"/>
      <c r="O5" s="1310"/>
      <c r="P5" s="1310"/>
      <c r="Q5" s="1310"/>
      <c r="R5" s="1310"/>
      <c r="S5" s="1313"/>
      <c r="T5" s="998">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98</v>
      </c>
      <c r="E6" s="902">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2092</v>
      </c>
      <c r="B17" s="2144" t="s">
        <v>2093</v>
      </c>
      <c r="C17" s="3562" t="s">
        <v>4896</v>
      </c>
      <c r="D17" s="3563" t="s">
        <v>4897</v>
      </c>
      <c r="E17" s="3563" t="s">
        <v>4898</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98</v>
      </c>
      <c r="D18" s="1022">
        <v>100</v>
      </c>
      <c r="E18" s="1022">
        <v>102</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2094</v>
      </c>
      <c r="E19" s="1338"/>
      <c r="F19" s="1338"/>
      <c r="G19" s="1338"/>
      <c r="H19" s="1058"/>
      <c r="I19" s="159"/>
      <c r="J19" s="159"/>
      <c r="K19" s="159"/>
      <c r="L19" s="159"/>
      <c r="M19" s="159"/>
      <c r="N19" s="159"/>
      <c r="O19" s="159"/>
      <c r="P19" s="159"/>
      <c r="Q19" s="159"/>
      <c r="R19" s="718"/>
      <c r="S19" s="129"/>
    </row>
    <row r="20" spans="1:45" ht="16.5" thickBot="1">
      <c r="A20" s="662" t="s">
        <v>2095</v>
      </c>
      <c r="B20" s="294">
        <f ca="1">IF(D20="——",S22,S22-F20)</f>
        <v>91449</v>
      </c>
      <c r="C20" s="159"/>
      <c r="D20" s="2146" t="s">
        <v>43</v>
      </c>
      <c r="E20" s="1339"/>
      <c r="F20" s="983" t="e">
        <f ca="1">SUMIF(INDIRECT("'"&amp;H20&amp;"'"&amp;"!A:A"),"承租人权益价值",INDIRECT("'"&amp;H20&amp;"'"&amp;"!c:c"))</f>
        <v>#REF!</v>
      </c>
      <c r="G20" s="983" t="s">
        <v>2096</v>
      </c>
      <c r="H20" s="2147"/>
      <c r="I20" s="159"/>
      <c r="J20" s="159"/>
      <c r="K20" s="159"/>
      <c r="L20" s="159"/>
      <c r="M20" s="159"/>
      <c r="N20" s="159"/>
      <c r="O20" s="159"/>
      <c r="P20" s="159"/>
      <c r="Q20" s="159"/>
      <c r="R20" s="718"/>
      <c r="S20" s="129"/>
    </row>
    <row r="21" spans="1:45" ht="15.75">
      <c r="A21" s="662" t="s">
        <v>2097</v>
      </c>
      <c r="B21" s="294">
        <f ca="1">ROUND(B20*10000/B22,0)</f>
        <v>34653</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26390.010000000006</v>
      </c>
      <c r="C22" s="3931" t="s">
        <v>27</v>
      </c>
      <c r="D22" s="3932"/>
      <c r="E22" s="3932"/>
      <c r="F22" s="3932"/>
      <c r="G22" s="3932"/>
      <c r="H22" s="3932"/>
      <c r="I22" s="3932"/>
      <c r="J22" s="3932"/>
      <c r="K22" s="3932"/>
      <c r="L22" s="3932"/>
      <c r="M22" s="3932"/>
      <c r="N22" s="3932"/>
      <c r="O22" s="3932"/>
      <c r="P22" s="3932"/>
      <c r="Q22" s="3933"/>
      <c r="R22" s="663">
        <f ca="1">ROUND(S22*10000/B22,0)</f>
        <v>34653</v>
      </c>
      <c r="S22" s="21">
        <f ca="1">SUM(S24:S10000)</f>
        <v>91449</v>
      </c>
    </row>
    <row r="23" spans="1:45" s="9" customFormat="1" ht="24">
      <c r="A23" s="8" t="s">
        <v>2099</v>
      </c>
      <c r="B23" s="8" t="s">
        <v>2100</v>
      </c>
      <c r="C23" s="8" t="s">
        <v>2101</v>
      </c>
      <c r="D23" s="8" t="str">
        <f>B5</f>
        <v>建筑类型</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Sheet3!C4</f>
        <v>20-2-502</v>
      </c>
      <c r="B24" s="665">
        <f>Sheet3!D4</f>
        <v>86.91</v>
      </c>
      <c r="C24" s="2805">
        <v>1</v>
      </c>
      <c r="D24" s="2806" t="str">
        <f>Sheet3!F4</f>
        <v>小高层</v>
      </c>
      <c r="E24" s="2805">
        <v>1</v>
      </c>
      <c r="F24" s="2806"/>
      <c r="G24" s="2805">
        <v>1</v>
      </c>
      <c r="H24" s="2806"/>
      <c r="I24" s="2805">
        <v>1</v>
      </c>
      <c r="J24" s="2806"/>
      <c r="K24" s="2805">
        <v>1</v>
      </c>
      <c r="L24" s="2806"/>
      <c r="M24" s="2805">
        <v>1</v>
      </c>
      <c r="N24" s="2806"/>
      <c r="O24" s="2805">
        <v>1</v>
      </c>
      <c r="P24" s="2806" t="str">
        <f>Sheet3!E4</f>
        <v>中区</v>
      </c>
      <c r="Q24" s="2805">
        <v>1</v>
      </c>
      <c r="R24" s="668">
        <f ca="1">结果表!G20</f>
        <v>34639</v>
      </c>
      <c r="S24" s="666">
        <f t="shared" ref="S24:S54" ca="1" si="11">ROUND(R24*B24/10000,0)</f>
        <v>301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Sheet3!C5</f>
        <v>20-2-1002</v>
      </c>
      <c r="B25" s="665">
        <f>Sheet3!D5</f>
        <v>86.91</v>
      </c>
      <c r="C25" s="21">
        <f>IF(B25="",1,(LOOKUP(B25,$3:$3,$4:$4)-LOOKUP($B$24,$3:$3,$4:$4)+100)/100)</f>
        <v>1</v>
      </c>
      <c r="D25" s="667" t="str">
        <f>Sheet3!F5</f>
        <v>小高层</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6" t="str">
        <f>Sheet3!E5</f>
        <v>高区</v>
      </c>
      <c r="Q25" s="21">
        <f>(SUMIF($17:$17,P25,$18:$18)-SUMIF($17:$17,$P$24,$18:$18)+100)/100</f>
        <v>1.02</v>
      </c>
      <c r="R25" s="663">
        <f ca="1">IF(B25="",0,ROUND($R$24*C25*E25*G25*I25*K25*M25*O25*Q25,0))</f>
        <v>35332</v>
      </c>
      <c r="S25" s="316">
        <f t="shared" ca="1" si="11"/>
        <v>307</v>
      </c>
    </row>
    <row r="26" spans="1:45">
      <c r="A26" s="665" t="str">
        <f>Sheet3!C6</f>
        <v>22-1-101</v>
      </c>
      <c r="B26" s="665">
        <f>Sheet3!D6</f>
        <v>86.99</v>
      </c>
      <c r="C26" s="21">
        <f t="shared" ref="C26:C89" si="12">IF(B26="",1,(LOOKUP(B26,$3:$3,$4:$4)-LOOKUP($B$24,$3:$3,$4:$4)+100)/100)</f>
        <v>1</v>
      </c>
      <c r="D26" s="2806" t="str">
        <f>Sheet3!F6</f>
        <v>小高层</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06" t="str">
        <f>Sheet3!E6</f>
        <v>低区</v>
      </c>
      <c r="Q26" s="21">
        <f t="shared" ref="Q26:Q89" si="19">(SUMIF($17:$17,P26,$18:$18)-SUMIF($17:$17,$P$24,$18:$18)+100)/100</f>
        <v>0.98</v>
      </c>
      <c r="R26" s="663">
        <f t="shared" ref="R26:R89" ca="1" si="20">IF(B26="",0,ROUND($R$24*C26*E26*G26*I26*K26*M26*O26*Q26,0))</f>
        <v>33946</v>
      </c>
      <c r="S26" s="316">
        <f t="shared" ca="1" si="11"/>
        <v>295</v>
      </c>
    </row>
    <row r="27" spans="1:45">
      <c r="A27" s="665" t="str">
        <f>Sheet3!C7</f>
        <v>22-1-102</v>
      </c>
      <c r="B27" s="665">
        <f>Sheet3!D7</f>
        <v>89.65</v>
      </c>
      <c r="C27" s="21">
        <f t="shared" si="12"/>
        <v>1</v>
      </c>
      <c r="D27" s="667" t="str">
        <f>Sheet3!F7</f>
        <v>小高层</v>
      </c>
      <c r="E27" s="21">
        <f t="shared" si="13"/>
        <v>1</v>
      </c>
      <c r="F27" s="667"/>
      <c r="G27" s="21">
        <f t="shared" si="14"/>
        <v>1</v>
      </c>
      <c r="H27" s="667"/>
      <c r="I27" s="21">
        <f t="shared" si="15"/>
        <v>1</v>
      </c>
      <c r="J27" s="667"/>
      <c r="K27" s="21">
        <f t="shared" si="16"/>
        <v>1</v>
      </c>
      <c r="L27" s="667"/>
      <c r="M27" s="21">
        <f t="shared" si="17"/>
        <v>1</v>
      </c>
      <c r="N27" s="667"/>
      <c r="O27" s="21">
        <f t="shared" si="18"/>
        <v>1</v>
      </c>
      <c r="P27" s="2806" t="str">
        <f>Sheet3!E7</f>
        <v>低区</v>
      </c>
      <c r="Q27" s="21">
        <f t="shared" si="19"/>
        <v>0.98</v>
      </c>
      <c r="R27" s="663">
        <f t="shared" ca="1" si="20"/>
        <v>33946</v>
      </c>
      <c r="S27" s="316">
        <f t="shared" ca="1" si="11"/>
        <v>304</v>
      </c>
    </row>
    <row r="28" spans="1:45">
      <c r="A28" s="665" t="str">
        <f>Sheet3!C8</f>
        <v>22-1-201</v>
      </c>
      <c r="B28" s="665">
        <f>Sheet3!D8</f>
        <v>86.99</v>
      </c>
      <c r="C28" s="21">
        <f t="shared" si="12"/>
        <v>1</v>
      </c>
      <c r="D28" s="2806" t="str">
        <f>Sheet3!F8</f>
        <v>小高层</v>
      </c>
      <c r="E28" s="21">
        <f t="shared" si="13"/>
        <v>1</v>
      </c>
      <c r="F28" s="667"/>
      <c r="G28" s="21">
        <f t="shared" si="14"/>
        <v>1</v>
      </c>
      <c r="H28" s="667"/>
      <c r="I28" s="21">
        <f t="shared" si="15"/>
        <v>1</v>
      </c>
      <c r="J28" s="667"/>
      <c r="K28" s="21">
        <f t="shared" si="16"/>
        <v>1</v>
      </c>
      <c r="L28" s="667"/>
      <c r="M28" s="21">
        <f t="shared" si="17"/>
        <v>1</v>
      </c>
      <c r="N28" s="667"/>
      <c r="O28" s="21">
        <f t="shared" si="18"/>
        <v>1</v>
      </c>
      <c r="P28" s="2806" t="str">
        <f>Sheet3!E8</f>
        <v>低区</v>
      </c>
      <c r="Q28" s="21">
        <f t="shared" si="19"/>
        <v>0.98</v>
      </c>
      <c r="R28" s="663">
        <f t="shared" ca="1" si="20"/>
        <v>33946</v>
      </c>
      <c r="S28" s="316">
        <f t="shared" ca="1" si="11"/>
        <v>295</v>
      </c>
    </row>
    <row r="29" spans="1:45">
      <c r="A29" s="665" t="str">
        <f>Sheet3!C9</f>
        <v>22-1-202</v>
      </c>
      <c r="B29" s="665">
        <f>Sheet3!D9</f>
        <v>89.65</v>
      </c>
      <c r="C29" s="21">
        <f t="shared" si="12"/>
        <v>1</v>
      </c>
      <c r="D29" s="667" t="str">
        <f>Sheet3!F9</f>
        <v>小高层</v>
      </c>
      <c r="E29" s="21">
        <f t="shared" si="13"/>
        <v>1</v>
      </c>
      <c r="F29" s="667"/>
      <c r="G29" s="21">
        <f t="shared" si="14"/>
        <v>1</v>
      </c>
      <c r="H29" s="667"/>
      <c r="I29" s="21">
        <f t="shared" si="15"/>
        <v>1</v>
      </c>
      <c r="J29" s="667"/>
      <c r="K29" s="21">
        <f t="shared" si="16"/>
        <v>1</v>
      </c>
      <c r="L29" s="667"/>
      <c r="M29" s="21">
        <f t="shared" si="17"/>
        <v>1</v>
      </c>
      <c r="N29" s="667"/>
      <c r="O29" s="21">
        <f t="shared" si="18"/>
        <v>1</v>
      </c>
      <c r="P29" s="2806" t="str">
        <f>Sheet3!E9</f>
        <v>低区</v>
      </c>
      <c r="Q29" s="21">
        <f t="shared" si="19"/>
        <v>0.98</v>
      </c>
      <c r="R29" s="663">
        <f t="shared" ca="1" si="20"/>
        <v>33946</v>
      </c>
      <c r="S29" s="316">
        <f t="shared" ca="1" si="11"/>
        <v>304</v>
      </c>
    </row>
    <row r="30" spans="1:45">
      <c r="A30" s="665" t="str">
        <f>Sheet3!C10</f>
        <v>22-1-301</v>
      </c>
      <c r="B30" s="665">
        <f>Sheet3!D10</f>
        <v>86.99</v>
      </c>
      <c r="C30" s="21">
        <f t="shared" si="12"/>
        <v>1</v>
      </c>
      <c r="D30" s="2806" t="str">
        <f>Sheet3!F10</f>
        <v>小高层</v>
      </c>
      <c r="E30" s="21">
        <f t="shared" si="13"/>
        <v>1</v>
      </c>
      <c r="F30" s="667"/>
      <c r="G30" s="21">
        <f t="shared" si="14"/>
        <v>1</v>
      </c>
      <c r="H30" s="667"/>
      <c r="I30" s="21">
        <f t="shared" si="15"/>
        <v>1</v>
      </c>
      <c r="J30" s="667"/>
      <c r="K30" s="21">
        <f t="shared" si="16"/>
        <v>1</v>
      </c>
      <c r="L30" s="667"/>
      <c r="M30" s="21">
        <f t="shared" si="17"/>
        <v>1</v>
      </c>
      <c r="N30" s="667"/>
      <c r="O30" s="21">
        <f t="shared" si="18"/>
        <v>1</v>
      </c>
      <c r="P30" s="2806" t="str">
        <f>Sheet3!E10</f>
        <v>低区</v>
      </c>
      <c r="Q30" s="21">
        <f t="shared" si="19"/>
        <v>0.98</v>
      </c>
      <c r="R30" s="663">
        <f t="shared" ca="1" si="20"/>
        <v>33946</v>
      </c>
      <c r="S30" s="316">
        <f t="shared" ca="1" si="11"/>
        <v>295</v>
      </c>
    </row>
    <row r="31" spans="1:45">
      <c r="A31" s="665" t="str">
        <f>Sheet3!C11</f>
        <v>22-1-302</v>
      </c>
      <c r="B31" s="665">
        <f>Sheet3!D11</f>
        <v>89.65</v>
      </c>
      <c r="C31" s="21">
        <f t="shared" si="12"/>
        <v>1</v>
      </c>
      <c r="D31" s="667" t="str">
        <f>Sheet3!F11</f>
        <v>小高层</v>
      </c>
      <c r="E31" s="21">
        <f t="shared" si="13"/>
        <v>1</v>
      </c>
      <c r="F31" s="667"/>
      <c r="G31" s="21">
        <f t="shared" si="14"/>
        <v>1</v>
      </c>
      <c r="H31" s="667"/>
      <c r="I31" s="21">
        <f t="shared" si="15"/>
        <v>1</v>
      </c>
      <c r="J31" s="667"/>
      <c r="K31" s="21">
        <f t="shared" si="16"/>
        <v>1</v>
      </c>
      <c r="L31" s="667"/>
      <c r="M31" s="21">
        <f t="shared" si="17"/>
        <v>1</v>
      </c>
      <c r="N31" s="667"/>
      <c r="O31" s="21">
        <f t="shared" si="18"/>
        <v>1</v>
      </c>
      <c r="P31" s="2806" t="str">
        <f>Sheet3!E11</f>
        <v>低区</v>
      </c>
      <c r="Q31" s="21">
        <f t="shared" si="19"/>
        <v>0.98</v>
      </c>
      <c r="R31" s="663">
        <f t="shared" ca="1" si="20"/>
        <v>33946</v>
      </c>
      <c r="S31" s="316">
        <f t="shared" ca="1" si="11"/>
        <v>304</v>
      </c>
    </row>
    <row r="32" spans="1:45">
      <c r="A32" s="665" t="str">
        <f>Sheet3!C12</f>
        <v>22-1-401</v>
      </c>
      <c r="B32" s="665">
        <f>Sheet3!D12</f>
        <v>86.99</v>
      </c>
      <c r="C32" s="21">
        <f t="shared" si="12"/>
        <v>1</v>
      </c>
      <c r="D32" s="2806" t="str">
        <f>Sheet3!F12</f>
        <v>小高层</v>
      </c>
      <c r="E32" s="21">
        <f t="shared" si="13"/>
        <v>1</v>
      </c>
      <c r="F32" s="667"/>
      <c r="G32" s="21">
        <f t="shared" si="14"/>
        <v>1</v>
      </c>
      <c r="H32" s="667"/>
      <c r="I32" s="21">
        <f t="shared" si="15"/>
        <v>1</v>
      </c>
      <c r="J32" s="667"/>
      <c r="K32" s="21">
        <f t="shared" si="16"/>
        <v>1</v>
      </c>
      <c r="L32" s="667"/>
      <c r="M32" s="21">
        <f t="shared" si="17"/>
        <v>1</v>
      </c>
      <c r="N32" s="667"/>
      <c r="O32" s="21">
        <f t="shared" si="18"/>
        <v>1</v>
      </c>
      <c r="P32" s="2806" t="str">
        <f>Sheet3!E12</f>
        <v>中区</v>
      </c>
      <c r="Q32" s="21">
        <f t="shared" si="19"/>
        <v>1</v>
      </c>
      <c r="R32" s="663">
        <f t="shared" ca="1" si="20"/>
        <v>34639</v>
      </c>
      <c r="S32" s="316">
        <f t="shared" ca="1" si="11"/>
        <v>301</v>
      </c>
    </row>
    <row r="33" spans="1:19">
      <c r="A33" s="665" t="str">
        <f>Sheet3!C13</f>
        <v>22-1-402</v>
      </c>
      <c r="B33" s="665">
        <f>Sheet3!D13</f>
        <v>89.65</v>
      </c>
      <c r="C33" s="21">
        <f t="shared" si="12"/>
        <v>1</v>
      </c>
      <c r="D33" s="667" t="str">
        <f>Sheet3!F13</f>
        <v>小高层</v>
      </c>
      <c r="E33" s="21">
        <f t="shared" si="13"/>
        <v>1</v>
      </c>
      <c r="F33" s="667"/>
      <c r="G33" s="21">
        <f t="shared" si="14"/>
        <v>1</v>
      </c>
      <c r="H33" s="667"/>
      <c r="I33" s="21">
        <f t="shared" si="15"/>
        <v>1</v>
      </c>
      <c r="J33" s="667"/>
      <c r="K33" s="21">
        <f t="shared" si="16"/>
        <v>1</v>
      </c>
      <c r="L33" s="667"/>
      <c r="M33" s="21">
        <f t="shared" si="17"/>
        <v>1</v>
      </c>
      <c r="N33" s="667"/>
      <c r="O33" s="21">
        <f t="shared" si="18"/>
        <v>1</v>
      </c>
      <c r="P33" s="2806" t="str">
        <f>Sheet3!E13</f>
        <v>中区</v>
      </c>
      <c r="Q33" s="21">
        <f t="shared" si="19"/>
        <v>1</v>
      </c>
      <c r="R33" s="663">
        <f t="shared" ca="1" si="20"/>
        <v>34639</v>
      </c>
      <c r="S33" s="316">
        <f t="shared" ca="1" si="11"/>
        <v>311</v>
      </c>
    </row>
    <row r="34" spans="1:19">
      <c r="A34" s="665" t="str">
        <f>Sheet3!C14</f>
        <v>22-1-501</v>
      </c>
      <c r="B34" s="665">
        <f>Sheet3!D14</f>
        <v>86.99</v>
      </c>
      <c r="C34" s="21">
        <f t="shared" si="12"/>
        <v>1</v>
      </c>
      <c r="D34" s="2806" t="str">
        <f>Sheet3!F14</f>
        <v>小高层</v>
      </c>
      <c r="E34" s="21">
        <f t="shared" si="13"/>
        <v>1</v>
      </c>
      <c r="F34" s="667"/>
      <c r="G34" s="21">
        <f t="shared" si="14"/>
        <v>1</v>
      </c>
      <c r="H34" s="667"/>
      <c r="I34" s="21">
        <f t="shared" si="15"/>
        <v>1</v>
      </c>
      <c r="J34" s="667"/>
      <c r="K34" s="21">
        <f t="shared" si="16"/>
        <v>1</v>
      </c>
      <c r="L34" s="667"/>
      <c r="M34" s="21">
        <f t="shared" si="17"/>
        <v>1</v>
      </c>
      <c r="N34" s="667"/>
      <c r="O34" s="21">
        <f t="shared" si="18"/>
        <v>1</v>
      </c>
      <c r="P34" s="2806" t="str">
        <f>Sheet3!E14</f>
        <v>中区</v>
      </c>
      <c r="Q34" s="21">
        <f t="shared" si="19"/>
        <v>1</v>
      </c>
      <c r="R34" s="663">
        <f t="shared" ca="1" si="20"/>
        <v>34639</v>
      </c>
      <c r="S34" s="316">
        <f t="shared" ca="1" si="11"/>
        <v>301</v>
      </c>
    </row>
    <row r="35" spans="1:19">
      <c r="A35" s="665" t="str">
        <f>Sheet3!C15</f>
        <v>22-1-601</v>
      </c>
      <c r="B35" s="665">
        <f>Sheet3!D15</f>
        <v>86.99</v>
      </c>
      <c r="C35" s="21">
        <f t="shared" si="12"/>
        <v>1</v>
      </c>
      <c r="D35" s="667" t="str">
        <f>Sheet3!F15</f>
        <v>小高层</v>
      </c>
      <c r="E35" s="21">
        <f t="shared" si="13"/>
        <v>1</v>
      </c>
      <c r="F35" s="667"/>
      <c r="G35" s="21">
        <f t="shared" si="14"/>
        <v>1</v>
      </c>
      <c r="H35" s="667"/>
      <c r="I35" s="21">
        <f t="shared" si="15"/>
        <v>1</v>
      </c>
      <c r="J35" s="667"/>
      <c r="K35" s="21">
        <f t="shared" si="16"/>
        <v>1</v>
      </c>
      <c r="L35" s="667"/>
      <c r="M35" s="21">
        <f t="shared" si="17"/>
        <v>1</v>
      </c>
      <c r="N35" s="667"/>
      <c r="O35" s="21">
        <f t="shared" si="18"/>
        <v>1</v>
      </c>
      <c r="P35" s="2806" t="str">
        <f>Sheet3!E15</f>
        <v>中区</v>
      </c>
      <c r="Q35" s="21">
        <f t="shared" si="19"/>
        <v>1</v>
      </c>
      <c r="R35" s="663">
        <f t="shared" ca="1" si="20"/>
        <v>34639</v>
      </c>
      <c r="S35" s="316">
        <f t="shared" ca="1" si="11"/>
        <v>301</v>
      </c>
    </row>
    <row r="36" spans="1:19">
      <c r="A36" s="665" t="str">
        <f>Sheet3!C16</f>
        <v>22-1-602</v>
      </c>
      <c r="B36" s="665">
        <f>Sheet3!D16</f>
        <v>89.65</v>
      </c>
      <c r="C36" s="21">
        <f t="shared" si="12"/>
        <v>1</v>
      </c>
      <c r="D36" s="2806" t="str">
        <f>Sheet3!F16</f>
        <v>小高层</v>
      </c>
      <c r="E36" s="21">
        <f t="shared" si="13"/>
        <v>1</v>
      </c>
      <c r="F36" s="667"/>
      <c r="G36" s="21">
        <f t="shared" si="14"/>
        <v>1</v>
      </c>
      <c r="H36" s="667"/>
      <c r="I36" s="21">
        <f t="shared" si="15"/>
        <v>1</v>
      </c>
      <c r="J36" s="667"/>
      <c r="K36" s="21">
        <f t="shared" si="16"/>
        <v>1</v>
      </c>
      <c r="L36" s="667"/>
      <c r="M36" s="21">
        <f t="shared" si="17"/>
        <v>1</v>
      </c>
      <c r="N36" s="667"/>
      <c r="O36" s="21">
        <f t="shared" si="18"/>
        <v>1</v>
      </c>
      <c r="P36" s="2806" t="str">
        <f>Sheet3!E16</f>
        <v>中区</v>
      </c>
      <c r="Q36" s="21">
        <f t="shared" si="19"/>
        <v>1</v>
      </c>
      <c r="R36" s="663">
        <f t="shared" ca="1" si="20"/>
        <v>34639</v>
      </c>
      <c r="S36" s="316">
        <f t="shared" ca="1" si="11"/>
        <v>311</v>
      </c>
    </row>
    <row r="37" spans="1:19">
      <c r="A37" s="665" t="str">
        <f>Sheet3!C17</f>
        <v>22-1-701</v>
      </c>
      <c r="B37" s="665">
        <f>Sheet3!D17</f>
        <v>86.99</v>
      </c>
      <c r="C37" s="21">
        <f t="shared" si="12"/>
        <v>1</v>
      </c>
      <c r="D37" s="667" t="str">
        <f>Sheet3!F17</f>
        <v>小高层</v>
      </c>
      <c r="E37" s="21">
        <f t="shared" si="13"/>
        <v>1</v>
      </c>
      <c r="F37" s="667"/>
      <c r="G37" s="21">
        <f t="shared" si="14"/>
        <v>1</v>
      </c>
      <c r="H37" s="667"/>
      <c r="I37" s="21">
        <f t="shared" si="15"/>
        <v>1</v>
      </c>
      <c r="J37" s="667"/>
      <c r="K37" s="21">
        <f t="shared" si="16"/>
        <v>1</v>
      </c>
      <c r="L37" s="667"/>
      <c r="M37" s="21">
        <f t="shared" si="17"/>
        <v>1</v>
      </c>
      <c r="N37" s="667"/>
      <c r="O37" s="21">
        <f t="shared" si="18"/>
        <v>1</v>
      </c>
      <c r="P37" s="2806" t="str">
        <f>Sheet3!E17</f>
        <v>中区</v>
      </c>
      <c r="Q37" s="21">
        <f t="shared" si="19"/>
        <v>1</v>
      </c>
      <c r="R37" s="663">
        <f t="shared" ca="1" si="20"/>
        <v>34639</v>
      </c>
      <c r="S37" s="316">
        <f t="shared" ca="1" si="11"/>
        <v>301</v>
      </c>
    </row>
    <row r="38" spans="1:19">
      <c r="A38" s="665" t="str">
        <f>Sheet3!C18</f>
        <v>22-1-801</v>
      </c>
      <c r="B38" s="665">
        <f>Sheet3!D18</f>
        <v>86.99</v>
      </c>
      <c r="C38" s="21">
        <f t="shared" si="12"/>
        <v>1</v>
      </c>
      <c r="D38" s="2806" t="str">
        <f>Sheet3!F18</f>
        <v>小高层</v>
      </c>
      <c r="E38" s="21">
        <f t="shared" si="13"/>
        <v>1</v>
      </c>
      <c r="F38" s="667"/>
      <c r="G38" s="21">
        <f t="shared" si="14"/>
        <v>1</v>
      </c>
      <c r="H38" s="667"/>
      <c r="I38" s="21">
        <f t="shared" si="15"/>
        <v>1</v>
      </c>
      <c r="J38" s="667"/>
      <c r="K38" s="21">
        <f t="shared" si="16"/>
        <v>1</v>
      </c>
      <c r="L38" s="667"/>
      <c r="M38" s="21">
        <f t="shared" si="17"/>
        <v>1</v>
      </c>
      <c r="N38" s="667"/>
      <c r="O38" s="21">
        <f t="shared" si="18"/>
        <v>1</v>
      </c>
      <c r="P38" s="2806" t="str">
        <f>Sheet3!E18</f>
        <v>高区</v>
      </c>
      <c r="Q38" s="21">
        <f t="shared" si="19"/>
        <v>1.02</v>
      </c>
      <c r="R38" s="663">
        <f t="shared" ca="1" si="20"/>
        <v>35332</v>
      </c>
      <c r="S38" s="316">
        <f t="shared" ca="1" si="11"/>
        <v>307</v>
      </c>
    </row>
    <row r="39" spans="1:19">
      <c r="A39" s="665" t="str">
        <f>Sheet3!C19</f>
        <v>22-1-901</v>
      </c>
      <c r="B39" s="665">
        <f>Sheet3!D19</f>
        <v>86.99</v>
      </c>
      <c r="C39" s="21">
        <f t="shared" si="12"/>
        <v>1</v>
      </c>
      <c r="D39" s="667" t="str">
        <f>Sheet3!F19</f>
        <v>小高层</v>
      </c>
      <c r="E39" s="21">
        <f t="shared" si="13"/>
        <v>1</v>
      </c>
      <c r="F39" s="667"/>
      <c r="G39" s="21">
        <f t="shared" si="14"/>
        <v>1</v>
      </c>
      <c r="H39" s="667"/>
      <c r="I39" s="21">
        <f t="shared" si="15"/>
        <v>1</v>
      </c>
      <c r="J39" s="667"/>
      <c r="K39" s="21">
        <f t="shared" si="16"/>
        <v>1</v>
      </c>
      <c r="L39" s="667"/>
      <c r="M39" s="21">
        <f t="shared" si="17"/>
        <v>1</v>
      </c>
      <c r="N39" s="667"/>
      <c r="O39" s="21">
        <f t="shared" si="18"/>
        <v>1</v>
      </c>
      <c r="P39" s="2806" t="str">
        <f>Sheet3!E19</f>
        <v>高区</v>
      </c>
      <c r="Q39" s="21">
        <f t="shared" si="19"/>
        <v>1.02</v>
      </c>
      <c r="R39" s="663">
        <f t="shared" ca="1" si="20"/>
        <v>35332</v>
      </c>
      <c r="S39" s="316">
        <f t="shared" ca="1" si="11"/>
        <v>307</v>
      </c>
    </row>
    <row r="40" spans="1:19">
      <c r="A40" s="665" t="str">
        <f>Sheet3!C20</f>
        <v>22-1-1002</v>
      </c>
      <c r="B40" s="665">
        <f>Sheet3!D20</f>
        <v>89.65</v>
      </c>
      <c r="C40" s="21">
        <f t="shared" si="12"/>
        <v>1</v>
      </c>
      <c r="D40" s="2806" t="str">
        <f>Sheet3!F20</f>
        <v>小高层</v>
      </c>
      <c r="E40" s="21">
        <f t="shared" si="13"/>
        <v>1</v>
      </c>
      <c r="F40" s="667"/>
      <c r="G40" s="21">
        <f t="shared" si="14"/>
        <v>1</v>
      </c>
      <c r="H40" s="667"/>
      <c r="I40" s="21">
        <f t="shared" si="15"/>
        <v>1</v>
      </c>
      <c r="J40" s="667"/>
      <c r="K40" s="21">
        <f t="shared" si="16"/>
        <v>1</v>
      </c>
      <c r="L40" s="667"/>
      <c r="M40" s="21">
        <f t="shared" si="17"/>
        <v>1</v>
      </c>
      <c r="N40" s="667"/>
      <c r="O40" s="21">
        <f t="shared" si="18"/>
        <v>1</v>
      </c>
      <c r="P40" s="2806" t="str">
        <f>Sheet3!E20</f>
        <v>高区</v>
      </c>
      <c r="Q40" s="21">
        <f t="shared" si="19"/>
        <v>1.02</v>
      </c>
      <c r="R40" s="663">
        <f t="shared" ca="1" si="20"/>
        <v>35332</v>
      </c>
      <c r="S40" s="316">
        <f t="shared" ca="1" si="11"/>
        <v>317</v>
      </c>
    </row>
    <row r="41" spans="1:19">
      <c r="A41" s="665" t="str">
        <f>Sheet3!C21</f>
        <v>22-2-202</v>
      </c>
      <c r="B41" s="665">
        <f>Sheet3!D21</f>
        <v>86.93</v>
      </c>
      <c r="C41" s="21">
        <f t="shared" si="12"/>
        <v>1</v>
      </c>
      <c r="D41" s="667" t="str">
        <f>Sheet3!F21</f>
        <v>小高层</v>
      </c>
      <c r="E41" s="21">
        <f t="shared" si="13"/>
        <v>1</v>
      </c>
      <c r="F41" s="667"/>
      <c r="G41" s="21">
        <f t="shared" si="14"/>
        <v>1</v>
      </c>
      <c r="H41" s="667"/>
      <c r="I41" s="21">
        <f t="shared" si="15"/>
        <v>1</v>
      </c>
      <c r="J41" s="667"/>
      <c r="K41" s="21">
        <f t="shared" si="16"/>
        <v>1</v>
      </c>
      <c r="L41" s="667"/>
      <c r="M41" s="21">
        <f t="shared" si="17"/>
        <v>1</v>
      </c>
      <c r="N41" s="667"/>
      <c r="O41" s="21">
        <f t="shared" si="18"/>
        <v>1</v>
      </c>
      <c r="P41" s="2806" t="str">
        <f>Sheet3!E21</f>
        <v>低区</v>
      </c>
      <c r="Q41" s="21">
        <f t="shared" si="19"/>
        <v>0.98</v>
      </c>
      <c r="R41" s="663">
        <f t="shared" ca="1" si="20"/>
        <v>33946</v>
      </c>
      <c r="S41" s="316">
        <f t="shared" ca="1" si="11"/>
        <v>295</v>
      </c>
    </row>
    <row r="42" spans="1:19">
      <c r="A42" s="665" t="str">
        <f>Sheet3!C22</f>
        <v>22-2-602</v>
      </c>
      <c r="B42" s="665">
        <f>Sheet3!D22</f>
        <v>86.93</v>
      </c>
      <c r="C42" s="21">
        <f t="shared" si="12"/>
        <v>1</v>
      </c>
      <c r="D42" s="2806" t="str">
        <f>Sheet3!F22</f>
        <v>小高层</v>
      </c>
      <c r="E42" s="21">
        <f t="shared" si="13"/>
        <v>1</v>
      </c>
      <c r="F42" s="667"/>
      <c r="G42" s="21">
        <f t="shared" si="14"/>
        <v>1</v>
      </c>
      <c r="H42" s="667"/>
      <c r="I42" s="21">
        <f t="shared" si="15"/>
        <v>1</v>
      </c>
      <c r="J42" s="667"/>
      <c r="K42" s="21">
        <f t="shared" si="16"/>
        <v>1</v>
      </c>
      <c r="L42" s="667"/>
      <c r="M42" s="21">
        <f t="shared" si="17"/>
        <v>1</v>
      </c>
      <c r="N42" s="667"/>
      <c r="O42" s="21">
        <f t="shared" si="18"/>
        <v>1</v>
      </c>
      <c r="P42" s="2806" t="str">
        <f>Sheet3!E22</f>
        <v>中区</v>
      </c>
      <c r="Q42" s="21">
        <f t="shared" si="19"/>
        <v>1</v>
      </c>
      <c r="R42" s="663">
        <f t="shared" ca="1" si="20"/>
        <v>34639</v>
      </c>
      <c r="S42" s="316">
        <f t="shared" ca="1" si="11"/>
        <v>301</v>
      </c>
    </row>
    <row r="43" spans="1:19">
      <c r="A43" s="665" t="str">
        <f>Sheet3!C23</f>
        <v>22-2-702</v>
      </c>
      <c r="B43" s="665">
        <f>Sheet3!D23</f>
        <v>86.93</v>
      </c>
      <c r="C43" s="21">
        <f t="shared" si="12"/>
        <v>1</v>
      </c>
      <c r="D43" s="667" t="str">
        <f>Sheet3!F23</f>
        <v>小高层</v>
      </c>
      <c r="E43" s="21">
        <f t="shared" si="13"/>
        <v>1</v>
      </c>
      <c r="F43" s="667"/>
      <c r="G43" s="21">
        <f t="shared" si="14"/>
        <v>1</v>
      </c>
      <c r="H43" s="667"/>
      <c r="I43" s="21">
        <f t="shared" si="15"/>
        <v>1</v>
      </c>
      <c r="J43" s="667"/>
      <c r="K43" s="21">
        <f t="shared" si="16"/>
        <v>1</v>
      </c>
      <c r="L43" s="667"/>
      <c r="M43" s="21">
        <f t="shared" si="17"/>
        <v>1</v>
      </c>
      <c r="N43" s="667"/>
      <c r="O43" s="21">
        <f t="shared" si="18"/>
        <v>1</v>
      </c>
      <c r="P43" s="2806" t="str">
        <f>Sheet3!E23</f>
        <v>中区</v>
      </c>
      <c r="Q43" s="21">
        <f t="shared" si="19"/>
        <v>1</v>
      </c>
      <c r="R43" s="663">
        <f t="shared" ca="1" si="20"/>
        <v>34639</v>
      </c>
      <c r="S43" s="316">
        <f t="shared" ca="1" si="11"/>
        <v>301</v>
      </c>
    </row>
    <row r="44" spans="1:19">
      <c r="A44" s="665" t="str">
        <f>Sheet3!C24</f>
        <v>22-2-901</v>
      </c>
      <c r="B44" s="665">
        <f>Sheet3!D24</f>
        <v>82.98</v>
      </c>
      <c r="C44" s="21">
        <f t="shared" si="12"/>
        <v>1</v>
      </c>
      <c r="D44" s="2806" t="str">
        <f>Sheet3!F24</f>
        <v>小高层</v>
      </c>
      <c r="E44" s="21">
        <f t="shared" si="13"/>
        <v>1</v>
      </c>
      <c r="F44" s="667"/>
      <c r="G44" s="21">
        <f t="shared" si="14"/>
        <v>1</v>
      </c>
      <c r="H44" s="667"/>
      <c r="I44" s="21">
        <f t="shared" si="15"/>
        <v>1</v>
      </c>
      <c r="J44" s="667"/>
      <c r="K44" s="21">
        <f t="shared" si="16"/>
        <v>1</v>
      </c>
      <c r="L44" s="667"/>
      <c r="M44" s="21">
        <f t="shared" si="17"/>
        <v>1</v>
      </c>
      <c r="N44" s="667"/>
      <c r="O44" s="21">
        <f t="shared" si="18"/>
        <v>1</v>
      </c>
      <c r="P44" s="2806" t="str">
        <f>Sheet3!E24</f>
        <v>高区</v>
      </c>
      <c r="Q44" s="21">
        <f t="shared" si="19"/>
        <v>1.02</v>
      </c>
      <c r="R44" s="663">
        <f t="shared" ca="1" si="20"/>
        <v>35332</v>
      </c>
      <c r="S44" s="316">
        <f t="shared" ca="1" si="11"/>
        <v>293</v>
      </c>
    </row>
    <row r="45" spans="1:19">
      <c r="A45" s="665" t="str">
        <f>Sheet3!C25</f>
        <v>22-2-1002</v>
      </c>
      <c r="B45" s="665">
        <f>Sheet3!D25</f>
        <v>86.93</v>
      </c>
      <c r="C45" s="21">
        <f t="shared" si="12"/>
        <v>1</v>
      </c>
      <c r="D45" s="667" t="str">
        <f>Sheet3!F25</f>
        <v>小高层</v>
      </c>
      <c r="E45" s="21">
        <f t="shared" si="13"/>
        <v>1</v>
      </c>
      <c r="F45" s="667"/>
      <c r="G45" s="21">
        <f t="shared" si="14"/>
        <v>1</v>
      </c>
      <c r="H45" s="667"/>
      <c r="I45" s="21">
        <f t="shared" si="15"/>
        <v>1</v>
      </c>
      <c r="J45" s="667"/>
      <c r="K45" s="21">
        <f t="shared" si="16"/>
        <v>1</v>
      </c>
      <c r="L45" s="667"/>
      <c r="M45" s="21">
        <f t="shared" si="17"/>
        <v>1</v>
      </c>
      <c r="N45" s="667"/>
      <c r="O45" s="21">
        <f t="shared" si="18"/>
        <v>1</v>
      </c>
      <c r="P45" s="2806" t="str">
        <f>Sheet3!E25</f>
        <v>高区</v>
      </c>
      <c r="Q45" s="21">
        <f t="shared" si="19"/>
        <v>1.02</v>
      </c>
      <c r="R45" s="663">
        <f t="shared" ca="1" si="20"/>
        <v>35332</v>
      </c>
      <c r="S45" s="316">
        <f t="shared" ca="1" si="11"/>
        <v>307</v>
      </c>
    </row>
    <row r="46" spans="1:19">
      <c r="A46" s="665" t="str">
        <f>Sheet3!C26</f>
        <v>21-1-201</v>
      </c>
      <c r="B46" s="665">
        <f>Sheet3!D26</f>
        <v>87.04</v>
      </c>
      <c r="C46" s="21">
        <f t="shared" si="12"/>
        <v>1</v>
      </c>
      <c r="D46" s="2806" t="str">
        <f>Sheet3!F26</f>
        <v>小高层</v>
      </c>
      <c r="E46" s="21">
        <f t="shared" si="13"/>
        <v>1</v>
      </c>
      <c r="F46" s="667"/>
      <c r="G46" s="21">
        <f t="shared" si="14"/>
        <v>1</v>
      </c>
      <c r="H46" s="667"/>
      <c r="I46" s="21">
        <f t="shared" si="15"/>
        <v>1</v>
      </c>
      <c r="J46" s="667"/>
      <c r="K46" s="21">
        <f t="shared" si="16"/>
        <v>1</v>
      </c>
      <c r="L46" s="667"/>
      <c r="M46" s="21">
        <f t="shared" si="17"/>
        <v>1</v>
      </c>
      <c r="N46" s="667"/>
      <c r="O46" s="21">
        <f t="shared" si="18"/>
        <v>1</v>
      </c>
      <c r="P46" s="2806" t="str">
        <f>Sheet3!E26</f>
        <v>低区</v>
      </c>
      <c r="Q46" s="21">
        <f t="shared" si="19"/>
        <v>0.98</v>
      </c>
      <c r="R46" s="663">
        <f t="shared" ca="1" si="20"/>
        <v>33946</v>
      </c>
      <c r="S46" s="316">
        <f t="shared" ca="1" si="11"/>
        <v>295</v>
      </c>
    </row>
    <row r="47" spans="1:19">
      <c r="A47" s="665" t="str">
        <f>Sheet3!C27</f>
        <v>21-1-202</v>
      </c>
      <c r="B47" s="665">
        <f>Sheet3!D27</f>
        <v>89.7</v>
      </c>
      <c r="C47" s="21">
        <f t="shared" si="12"/>
        <v>1</v>
      </c>
      <c r="D47" s="667" t="str">
        <f>Sheet3!F27</f>
        <v>小高层</v>
      </c>
      <c r="E47" s="21">
        <f t="shared" si="13"/>
        <v>1</v>
      </c>
      <c r="F47" s="667"/>
      <c r="G47" s="21">
        <f t="shared" si="14"/>
        <v>1</v>
      </c>
      <c r="H47" s="667"/>
      <c r="I47" s="21">
        <f t="shared" si="15"/>
        <v>1</v>
      </c>
      <c r="J47" s="667"/>
      <c r="K47" s="21">
        <f t="shared" si="16"/>
        <v>1</v>
      </c>
      <c r="L47" s="667"/>
      <c r="M47" s="21">
        <f t="shared" si="17"/>
        <v>1</v>
      </c>
      <c r="N47" s="667"/>
      <c r="O47" s="21">
        <f t="shared" si="18"/>
        <v>1</v>
      </c>
      <c r="P47" s="2806" t="str">
        <f>Sheet3!E27</f>
        <v>低区</v>
      </c>
      <c r="Q47" s="21">
        <f t="shared" si="19"/>
        <v>0.98</v>
      </c>
      <c r="R47" s="663">
        <f t="shared" ca="1" si="20"/>
        <v>33946</v>
      </c>
      <c r="S47" s="316">
        <f t="shared" ca="1" si="11"/>
        <v>304</v>
      </c>
    </row>
    <row r="48" spans="1:19">
      <c r="A48" s="665" t="str">
        <f>Sheet3!C28</f>
        <v>18-1-101</v>
      </c>
      <c r="B48" s="665">
        <f>Sheet3!D28</f>
        <v>86.93</v>
      </c>
      <c r="C48" s="21">
        <f t="shared" si="12"/>
        <v>1</v>
      </c>
      <c r="D48" s="2806" t="str">
        <f>Sheet3!F28</f>
        <v>小高层</v>
      </c>
      <c r="E48" s="21">
        <f t="shared" si="13"/>
        <v>1</v>
      </c>
      <c r="F48" s="667"/>
      <c r="G48" s="21">
        <f t="shared" si="14"/>
        <v>1</v>
      </c>
      <c r="H48" s="667"/>
      <c r="I48" s="21">
        <f t="shared" si="15"/>
        <v>1</v>
      </c>
      <c r="J48" s="667"/>
      <c r="K48" s="21">
        <f t="shared" si="16"/>
        <v>1</v>
      </c>
      <c r="L48" s="667"/>
      <c r="M48" s="21">
        <f t="shared" si="17"/>
        <v>1</v>
      </c>
      <c r="N48" s="667"/>
      <c r="O48" s="21">
        <f t="shared" si="18"/>
        <v>1</v>
      </c>
      <c r="P48" s="2806" t="str">
        <f>Sheet3!E28</f>
        <v>低区</v>
      </c>
      <c r="Q48" s="21">
        <f t="shared" si="19"/>
        <v>0.98</v>
      </c>
      <c r="R48" s="663">
        <f t="shared" ca="1" si="20"/>
        <v>33946</v>
      </c>
      <c r="S48" s="316">
        <f t="shared" ca="1" si="11"/>
        <v>295</v>
      </c>
    </row>
    <row r="49" spans="1:19">
      <c r="A49" s="665" t="str">
        <f>Sheet3!C29</f>
        <v>18-1-201</v>
      </c>
      <c r="B49" s="665">
        <f>Sheet3!D29</f>
        <v>86.93</v>
      </c>
      <c r="C49" s="21">
        <f t="shared" si="12"/>
        <v>1</v>
      </c>
      <c r="D49" s="667" t="str">
        <f>Sheet3!F29</f>
        <v>小高层</v>
      </c>
      <c r="E49" s="21">
        <f t="shared" si="13"/>
        <v>1</v>
      </c>
      <c r="F49" s="667"/>
      <c r="G49" s="21">
        <f t="shared" si="14"/>
        <v>1</v>
      </c>
      <c r="H49" s="667"/>
      <c r="I49" s="21">
        <f t="shared" si="15"/>
        <v>1</v>
      </c>
      <c r="J49" s="667"/>
      <c r="K49" s="21">
        <f t="shared" si="16"/>
        <v>1</v>
      </c>
      <c r="L49" s="667"/>
      <c r="M49" s="21">
        <f t="shared" si="17"/>
        <v>1</v>
      </c>
      <c r="N49" s="667"/>
      <c r="O49" s="21">
        <f t="shared" si="18"/>
        <v>1</v>
      </c>
      <c r="P49" s="2806" t="str">
        <f>Sheet3!E29</f>
        <v>低区</v>
      </c>
      <c r="Q49" s="21">
        <f t="shared" si="19"/>
        <v>0.98</v>
      </c>
      <c r="R49" s="663">
        <f t="shared" ca="1" si="20"/>
        <v>33946</v>
      </c>
      <c r="S49" s="316">
        <f t="shared" ca="1" si="11"/>
        <v>295</v>
      </c>
    </row>
    <row r="50" spans="1:19">
      <c r="A50" s="665" t="str">
        <f>Sheet3!C30</f>
        <v>18-1-301</v>
      </c>
      <c r="B50" s="665">
        <f>Sheet3!D30</f>
        <v>86.93</v>
      </c>
      <c r="C50" s="21">
        <f t="shared" si="12"/>
        <v>1</v>
      </c>
      <c r="D50" s="2806" t="str">
        <f>Sheet3!F30</f>
        <v>小高层</v>
      </c>
      <c r="E50" s="21">
        <f t="shared" si="13"/>
        <v>1</v>
      </c>
      <c r="F50" s="667"/>
      <c r="G50" s="21">
        <f t="shared" si="14"/>
        <v>1</v>
      </c>
      <c r="H50" s="667"/>
      <c r="I50" s="21">
        <f t="shared" si="15"/>
        <v>1</v>
      </c>
      <c r="J50" s="667"/>
      <c r="K50" s="21">
        <f t="shared" si="16"/>
        <v>1</v>
      </c>
      <c r="L50" s="667"/>
      <c r="M50" s="21">
        <f t="shared" si="17"/>
        <v>1</v>
      </c>
      <c r="N50" s="667"/>
      <c r="O50" s="21">
        <f t="shared" si="18"/>
        <v>1</v>
      </c>
      <c r="P50" s="2806" t="str">
        <f>Sheet3!E30</f>
        <v>低区</v>
      </c>
      <c r="Q50" s="21">
        <f t="shared" si="19"/>
        <v>0.98</v>
      </c>
      <c r="R50" s="663">
        <f t="shared" ca="1" si="20"/>
        <v>33946</v>
      </c>
      <c r="S50" s="316">
        <f t="shared" ca="1" si="11"/>
        <v>295</v>
      </c>
    </row>
    <row r="51" spans="1:19">
      <c r="A51" s="665" t="str">
        <f>Sheet3!C31</f>
        <v>18-1-401</v>
      </c>
      <c r="B51" s="665">
        <f>Sheet3!D31</f>
        <v>86.93</v>
      </c>
      <c r="C51" s="21">
        <f t="shared" si="12"/>
        <v>1</v>
      </c>
      <c r="D51" s="667" t="str">
        <f>Sheet3!F31</f>
        <v>小高层</v>
      </c>
      <c r="E51" s="21">
        <f t="shared" si="13"/>
        <v>1</v>
      </c>
      <c r="F51" s="667"/>
      <c r="G51" s="21">
        <f t="shared" si="14"/>
        <v>1</v>
      </c>
      <c r="H51" s="667"/>
      <c r="I51" s="21">
        <f t="shared" si="15"/>
        <v>1</v>
      </c>
      <c r="J51" s="667"/>
      <c r="K51" s="21">
        <f t="shared" si="16"/>
        <v>1</v>
      </c>
      <c r="L51" s="667"/>
      <c r="M51" s="21">
        <f t="shared" si="17"/>
        <v>1</v>
      </c>
      <c r="N51" s="667"/>
      <c r="O51" s="21">
        <f t="shared" si="18"/>
        <v>1</v>
      </c>
      <c r="P51" s="2806" t="str">
        <f>Sheet3!E31</f>
        <v>中区</v>
      </c>
      <c r="Q51" s="21">
        <f t="shared" si="19"/>
        <v>1</v>
      </c>
      <c r="R51" s="663">
        <f t="shared" ca="1" si="20"/>
        <v>34639</v>
      </c>
      <c r="S51" s="316">
        <f t="shared" ca="1" si="11"/>
        <v>301</v>
      </c>
    </row>
    <row r="52" spans="1:19">
      <c r="A52" s="665" t="str">
        <f>Sheet3!C32</f>
        <v>18-1-1001</v>
      </c>
      <c r="B52" s="665">
        <f>Sheet3!D32</f>
        <v>86.93</v>
      </c>
      <c r="C52" s="21">
        <f t="shared" si="12"/>
        <v>1</v>
      </c>
      <c r="D52" s="2806" t="str">
        <f>Sheet3!F32</f>
        <v>小高层</v>
      </c>
      <c r="E52" s="21">
        <f t="shared" si="13"/>
        <v>1</v>
      </c>
      <c r="F52" s="667"/>
      <c r="G52" s="21">
        <f t="shared" si="14"/>
        <v>1</v>
      </c>
      <c r="H52" s="667"/>
      <c r="I52" s="21">
        <f t="shared" si="15"/>
        <v>1</v>
      </c>
      <c r="J52" s="667"/>
      <c r="K52" s="21">
        <f t="shared" si="16"/>
        <v>1</v>
      </c>
      <c r="L52" s="667"/>
      <c r="M52" s="21">
        <f t="shared" si="17"/>
        <v>1</v>
      </c>
      <c r="N52" s="667"/>
      <c r="O52" s="21">
        <f t="shared" si="18"/>
        <v>1</v>
      </c>
      <c r="P52" s="2806" t="str">
        <f>Sheet3!E32</f>
        <v>高区</v>
      </c>
      <c r="Q52" s="21">
        <f t="shared" si="19"/>
        <v>1.02</v>
      </c>
      <c r="R52" s="663">
        <f t="shared" ca="1" si="20"/>
        <v>35332</v>
      </c>
      <c r="S52" s="316">
        <f t="shared" ca="1" si="11"/>
        <v>307</v>
      </c>
    </row>
    <row r="53" spans="1:19">
      <c r="A53" s="665" t="str">
        <f>Sheet3!C33</f>
        <v>18-2-101</v>
      </c>
      <c r="B53" s="665">
        <f>Sheet3!D33</f>
        <v>89.65</v>
      </c>
      <c r="C53" s="21">
        <f t="shared" si="12"/>
        <v>1</v>
      </c>
      <c r="D53" s="667" t="str">
        <f>Sheet3!F33</f>
        <v>小高层</v>
      </c>
      <c r="E53" s="21">
        <f t="shared" si="13"/>
        <v>1</v>
      </c>
      <c r="F53" s="667"/>
      <c r="G53" s="21">
        <f t="shared" si="14"/>
        <v>1</v>
      </c>
      <c r="H53" s="667"/>
      <c r="I53" s="21">
        <f t="shared" si="15"/>
        <v>1</v>
      </c>
      <c r="J53" s="667"/>
      <c r="K53" s="21">
        <f t="shared" si="16"/>
        <v>1</v>
      </c>
      <c r="L53" s="667"/>
      <c r="M53" s="21">
        <f t="shared" si="17"/>
        <v>1</v>
      </c>
      <c r="N53" s="667"/>
      <c r="O53" s="21">
        <f t="shared" si="18"/>
        <v>1</v>
      </c>
      <c r="P53" s="2806" t="str">
        <f>Sheet3!E33</f>
        <v>低区</v>
      </c>
      <c r="Q53" s="21">
        <f t="shared" si="19"/>
        <v>0.98</v>
      </c>
      <c r="R53" s="663">
        <f t="shared" ca="1" si="20"/>
        <v>33946</v>
      </c>
      <c r="S53" s="316">
        <f t="shared" ca="1" si="11"/>
        <v>304</v>
      </c>
    </row>
    <row r="54" spans="1:19">
      <c r="A54" s="665" t="str">
        <f>Sheet3!C34</f>
        <v>18-2-201</v>
      </c>
      <c r="B54" s="665">
        <f>Sheet3!D34</f>
        <v>89.65</v>
      </c>
      <c r="C54" s="21">
        <f t="shared" si="12"/>
        <v>1</v>
      </c>
      <c r="D54" s="2806" t="str">
        <f>Sheet3!F34</f>
        <v>小高层</v>
      </c>
      <c r="E54" s="21">
        <f t="shared" si="13"/>
        <v>1</v>
      </c>
      <c r="F54" s="667"/>
      <c r="G54" s="21">
        <f t="shared" si="14"/>
        <v>1</v>
      </c>
      <c r="H54" s="667"/>
      <c r="I54" s="21">
        <f t="shared" si="15"/>
        <v>1</v>
      </c>
      <c r="J54" s="667"/>
      <c r="K54" s="21">
        <f t="shared" si="16"/>
        <v>1</v>
      </c>
      <c r="L54" s="667"/>
      <c r="M54" s="21">
        <f t="shared" si="17"/>
        <v>1</v>
      </c>
      <c r="N54" s="667"/>
      <c r="O54" s="21">
        <f t="shared" si="18"/>
        <v>1</v>
      </c>
      <c r="P54" s="2806" t="str">
        <f>Sheet3!E34</f>
        <v>低区</v>
      </c>
      <c r="Q54" s="21">
        <f t="shared" si="19"/>
        <v>0.98</v>
      </c>
      <c r="R54" s="663">
        <f t="shared" ca="1" si="20"/>
        <v>33946</v>
      </c>
      <c r="S54" s="316">
        <f t="shared" ca="1" si="11"/>
        <v>304</v>
      </c>
    </row>
    <row r="55" spans="1:19">
      <c r="A55" s="665" t="str">
        <f>Sheet3!C35</f>
        <v>18-2-301</v>
      </c>
      <c r="B55" s="665">
        <f>Sheet3!D35</f>
        <v>89.65</v>
      </c>
      <c r="C55" s="21">
        <f t="shared" si="12"/>
        <v>1</v>
      </c>
      <c r="D55" s="667" t="str">
        <f>Sheet3!F35</f>
        <v>小高层</v>
      </c>
      <c r="E55" s="21">
        <f t="shared" si="13"/>
        <v>1</v>
      </c>
      <c r="F55" s="667"/>
      <c r="G55" s="21">
        <f t="shared" si="14"/>
        <v>1</v>
      </c>
      <c r="H55" s="667"/>
      <c r="I55" s="21">
        <f t="shared" si="15"/>
        <v>1</v>
      </c>
      <c r="J55" s="667"/>
      <c r="K55" s="21">
        <f t="shared" si="16"/>
        <v>1</v>
      </c>
      <c r="L55" s="667"/>
      <c r="M55" s="21">
        <f t="shared" si="17"/>
        <v>1</v>
      </c>
      <c r="N55" s="667"/>
      <c r="O55" s="21">
        <f t="shared" si="18"/>
        <v>1</v>
      </c>
      <c r="P55" s="2806" t="str">
        <f>Sheet3!E35</f>
        <v>低区</v>
      </c>
      <c r="Q55" s="21">
        <f t="shared" si="19"/>
        <v>0.98</v>
      </c>
      <c r="R55" s="663">
        <f t="shared" ca="1" si="20"/>
        <v>33946</v>
      </c>
      <c r="S55" s="316">
        <f t="shared" ref="S55:S77" ca="1" si="21">ROUND(R55*B55/10000,0)</f>
        <v>304</v>
      </c>
    </row>
    <row r="56" spans="1:19">
      <c r="A56" s="665" t="str">
        <f>Sheet3!C36</f>
        <v>18-2-1001</v>
      </c>
      <c r="B56" s="665">
        <f>Sheet3!D36</f>
        <v>89.65</v>
      </c>
      <c r="C56" s="21">
        <f t="shared" si="12"/>
        <v>1</v>
      </c>
      <c r="D56" s="2806" t="str">
        <f>Sheet3!F36</f>
        <v>小高层</v>
      </c>
      <c r="E56" s="21">
        <f t="shared" si="13"/>
        <v>1</v>
      </c>
      <c r="F56" s="667"/>
      <c r="G56" s="21">
        <f t="shared" si="14"/>
        <v>1</v>
      </c>
      <c r="H56" s="667"/>
      <c r="I56" s="21">
        <f t="shared" si="15"/>
        <v>1</v>
      </c>
      <c r="J56" s="667"/>
      <c r="K56" s="21">
        <f t="shared" si="16"/>
        <v>1</v>
      </c>
      <c r="L56" s="667"/>
      <c r="M56" s="21">
        <f t="shared" si="17"/>
        <v>1</v>
      </c>
      <c r="N56" s="667"/>
      <c r="O56" s="21">
        <f t="shared" si="18"/>
        <v>1</v>
      </c>
      <c r="P56" s="2806" t="str">
        <f>Sheet3!E36</f>
        <v>高区</v>
      </c>
      <c r="Q56" s="21">
        <f t="shared" si="19"/>
        <v>1.02</v>
      </c>
      <c r="R56" s="663">
        <f t="shared" ca="1" si="20"/>
        <v>35332</v>
      </c>
      <c r="S56" s="316">
        <f t="shared" ca="1" si="21"/>
        <v>317</v>
      </c>
    </row>
    <row r="57" spans="1:19">
      <c r="A57" s="665" t="str">
        <f>Sheet3!C37</f>
        <v>18-2-1002</v>
      </c>
      <c r="B57" s="665">
        <f>Sheet3!D37</f>
        <v>86.99</v>
      </c>
      <c r="C57" s="21">
        <f t="shared" si="12"/>
        <v>1</v>
      </c>
      <c r="D57" s="667" t="str">
        <f>Sheet3!F37</f>
        <v>小高层</v>
      </c>
      <c r="E57" s="21">
        <f t="shared" si="13"/>
        <v>1</v>
      </c>
      <c r="F57" s="667"/>
      <c r="G57" s="21">
        <f t="shared" si="14"/>
        <v>1</v>
      </c>
      <c r="H57" s="667"/>
      <c r="I57" s="21">
        <f t="shared" si="15"/>
        <v>1</v>
      </c>
      <c r="J57" s="667"/>
      <c r="K57" s="21">
        <f t="shared" si="16"/>
        <v>1</v>
      </c>
      <c r="L57" s="667"/>
      <c r="M57" s="21">
        <f t="shared" si="17"/>
        <v>1</v>
      </c>
      <c r="N57" s="667"/>
      <c r="O57" s="21">
        <f t="shared" si="18"/>
        <v>1</v>
      </c>
      <c r="P57" s="2806" t="str">
        <f>Sheet3!E37</f>
        <v>高区</v>
      </c>
      <c r="Q57" s="21">
        <f t="shared" si="19"/>
        <v>1.02</v>
      </c>
      <c r="R57" s="663">
        <f t="shared" ca="1" si="20"/>
        <v>35332</v>
      </c>
      <c r="S57" s="316">
        <f t="shared" ca="1" si="21"/>
        <v>307</v>
      </c>
    </row>
    <row r="58" spans="1:19">
      <c r="A58" s="665" t="str">
        <f>Sheet3!C38</f>
        <v>17-1-101</v>
      </c>
      <c r="B58" s="665">
        <f>Sheet3!D38</f>
        <v>87.04</v>
      </c>
      <c r="C58" s="21">
        <f t="shared" si="12"/>
        <v>1</v>
      </c>
      <c r="D58" s="2806" t="str">
        <f>Sheet3!F38</f>
        <v>小高层</v>
      </c>
      <c r="E58" s="21">
        <f t="shared" si="13"/>
        <v>1</v>
      </c>
      <c r="F58" s="667"/>
      <c r="G58" s="21">
        <f t="shared" si="14"/>
        <v>1</v>
      </c>
      <c r="H58" s="667"/>
      <c r="I58" s="21">
        <f t="shared" si="15"/>
        <v>1</v>
      </c>
      <c r="J58" s="667"/>
      <c r="K58" s="21">
        <f t="shared" si="16"/>
        <v>1</v>
      </c>
      <c r="L58" s="667"/>
      <c r="M58" s="21">
        <f t="shared" si="17"/>
        <v>1</v>
      </c>
      <c r="N58" s="667"/>
      <c r="O58" s="21">
        <f t="shared" si="18"/>
        <v>1</v>
      </c>
      <c r="P58" s="2806" t="str">
        <f>Sheet3!E38</f>
        <v>低区</v>
      </c>
      <c r="Q58" s="21">
        <f t="shared" si="19"/>
        <v>0.98</v>
      </c>
      <c r="R58" s="663">
        <f t="shared" ca="1" si="20"/>
        <v>33946</v>
      </c>
      <c r="S58" s="316">
        <f t="shared" ca="1" si="21"/>
        <v>295</v>
      </c>
    </row>
    <row r="59" spans="1:19">
      <c r="A59" s="665" t="str">
        <f>Sheet3!C39</f>
        <v>17-1-102</v>
      </c>
      <c r="B59" s="665">
        <f>Sheet3!D39</f>
        <v>89.7</v>
      </c>
      <c r="C59" s="21">
        <f t="shared" si="12"/>
        <v>1</v>
      </c>
      <c r="D59" s="667" t="str">
        <f>Sheet3!F39</f>
        <v>小高层</v>
      </c>
      <c r="E59" s="21">
        <f t="shared" si="13"/>
        <v>1</v>
      </c>
      <c r="F59" s="667"/>
      <c r="G59" s="21">
        <f t="shared" si="14"/>
        <v>1</v>
      </c>
      <c r="H59" s="667"/>
      <c r="I59" s="21">
        <f t="shared" si="15"/>
        <v>1</v>
      </c>
      <c r="J59" s="667"/>
      <c r="K59" s="21">
        <f t="shared" si="16"/>
        <v>1</v>
      </c>
      <c r="L59" s="667"/>
      <c r="M59" s="21">
        <f t="shared" si="17"/>
        <v>1</v>
      </c>
      <c r="N59" s="667"/>
      <c r="O59" s="21">
        <f t="shared" si="18"/>
        <v>1</v>
      </c>
      <c r="P59" s="2806" t="str">
        <f>Sheet3!E39</f>
        <v>低区</v>
      </c>
      <c r="Q59" s="21">
        <f t="shared" si="19"/>
        <v>0.98</v>
      </c>
      <c r="R59" s="663">
        <f t="shared" ca="1" si="20"/>
        <v>33946</v>
      </c>
      <c r="S59" s="316">
        <f t="shared" ca="1" si="21"/>
        <v>304</v>
      </c>
    </row>
    <row r="60" spans="1:19">
      <c r="A60" s="665" t="str">
        <f>Sheet3!C40</f>
        <v>17-1-201</v>
      </c>
      <c r="B60" s="665">
        <f>Sheet3!D40</f>
        <v>87.04</v>
      </c>
      <c r="C60" s="21">
        <f t="shared" si="12"/>
        <v>1</v>
      </c>
      <c r="D60" s="2806" t="str">
        <f>Sheet3!F40</f>
        <v>小高层</v>
      </c>
      <c r="E60" s="21">
        <f t="shared" si="13"/>
        <v>1</v>
      </c>
      <c r="F60" s="667"/>
      <c r="G60" s="21">
        <f t="shared" si="14"/>
        <v>1</v>
      </c>
      <c r="H60" s="667"/>
      <c r="I60" s="21">
        <f t="shared" si="15"/>
        <v>1</v>
      </c>
      <c r="J60" s="667"/>
      <c r="K60" s="21">
        <f t="shared" si="16"/>
        <v>1</v>
      </c>
      <c r="L60" s="667"/>
      <c r="M60" s="21">
        <f t="shared" si="17"/>
        <v>1</v>
      </c>
      <c r="N60" s="667"/>
      <c r="O60" s="21">
        <f t="shared" si="18"/>
        <v>1</v>
      </c>
      <c r="P60" s="2806" t="str">
        <f>Sheet3!E40</f>
        <v>低区</v>
      </c>
      <c r="Q60" s="21">
        <f t="shared" si="19"/>
        <v>0.98</v>
      </c>
      <c r="R60" s="663">
        <f t="shared" ca="1" si="20"/>
        <v>33946</v>
      </c>
      <c r="S60" s="316">
        <f t="shared" ca="1" si="21"/>
        <v>295</v>
      </c>
    </row>
    <row r="61" spans="1:19">
      <c r="A61" s="665" t="str">
        <f>Sheet3!C41</f>
        <v>17-1-202</v>
      </c>
      <c r="B61" s="665">
        <f>Sheet3!D41</f>
        <v>89.7</v>
      </c>
      <c r="C61" s="21">
        <f t="shared" si="12"/>
        <v>1</v>
      </c>
      <c r="D61" s="667" t="str">
        <f>Sheet3!F41</f>
        <v>小高层</v>
      </c>
      <c r="E61" s="21">
        <f t="shared" si="13"/>
        <v>1</v>
      </c>
      <c r="F61" s="667"/>
      <c r="G61" s="21">
        <f t="shared" si="14"/>
        <v>1</v>
      </c>
      <c r="H61" s="667"/>
      <c r="I61" s="21">
        <f t="shared" si="15"/>
        <v>1</v>
      </c>
      <c r="J61" s="667"/>
      <c r="K61" s="21">
        <f t="shared" si="16"/>
        <v>1</v>
      </c>
      <c r="L61" s="667"/>
      <c r="M61" s="21">
        <f t="shared" si="17"/>
        <v>1</v>
      </c>
      <c r="N61" s="667"/>
      <c r="O61" s="21">
        <f t="shared" si="18"/>
        <v>1</v>
      </c>
      <c r="P61" s="2806" t="str">
        <f>Sheet3!E41</f>
        <v>低区</v>
      </c>
      <c r="Q61" s="21">
        <f t="shared" si="19"/>
        <v>0.98</v>
      </c>
      <c r="R61" s="663">
        <f t="shared" ca="1" si="20"/>
        <v>33946</v>
      </c>
      <c r="S61" s="316">
        <f t="shared" ca="1" si="21"/>
        <v>304</v>
      </c>
    </row>
    <row r="62" spans="1:19">
      <c r="A62" s="665" t="str">
        <f>Sheet3!C42</f>
        <v>17-1-301</v>
      </c>
      <c r="B62" s="665">
        <f>Sheet3!D42</f>
        <v>87.04</v>
      </c>
      <c r="C62" s="21">
        <f t="shared" si="12"/>
        <v>1</v>
      </c>
      <c r="D62" s="2806" t="str">
        <f>Sheet3!F42</f>
        <v>小高层</v>
      </c>
      <c r="E62" s="21">
        <f t="shared" si="13"/>
        <v>1</v>
      </c>
      <c r="F62" s="667"/>
      <c r="G62" s="21">
        <f t="shared" si="14"/>
        <v>1</v>
      </c>
      <c r="H62" s="667"/>
      <c r="I62" s="21">
        <f t="shared" si="15"/>
        <v>1</v>
      </c>
      <c r="J62" s="667"/>
      <c r="K62" s="21">
        <f t="shared" si="16"/>
        <v>1</v>
      </c>
      <c r="L62" s="667"/>
      <c r="M62" s="21">
        <f t="shared" si="17"/>
        <v>1</v>
      </c>
      <c r="N62" s="667"/>
      <c r="O62" s="21">
        <f t="shared" si="18"/>
        <v>1</v>
      </c>
      <c r="P62" s="2806" t="str">
        <f>Sheet3!E42</f>
        <v>低区</v>
      </c>
      <c r="Q62" s="21">
        <f t="shared" si="19"/>
        <v>0.98</v>
      </c>
      <c r="R62" s="663">
        <f t="shared" ca="1" si="20"/>
        <v>33946</v>
      </c>
      <c r="S62" s="316">
        <f t="shared" ca="1" si="21"/>
        <v>295</v>
      </c>
    </row>
    <row r="63" spans="1:19">
      <c r="A63" s="665" t="str">
        <f>Sheet3!C43</f>
        <v>17-1-302</v>
      </c>
      <c r="B63" s="665">
        <f>Sheet3!D43</f>
        <v>89.7</v>
      </c>
      <c r="C63" s="21">
        <f t="shared" si="12"/>
        <v>1</v>
      </c>
      <c r="D63" s="667" t="str">
        <f>Sheet3!F43</f>
        <v>小高层</v>
      </c>
      <c r="E63" s="21">
        <f t="shared" si="13"/>
        <v>1</v>
      </c>
      <c r="F63" s="667"/>
      <c r="G63" s="21">
        <f t="shared" si="14"/>
        <v>1</v>
      </c>
      <c r="H63" s="667"/>
      <c r="I63" s="21">
        <f t="shared" si="15"/>
        <v>1</v>
      </c>
      <c r="J63" s="667"/>
      <c r="K63" s="21">
        <f t="shared" si="16"/>
        <v>1</v>
      </c>
      <c r="L63" s="667"/>
      <c r="M63" s="21">
        <f t="shared" si="17"/>
        <v>1</v>
      </c>
      <c r="N63" s="667"/>
      <c r="O63" s="21">
        <f t="shared" si="18"/>
        <v>1</v>
      </c>
      <c r="P63" s="2806" t="str">
        <f>Sheet3!E43</f>
        <v>低区</v>
      </c>
      <c r="Q63" s="21">
        <f t="shared" si="19"/>
        <v>0.98</v>
      </c>
      <c r="R63" s="663">
        <f t="shared" ca="1" si="20"/>
        <v>33946</v>
      </c>
      <c r="S63" s="316">
        <f t="shared" ca="1" si="21"/>
        <v>304</v>
      </c>
    </row>
    <row r="64" spans="1:19">
      <c r="A64" s="665" t="str">
        <f>Sheet3!C44</f>
        <v>17-1-401</v>
      </c>
      <c r="B64" s="665">
        <f>Sheet3!D44</f>
        <v>87.04</v>
      </c>
      <c r="C64" s="21">
        <f t="shared" si="12"/>
        <v>1</v>
      </c>
      <c r="D64" s="2806" t="str">
        <f>Sheet3!F44</f>
        <v>小高层</v>
      </c>
      <c r="E64" s="21">
        <f t="shared" si="13"/>
        <v>1</v>
      </c>
      <c r="F64" s="667"/>
      <c r="G64" s="21">
        <f t="shared" si="14"/>
        <v>1</v>
      </c>
      <c r="H64" s="667"/>
      <c r="I64" s="21">
        <f t="shared" si="15"/>
        <v>1</v>
      </c>
      <c r="J64" s="667"/>
      <c r="K64" s="21">
        <f t="shared" si="16"/>
        <v>1</v>
      </c>
      <c r="L64" s="667"/>
      <c r="M64" s="21">
        <f t="shared" si="17"/>
        <v>1</v>
      </c>
      <c r="N64" s="667"/>
      <c r="O64" s="21">
        <f t="shared" si="18"/>
        <v>1</v>
      </c>
      <c r="P64" s="2806" t="str">
        <f>Sheet3!E44</f>
        <v>中区</v>
      </c>
      <c r="Q64" s="21">
        <f t="shared" si="19"/>
        <v>1</v>
      </c>
      <c r="R64" s="663">
        <f t="shared" ca="1" si="20"/>
        <v>34639</v>
      </c>
      <c r="S64" s="316">
        <f t="shared" ca="1" si="21"/>
        <v>301</v>
      </c>
    </row>
    <row r="65" spans="1:19">
      <c r="A65" s="665" t="str">
        <f>Sheet3!C45</f>
        <v>17-1-501</v>
      </c>
      <c r="B65" s="665">
        <f>Sheet3!D45</f>
        <v>87.04</v>
      </c>
      <c r="C65" s="21">
        <f t="shared" si="12"/>
        <v>1</v>
      </c>
      <c r="D65" s="667" t="str">
        <f>Sheet3!F45</f>
        <v>小高层</v>
      </c>
      <c r="E65" s="21">
        <f t="shared" si="13"/>
        <v>1</v>
      </c>
      <c r="F65" s="667"/>
      <c r="G65" s="21">
        <f t="shared" si="14"/>
        <v>1</v>
      </c>
      <c r="H65" s="667"/>
      <c r="I65" s="21">
        <f t="shared" si="15"/>
        <v>1</v>
      </c>
      <c r="J65" s="667"/>
      <c r="K65" s="21">
        <f t="shared" si="16"/>
        <v>1</v>
      </c>
      <c r="L65" s="667"/>
      <c r="M65" s="21">
        <f t="shared" si="17"/>
        <v>1</v>
      </c>
      <c r="N65" s="667"/>
      <c r="O65" s="21">
        <f t="shared" si="18"/>
        <v>1</v>
      </c>
      <c r="P65" s="2806" t="str">
        <f>Sheet3!E45</f>
        <v>中区</v>
      </c>
      <c r="Q65" s="21">
        <f t="shared" si="19"/>
        <v>1</v>
      </c>
      <c r="R65" s="663">
        <f t="shared" ca="1" si="20"/>
        <v>34639</v>
      </c>
      <c r="S65" s="316">
        <f t="shared" ca="1" si="21"/>
        <v>301</v>
      </c>
    </row>
    <row r="66" spans="1:19">
      <c r="A66" s="665" t="str">
        <f>Sheet3!C46</f>
        <v>17-1-601</v>
      </c>
      <c r="B66" s="665">
        <f>Sheet3!D46</f>
        <v>87.04</v>
      </c>
      <c r="C66" s="21">
        <f t="shared" si="12"/>
        <v>1</v>
      </c>
      <c r="D66" s="2806" t="str">
        <f>Sheet3!F46</f>
        <v>小高层</v>
      </c>
      <c r="E66" s="21">
        <f t="shared" si="13"/>
        <v>1</v>
      </c>
      <c r="F66" s="667"/>
      <c r="G66" s="21">
        <f t="shared" si="14"/>
        <v>1</v>
      </c>
      <c r="H66" s="667"/>
      <c r="I66" s="21">
        <f t="shared" si="15"/>
        <v>1</v>
      </c>
      <c r="J66" s="667"/>
      <c r="K66" s="21">
        <f t="shared" si="16"/>
        <v>1</v>
      </c>
      <c r="L66" s="667"/>
      <c r="M66" s="21">
        <f t="shared" si="17"/>
        <v>1</v>
      </c>
      <c r="N66" s="667"/>
      <c r="O66" s="21">
        <f t="shared" si="18"/>
        <v>1</v>
      </c>
      <c r="P66" s="2806" t="str">
        <f>Sheet3!E46</f>
        <v>中区</v>
      </c>
      <c r="Q66" s="21">
        <f t="shared" si="19"/>
        <v>1</v>
      </c>
      <c r="R66" s="663">
        <f t="shared" ca="1" si="20"/>
        <v>34639</v>
      </c>
      <c r="S66" s="316">
        <f t="shared" ca="1" si="21"/>
        <v>301</v>
      </c>
    </row>
    <row r="67" spans="1:19">
      <c r="A67" s="665" t="str">
        <f>Sheet3!C47</f>
        <v>17-1-701</v>
      </c>
      <c r="B67" s="665">
        <f>Sheet3!D47</f>
        <v>87.04</v>
      </c>
      <c r="C67" s="21">
        <f t="shared" si="12"/>
        <v>1</v>
      </c>
      <c r="D67" s="667" t="str">
        <f>Sheet3!F47</f>
        <v>小高层</v>
      </c>
      <c r="E67" s="21">
        <f t="shared" si="13"/>
        <v>1</v>
      </c>
      <c r="F67" s="667"/>
      <c r="G67" s="21">
        <f t="shared" si="14"/>
        <v>1</v>
      </c>
      <c r="H67" s="667"/>
      <c r="I67" s="21">
        <f t="shared" si="15"/>
        <v>1</v>
      </c>
      <c r="J67" s="667"/>
      <c r="K67" s="21">
        <f t="shared" si="16"/>
        <v>1</v>
      </c>
      <c r="L67" s="667"/>
      <c r="M67" s="21">
        <f t="shared" si="17"/>
        <v>1</v>
      </c>
      <c r="N67" s="667"/>
      <c r="O67" s="21">
        <f t="shared" si="18"/>
        <v>1</v>
      </c>
      <c r="P67" s="2806" t="str">
        <f>Sheet3!E47</f>
        <v>中区</v>
      </c>
      <c r="Q67" s="21">
        <f t="shared" si="19"/>
        <v>1</v>
      </c>
      <c r="R67" s="663">
        <f t="shared" ca="1" si="20"/>
        <v>34639</v>
      </c>
      <c r="S67" s="316">
        <f t="shared" ca="1" si="21"/>
        <v>301</v>
      </c>
    </row>
    <row r="68" spans="1:19">
      <c r="A68" s="665" t="str">
        <f>Sheet3!C48</f>
        <v>17-1-801</v>
      </c>
      <c r="B68" s="665">
        <f>Sheet3!D48</f>
        <v>87.04</v>
      </c>
      <c r="C68" s="21">
        <f t="shared" si="12"/>
        <v>1</v>
      </c>
      <c r="D68" s="2806" t="str">
        <f>Sheet3!F48</f>
        <v>小高层</v>
      </c>
      <c r="E68" s="21">
        <f t="shared" si="13"/>
        <v>1</v>
      </c>
      <c r="F68" s="667"/>
      <c r="G68" s="21">
        <f t="shared" si="14"/>
        <v>1</v>
      </c>
      <c r="H68" s="667"/>
      <c r="I68" s="21">
        <f t="shared" si="15"/>
        <v>1</v>
      </c>
      <c r="J68" s="667"/>
      <c r="K68" s="21">
        <f t="shared" si="16"/>
        <v>1</v>
      </c>
      <c r="L68" s="667"/>
      <c r="M68" s="21">
        <f t="shared" si="17"/>
        <v>1</v>
      </c>
      <c r="N68" s="667"/>
      <c r="O68" s="21">
        <f t="shared" si="18"/>
        <v>1</v>
      </c>
      <c r="P68" s="2806" t="str">
        <f>Sheet3!E48</f>
        <v>高区</v>
      </c>
      <c r="Q68" s="21">
        <f t="shared" si="19"/>
        <v>1.02</v>
      </c>
      <c r="R68" s="663">
        <f t="shared" ca="1" si="20"/>
        <v>35332</v>
      </c>
      <c r="S68" s="316">
        <f t="shared" ca="1" si="21"/>
        <v>308</v>
      </c>
    </row>
    <row r="69" spans="1:19">
      <c r="A69" s="665" t="str">
        <f>Sheet3!C49</f>
        <v>17-1-1101</v>
      </c>
      <c r="B69" s="665">
        <f>Sheet3!D49</f>
        <v>87.04</v>
      </c>
      <c r="C69" s="21">
        <f t="shared" si="12"/>
        <v>1</v>
      </c>
      <c r="D69" s="667" t="str">
        <f>Sheet3!F49</f>
        <v>小高层</v>
      </c>
      <c r="E69" s="21">
        <f t="shared" si="13"/>
        <v>1</v>
      </c>
      <c r="F69" s="667"/>
      <c r="G69" s="21">
        <f t="shared" si="14"/>
        <v>1</v>
      </c>
      <c r="H69" s="667"/>
      <c r="I69" s="21">
        <f t="shared" si="15"/>
        <v>1</v>
      </c>
      <c r="J69" s="667"/>
      <c r="K69" s="21">
        <f t="shared" si="16"/>
        <v>1</v>
      </c>
      <c r="L69" s="667"/>
      <c r="M69" s="21">
        <f t="shared" si="17"/>
        <v>1</v>
      </c>
      <c r="N69" s="667"/>
      <c r="O69" s="21">
        <f t="shared" si="18"/>
        <v>1</v>
      </c>
      <c r="P69" s="2806" t="str">
        <f>Sheet3!E49</f>
        <v>高区</v>
      </c>
      <c r="Q69" s="21">
        <f t="shared" si="19"/>
        <v>1.02</v>
      </c>
      <c r="R69" s="663">
        <f t="shared" ca="1" si="20"/>
        <v>35332</v>
      </c>
      <c r="S69" s="316">
        <f t="shared" ca="1" si="21"/>
        <v>308</v>
      </c>
    </row>
    <row r="70" spans="1:19">
      <c r="A70" s="665" t="str">
        <f>Sheet3!C50</f>
        <v>17-1-1102</v>
      </c>
      <c r="B70" s="665">
        <f>Sheet3!D50</f>
        <v>89.7</v>
      </c>
      <c r="C70" s="21">
        <f t="shared" si="12"/>
        <v>1</v>
      </c>
      <c r="D70" s="2806" t="str">
        <f>Sheet3!F50</f>
        <v>小高层</v>
      </c>
      <c r="E70" s="21">
        <f t="shared" si="13"/>
        <v>1</v>
      </c>
      <c r="F70" s="667"/>
      <c r="G70" s="21">
        <f t="shared" si="14"/>
        <v>1</v>
      </c>
      <c r="H70" s="667"/>
      <c r="I70" s="21">
        <f t="shared" si="15"/>
        <v>1</v>
      </c>
      <c r="J70" s="667"/>
      <c r="K70" s="21">
        <f t="shared" si="16"/>
        <v>1</v>
      </c>
      <c r="L70" s="667"/>
      <c r="M70" s="21">
        <f t="shared" si="17"/>
        <v>1</v>
      </c>
      <c r="N70" s="667"/>
      <c r="O70" s="21">
        <f t="shared" si="18"/>
        <v>1</v>
      </c>
      <c r="P70" s="2806" t="str">
        <f>Sheet3!E50</f>
        <v>高区</v>
      </c>
      <c r="Q70" s="21">
        <f t="shared" si="19"/>
        <v>1.02</v>
      </c>
      <c r="R70" s="663">
        <f t="shared" ca="1" si="20"/>
        <v>35332</v>
      </c>
      <c r="S70" s="316">
        <f t="shared" ca="1" si="21"/>
        <v>317</v>
      </c>
    </row>
    <row r="71" spans="1:19">
      <c r="A71" s="665" t="str">
        <f>Sheet3!C51</f>
        <v>17-2-101</v>
      </c>
      <c r="B71" s="665">
        <f>Sheet3!D51</f>
        <v>89.7</v>
      </c>
      <c r="C71" s="21">
        <f t="shared" si="12"/>
        <v>1</v>
      </c>
      <c r="D71" s="667" t="str">
        <f>Sheet3!F51</f>
        <v>小高层</v>
      </c>
      <c r="E71" s="21">
        <f t="shared" si="13"/>
        <v>1</v>
      </c>
      <c r="F71" s="667"/>
      <c r="G71" s="21">
        <f t="shared" si="14"/>
        <v>1</v>
      </c>
      <c r="H71" s="667"/>
      <c r="I71" s="21">
        <f t="shared" si="15"/>
        <v>1</v>
      </c>
      <c r="J71" s="667"/>
      <c r="K71" s="21">
        <f t="shared" si="16"/>
        <v>1</v>
      </c>
      <c r="L71" s="667"/>
      <c r="M71" s="21">
        <f t="shared" si="17"/>
        <v>1</v>
      </c>
      <c r="N71" s="667"/>
      <c r="O71" s="21">
        <f t="shared" si="18"/>
        <v>1</v>
      </c>
      <c r="P71" s="2806" t="str">
        <f>Sheet3!E51</f>
        <v>低区</v>
      </c>
      <c r="Q71" s="21">
        <f t="shared" si="19"/>
        <v>0.98</v>
      </c>
      <c r="R71" s="663">
        <f t="shared" ca="1" si="20"/>
        <v>33946</v>
      </c>
      <c r="S71" s="316">
        <f t="shared" ca="1" si="21"/>
        <v>304</v>
      </c>
    </row>
    <row r="72" spans="1:19">
      <c r="A72" s="665" t="str">
        <f>Sheet3!C52</f>
        <v>17-2-102</v>
      </c>
      <c r="B72" s="665">
        <f>Sheet3!D52</f>
        <v>87.04</v>
      </c>
      <c r="C72" s="21">
        <f t="shared" si="12"/>
        <v>1</v>
      </c>
      <c r="D72" s="2806" t="str">
        <f>Sheet3!F52</f>
        <v>小高层</v>
      </c>
      <c r="E72" s="21">
        <f t="shared" si="13"/>
        <v>1</v>
      </c>
      <c r="F72" s="667"/>
      <c r="G72" s="21">
        <f t="shared" si="14"/>
        <v>1</v>
      </c>
      <c r="H72" s="667"/>
      <c r="I72" s="21">
        <f t="shared" si="15"/>
        <v>1</v>
      </c>
      <c r="J72" s="667"/>
      <c r="K72" s="21">
        <f t="shared" si="16"/>
        <v>1</v>
      </c>
      <c r="L72" s="667"/>
      <c r="M72" s="21">
        <f t="shared" si="17"/>
        <v>1</v>
      </c>
      <c r="N72" s="667"/>
      <c r="O72" s="21">
        <f t="shared" si="18"/>
        <v>1</v>
      </c>
      <c r="P72" s="2806" t="str">
        <f>Sheet3!E52</f>
        <v>低区</v>
      </c>
      <c r="Q72" s="21">
        <f t="shared" si="19"/>
        <v>0.98</v>
      </c>
      <c r="R72" s="663">
        <f t="shared" ca="1" si="20"/>
        <v>33946</v>
      </c>
      <c r="S72" s="316">
        <f t="shared" ca="1" si="21"/>
        <v>295</v>
      </c>
    </row>
    <row r="73" spans="1:19">
      <c r="A73" s="665" t="str">
        <f>Sheet3!C53</f>
        <v>17-2-201</v>
      </c>
      <c r="B73" s="665">
        <f>Sheet3!D53</f>
        <v>89.7</v>
      </c>
      <c r="C73" s="21">
        <f t="shared" si="12"/>
        <v>1</v>
      </c>
      <c r="D73" s="667" t="str">
        <f>Sheet3!F53</f>
        <v>小高层</v>
      </c>
      <c r="E73" s="21">
        <f t="shared" si="13"/>
        <v>1</v>
      </c>
      <c r="F73" s="667"/>
      <c r="G73" s="21">
        <f t="shared" si="14"/>
        <v>1</v>
      </c>
      <c r="H73" s="667"/>
      <c r="I73" s="21">
        <f t="shared" si="15"/>
        <v>1</v>
      </c>
      <c r="J73" s="667"/>
      <c r="K73" s="21">
        <f t="shared" si="16"/>
        <v>1</v>
      </c>
      <c r="L73" s="667"/>
      <c r="M73" s="21">
        <f t="shared" si="17"/>
        <v>1</v>
      </c>
      <c r="N73" s="667"/>
      <c r="O73" s="21">
        <f t="shared" si="18"/>
        <v>1</v>
      </c>
      <c r="P73" s="2806" t="str">
        <f>Sheet3!E53</f>
        <v>低区</v>
      </c>
      <c r="Q73" s="21">
        <f t="shared" si="19"/>
        <v>0.98</v>
      </c>
      <c r="R73" s="663">
        <f t="shared" ca="1" si="20"/>
        <v>33946</v>
      </c>
      <c r="S73" s="316">
        <f t="shared" ca="1" si="21"/>
        <v>304</v>
      </c>
    </row>
    <row r="74" spans="1:19">
      <c r="A74" s="665" t="str">
        <f>Sheet3!C54</f>
        <v>17-2-202</v>
      </c>
      <c r="B74" s="665">
        <f>Sheet3!D54</f>
        <v>87.04</v>
      </c>
      <c r="C74" s="21">
        <f t="shared" si="12"/>
        <v>1</v>
      </c>
      <c r="D74" s="2806" t="str">
        <f>Sheet3!F54</f>
        <v>小高层</v>
      </c>
      <c r="E74" s="21">
        <f t="shared" si="13"/>
        <v>1</v>
      </c>
      <c r="F74" s="667"/>
      <c r="G74" s="21">
        <f t="shared" si="14"/>
        <v>1</v>
      </c>
      <c r="H74" s="667"/>
      <c r="I74" s="21">
        <f t="shared" si="15"/>
        <v>1</v>
      </c>
      <c r="J74" s="667"/>
      <c r="K74" s="21">
        <f t="shared" si="16"/>
        <v>1</v>
      </c>
      <c r="L74" s="667"/>
      <c r="M74" s="21">
        <f t="shared" si="17"/>
        <v>1</v>
      </c>
      <c r="N74" s="667"/>
      <c r="O74" s="21">
        <f t="shared" si="18"/>
        <v>1</v>
      </c>
      <c r="P74" s="2806" t="str">
        <f>Sheet3!E54</f>
        <v>低区</v>
      </c>
      <c r="Q74" s="21">
        <f t="shared" si="19"/>
        <v>0.98</v>
      </c>
      <c r="R74" s="663">
        <f t="shared" ca="1" si="20"/>
        <v>33946</v>
      </c>
      <c r="S74" s="316">
        <f t="shared" ca="1" si="21"/>
        <v>295</v>
      </c>
    </row>
    <row r="75" spans="1:19">
      <c r="A75" s="665" t="str">
        <f>Sheet3!C55</f>
        <v>17-2-301</v>
      </c>
      <c r="B75" s="665">
        <f>Sheet3!D55</f>
        <v>89.7</v>
      </c>
      <c r="C75" s="21">
        <f t="shared" si="12"/>
        <v>1</v>
      </c>
      <c r="D75" s="667" t="str">
        <f>Sheet3!F55</f>
        <v>小高层</v>
      </c>
      <c r="E75" s="21">
        <f t="shared" si="13"/>
        <v>1</v>
      </c>
      <c r="F75" s="667"/>
      <c r="G75" s="21">
        <f t="shared" si="14"/>
        <v>1</v>
      </c>
      <c r="H75" s="667"/>
      <c r="I75" s="21">
        <f t="shared" si="15"/>
        <v>1</v>
      </c>
      <c r="J75" s="667"/>
      <c r="K75" s="21">
        <f t="shared" si="16"/>
        <v>1</v>
      </c>
      <c r="L75" s="667"/>
      <c r="M75" s="21">
        <f t="shared" si="17"/>
        <v>1</v>
      </c>
      <c r="N75" s="667"/>
      <c r="O75" s="21">
        <f t="shared" si="18"/>
        <v>1</v>
      </c>
      <c r="P75" s="2806" t="str">
        <f>Sheet3!E55</f>
        <v>低区</v>
      </c>
      <c r="Q75" s="21">
        <f t="shared" si="19"/>
        <v>0.98</v>
      </c>
      <c r="R75" s="663">
        <f t="shared" ca="1" si="20"/>
        <v>33946</v>
      </c>
      <c r="S75" s="316">
        <f t="shared" ca="1" si="21"/>
        <v>304</v>
      </c>
    </row>
    <row r="76" spans="1:19">
      <c r="A76" s="665" t="str">
        <f>Sheet3!C56</f>
        <v>17-2-302</v>
      </c>
      <c r="B76" s="665">
        <f>Sheet3!D56</f>
        <v>87.04</v>
      </c>
      <c r="C76" s="21">
        <f t="shared" si="12"/>
        <v>1</v>
      </c>
      <c r="D76" s="2806" t="str">
        <f>Sheet3!F56</f>
        <v>小高层</v>
      </c>
      <c r="E76" s="21">
        <f t="shared" si="13"/>
        <v>1</v>
      </c>
      <c r="F76" s="667"/>
      <c r="G76" s="21">
        <f t="shared" si="14"/>
        <v>1</v>
      </c>
      <c r="H76" s="667"/>
      <c r="I76" s="21">
        <f t="shared" si="15"/>
        <v>1</v>
      </c>
      <c r="J76" s="667"/>
      <c r="K76" s="21">
        <f t="shared" si="16"/>
        <v>1</v>
      </c>
      <c r="L76" s="667"/>
      <c r="M76" s="21">
        <f t="shared" si="17"/>
        <v>1</v>
      </c>
      <c r="N76" s="667"/>
      <c r="O76" s="21">
        <f t="shared" si="18"/>
        <v>1</v>
      </c>
      <c r="P76" s="2806" t="str">
        <f>Sheet3!E56</f>
        <v>低区</v>
      </c>
      <c r="Q76" s="21">
        <f t="shared" si="19"/>
        <v>0.98</v>
      </c>
      <c r="R76" s="663">
        <f t="shared" ca="1" si="20"/>
        <v>33946</v>
      </c>
      <c r="S76" s="316">
        <f t="shared" ca="1" si="21"/>
        <v>295</v>
      </c>
    </row>
    <row r="77" spans="1:19">
      <c r="A77" s="665" t="str">
        <f>Sheet3!C57</f>
        <v>17-2-402</v>
      </c>
      <c r="B77" s="665">
        <f>Sheet3!D57</f>
        <v>87.04</v>
      </c>
      <c r="C77" s="21">
        <f t="shared" si="12"/>
        <v>1</v>
      </c>
      <c r="D77" s="667" t="str">
        <f>Sheet3!F57</f>
        <v>小高层</v>
      </c>
      <c r="E77" s="21">
        <f t="shared" si="13"/>
        <v>1</v>
      </c>
      <c r="F77" s="667"/>
      <c r="G77" s="21">
        <f t="shared" si="14"/>
        <v>1</v>
      </c>
      <c r="H77" s="667"/>
      <c r="I77" s="21">
        <f t="shared" si="15"/>
        <v>1</v>
      </c>
      <c r="J77" s="667"/>
      <c r="K77" s="21">
        <f t="shared" si="16"/>
        <v>1</v>
      </c>
      <c r="L77" s="667"/>
      <c r="M77" s="21">
        <f t="shared" si="17"/>
        <v>1</v>
      </c>
      <c r="N77" s="667"/>
      <c r="O77" s="21">
        <f t="shared" si="18"/>
        <v>1</v>
      </c>
      <c r="P77" s="2806" t="str">
        <f>Sheet3!E57</f>
        <v>中区</v>
      </c>
      <c r="Q77" s="21">
        <f t="shared" si="19"/>
        <v>1</v>
      </c>
      <c r="R77" s="663">
        <f t="shared" ca="1" si="20"/>
        <v>34639</v>
      </c>
      <c r="S77" s="316">
        <f t="shared" ca="1" si="21"/>
        <v>301</v>
      </c>
    </row>
    <row r="78" spans="1:19">
      <c r="A78" s="665" t="str">
        <f>Sheet3!C58</f>
        <v>17-2-502</v>
      </c>
      <c r="B78" s="665">
        <f>Sheet3!D58</f>
        <v>87.04</v>
      </c>
      <c r="C78" s="21">
        <f t="shared" si="12"/>
        <v>1</v>
      </c>
      <c r="D78" s="2806" t="str">
        <f>Sheet3!F58</f>
        <v>小高层</v>
      </c>
      <c r="E78" s="21">
        <f t="shared" si="13"/>
        <v>1</v>
      </c>
      <c r="F78" s="667"/>
      <c r="G78" s="21">
        <f t="shared" si="14"/>
        <v>1</v>
      </c>
      <c r="H78" s="667"/>
      <c r="I78" s="21">
        <f t="shared" si="15"/>
        <v>1</v>
      </c>
      <c r="J78" s="667"/>
      <c r="K78" s="21">
        <f t="shared" si="16"/>
        <v>1</v>
      </c>
      <c r="L78" s="667"/>
      <c r="M78" s="21">
        <f t="shared" si="17"/>
        <v>1</v>
      </c>
      <c r="N78" s="667"/>
      <c r="O78" s="21">
        <f t="shared" si="18"/>
        <v>1</v>
      </c>
      <c r="P78" s="2806" t="str">
        <f>Sheet3!E58</f>
        <v>中区</v>
      </c>
      <c r="Q78" s="21">
        <f t="shared" si="19"/>
        <v>1</v>
      </c>
      <c r="R78" s="663">
        <f t="shared" ca="1" si="20"/>
        <v>34639</v>
      </c>
      <c r="S78" s="316">
        <f t="shared" ref="S78:S122" ca="1" si="22">ROUND(R78*B78/10000,0)</f>
        <v>301</v>
      </c>
    </row>
    <row r="79" spans="1:19">
      <c r="A79" s="665" t="str">
        <f>Sheet3!C59</f>
        <v>17-2-602</v>
      </c>
      <c r="B79" s="665">
        <f>Sheet3!D59</f>
        <v>87.04</v>
      </c>
      <c r="C79" s="21">
        <f t="shared" si="12"/>
        <v>1</v>
      </c>
      <c r="D79" s="667" t="str">
        <f>Sheet3!F59</f>
        <v>小高层</v>
      </c>
      <c r="E79" s="21">
        <f t="shared" si="13"/>
        <v>1</v>
      </c>
      <c r="F79" s="667"/>
      <c r="G79" s="21">
        <f t="shared" si="14"/>
        <v>1</v>
      </c>
      <c r="H79" s="667"/>
      <c r="I79" s="21">
        <f t="shared" si="15"/>
        <v>1</v>
      </c>
      <c r="J79" s="667"/>
      <c r="K79" s="21">
        <f t="shared" si="16"/>
        <v>1</v>
      </c>
      <c r="L79" s="667"/>
      <c r="M79" s="21">
        <f t="shared" si="17"/>
        <v>1</v>
      </c>
      <c r="N79" s="667"/>
      <c r="O79" s="21">
        <f t="shared" si="18"/>
        <v>1</v>
      </c>
      <c r="P79" s="2806" t="str">
        <f>Sheet3!E59</f>
        <v>中区</v>
      </c>
      <c r="Q79" s="21">
        <f t="shared" si="19"/>
        <v>1</v>
      </c>
      <c r="R79" s="663">
        <f t="shared" ca="1" si="20"/>
        <v>34639</v>
      </c>
      <c r="S79" s="316">
        <f t="shared" ca="1" si="22"/>
        <v>301</v>
      </c>
    </row>
    <row r="80" spans="1:19">
      <c r="A80" s="665" t="str">
        <f>Sheet3!C60</f>
        <v>17-2-802</v>
      </c>
      <c r="B80" s="665">
        <f>Sheet3!D60</f>
        <v>87.04</v>
      </c>
      <c r="C80" s="21">
        <f t="shared" si="12"/>
        <v>1</v>
      </c>
      <c r="D80" s="2806" t="str">
        <f>Sheet3!F60</f>
        <v>小高层</v>
      </c>
      <c r="E80" s="21">
        <f t="shared" si="13"/>
        <v>1</v>
      </c>
      <c r="F80" s="667"/>
      <c r="G80" s="21">
        <f t="shared" si="14"/>
        <v>1</v>
      </c>
      <c r="H80" s="667"/>
      <c r="I80" s="21">
        <f t="shared" si="15"/>
        <v>1</v>
      </c>
      <c r="J80" s="667"/>
      <c r="K80" s="21">
        <f t="shared" si="16"/>
        <v>1</v>
      </c>
      <c r="L80" s="667"/>
      <c r="M80" s="21">
        <f t="shared" si="17"/>
        <v>1</v>
      </c>
      <c r="N80" s="667"/>
      <c r="O80" s="21">
        <f t="shared" si="18"/>
        <v>1</v>
      </c>
      <c r="P80" s="2806" t="str">
        <f>Sheet3!E60</f>
        <v>高区</v>
      </c>
      <c r="Q80" s="21">
        <f t="shared" si="19"/>
        <v>1.02</v>
      </c>
      <c r="R80" s="663">
        <f t="shared" ca="1" si="20"/>
        <v>35332</v>
      </c>
      <c r="S80" s="316">
        <f t="shared" ca="1" si="22"/>
        <v>308</v>
      </c>
    </row>
    <row r="81" spans="1:19">
      <c r="A81" s="665" t="str">
        <f>Sheet3!C61</f>
        <v>17-2-1001</v>
      </c>
      <c r="B81" s="665">
        <f>Sheet3!D61</f>
        <v>89.7</v>
      </c>
      <c r="C81" s="21">
        <f t="shared" si="12"/>
        <v>1</v>
      </c>
      <c r="D81" s="667" t="str">
        <f>Sheet3!F61</f>
        <v>小高层</v>
      </c>
      <c r="E81" s="21">
        <f t="shared" si="13"/>
        <v>1</v>
      </c>
      <c r="F81" s="667"/>
      <c r="G81" s="21">
        <f t="shared" si="14"/>
        <v>1</v>
      </c>
      <c r="H81" s="667"/>
      <c r="I81" s="21">
        <f t="shared" si="15"/>
        <v>1</v>
      </c>
      <c r="J81" s="667"/>
      <c r="K81" s="21">
        <f t="shared" si="16"/>
        <v>1</v>
      </c>
      <c r="L81" s="667"/>
      <c r="M81" s="21">
        <f t="shared" si="17"/>
        <v>1</v>
      </c>
      <c r="N81" s="667"/>
      <c r="O81" s="21">
        <f t="shared" si="18"/>
        <v>1</v>
      </c>
      <c r="P81" s="2806" t="str">
        <f>Sheet3!E61</f>
        <v>高区</v>
      </c>
      <c r="Q81" s="21">
        <f t="shared" si="19"/>
        <v>1.02</v>
      </c>
      <c r="R81" s="663">
        <f t="shared" ca="1" si="20"/>
        <v>35332</v>
      </c>
      <c r="S81" s="316">
        <f t="shared" ca="1" si="22"/>
        <v>317</v>
      </c>
    </row>
    <row r="82" spans="1:19">
      <c r="A82" s="665" t="str">
        <f>Sheet3!C62</f>
        <v>17-2-1102</v>
      </c>
      <c r="B82" s="665">
        <f>Sheet3!D62</f>
        <v>87.04</v>
      </c>
      <c r="C82" s="21">
        <f t="shared" si="12"/>
        <v>1</v>
      </c>
      <c r="D82" s="2806" t="str">
        <f>Sheet3!F62</f>
        <v>小高层</v>
      </c>
      <c r="E82" s="21">
        <f t="shared" si="13"/>
        <v>1</v>
      </c>
      <c r="F82" s="667"/>
      <c r="G82" s="21">
        <f t="shared" si="14"/>
        <v>1</v>
      </c>
      <c r="H82" s="667"/>
      <c r="I82" s="21">
        <f t="shared" si="15"/>
        <v>1</v>
      </c>
      <c r="J82" s="667"/>
      <c r="K82" s="21">
        <f t="shared" si="16"/>
        <v>1</v>
      </c>
      <c r="L82" s="667"/>
      <c r="M82" s="21">
        <f t="shared" si="17"/>
        <v>1</v>
      </c>
      <c r="N82" s="667"/>
      <c r="O82" s="21">
        <f t="shared" si="18"/>
        <v>1</v>
      </c>
      <c r="P82" s="2806" t="str">
        <f>Sheet3!E62</f>
        <v>高区</v>
      </c>
      <c r="Q82" s="21">
        <f t="shared" si="19"/>
        <v>1.02</v>
      </c>
      <c r="R82" s="663">
        <f t="shared" ca="1" si="20"/>
        <v>35332</v>
      </c>
      <c r="S82" s="316">
        <f t="shared" ca="1" si="22"/>
        <v>308</v>
      </c>
    </row>
    <row r="83" spans="1:19">
      <c r="A83" s="665" t="str">
        <f>Sheet3!C63</f>
        <v>15-1-101</v>
      </c>
      <c r="B83" s="665">
        <f>Sheet3!D63</f>
        <v>84.16</v>
      </c>
      <c r="C83" s="21">
        <f t="shared" si="12"/>
        <v>1</v>
      </c>
      <c r="D83" s="667" t="str">
        <f>Sheet3!F63</f>
        <v>小高层</v>
      </c>
      <c r="E83" s="21">
        <f t="shared" si="13"/>
        <v>1</v>
      </c>
      <c r="F83" s="667"/>
      <c r="G83" s="21">
        <f t="shared" si="14"/>
        <v>1</v>
      </c>
      <c r="H83" s="667"/>
      <c r="I83" s="21">
        <f t="shared" si="15"/>
        <v>1</v>
      </c>
      <c r="J83" s="667"/>
      <c r="K83" s="21">
        <f t="shared" si="16"/>
        <v>1</v>
      </c>
      <c r="L83" s="667"/>
      <c r="M83" s="21">
        <f t="shared" si="17"/>
        <v>1</v>
      </c>
      <c r="N83" s="667"/>
      <c r="O83" s="21">
        <f t="shared" si="18"/>
        <v>1</v>
      </c>
      <c r="P83" s="2806" t="str">
        <f>Sheet3!E63</f>
        <v>低区</v>
      </c>
      <c r="Q83" s="21">
        <f t="shared" si="19"/>
        <v>0.98</v>
      </c>
      <c r="R83" s="663">
        <f t="shared" ca="1" si="20"/>
        <v>33946</v>
      </c>
      <c r="S83" s="316">
        <f t="shared" ca="1" si="22"/>
        <v>286</v>
      </c>
    </row>
    <row r="84" spans="1:19">
      <c r="A84" s="665" t="str">
        <f>Sheet3!C64</f>
        <v>15-1-102</v>
      </c>
      <c r="B84" s="665">
        <f>Sheet3!D64</f>
        <v>109.42</v>
      </c>
      <c r="C84" s="21">
        <f t="shared" si="12"/>
        <v>0.99</v>
      </c>
      <c r="D84" s="2806" t="str">
        <f>Sheet3!F64</f>
        <v>小高层</v>
      </c>
      <c r="E84" s="21">
        <f t="shared" si="13"/>
        <v>1</v>
      </c>
      <c r="F84" s="667"/>
      <c r="G84" s="21">
        <f t="shared" si="14"/>
        <v>1</v>
      </c>
      <c r="H84" s="667"/>
      <c r="I84" s="21">
        <f t="shared" si="15"/>
        <v>1</v>
      </c>
      <c r="J84" s="667"/>
      <c r="K84" s="21">
        <f t="shared" si="16"/>
        <v>1</v>
      </c>
      <c r="L84" s="667"/>
      <c r="M84" s="21">
        <f t="shared" si="17"/>
        <v>1</v>
      </c>
      <c r="N84" s="667"/>
      <c r="O84" s="21">
        <f t="shared" si="18"/>
        <v>1</v>
      </c>
      <c r="P84" s="2806" t="str">
        <f>Sheet3!E64</f>
        <v>低区</v>
      </c>
      <c r="Q84" s="21">
        <f t="shared" si="19"/>
        <v>0.98</v>
      </c>
      <c r="R84" s="663">
        <f t="shared" ca="1" si="20"/>
        <v>33607</v>
      </c>
      <c r="S84" s="316">
        <f t="shared" ca="1" si="22"/>
        <v>368</v>
      </c>
    </row>
    <row r="85" spans="1:19">
      <c r="A85" s="665" t="str">
        <f>Sheet3!C65</f>
        <v>15-1-201</v>
      </c>
      <c r="B85" s="665">
        <f>Sheet3!D65</f>
        <v>84.16</v>
      </c>
      <c r="C85" s="21">
        <f t="shared" si="12"/>
        <v>1</v>
      </c>
      <c r="D85" s="667" t="str">
        <f>Sheet3!F65</f>
        <v>小高层</v>
      </c>
      <c r="E85" s="21">
        <f t="shared" si="13"/>
        <v>1</v>
      </c>
      <c r="F85" s="667"/>
      <c r="G85" s="21">
        <f t="shared" si="14"/>
        <v>1</v>
      </c>
      <c r="H85" s="667"/>
      <c r="I85" s="21">
        <f t="shared" si="15"/>
        <v>1</v>
      </c>
      <c r="J85" s="667"/>
      <c r="K85" s="21">
        <f t="shared" si="16"/>
        <v>1</v>
      </c>
      <c r="L85" s="667"/>
      <c r="M85" s="21">
        <f t="shared" si="17"/>
        <v>1</v>
      </c>
      <c r="N85" s="667"/>
      <c r="O85" s="21">
        <f t="shared" si="18"/>
        <v>1</v>
      </c>
      <c r="P85" s="2806" t="str">
        <f>Sheet3!E65</f>
        <v>低区</v>
      </c>
      <c r="Q85" s="21">
        <f t="shared" si="19"/>
        <v>0.98</v>
      </c>
      <c r="R85" s="663">
        <f t="shared" ca="1" si="20"/>
        <v>33946</v>
      </c>
      <c r="S85" s="316">
        <f t="shared" ca="1" si="22"/>
        <v>286</v>
      </c>
    </row>
    <row r="86" spans="1:19">
      <c r="A86" s="665" t="str">
        <f>Sheet3!C66</f>
        <v>15-1-301</v>
      </c>
      <c r="B86" s="665">
        <f>Sheet3!D66</f>
        <v>84.16</v>
      </c>
      <c r="C86" s="21">
        <f t="shared" si="12"/>
        <v>1</v>
      </c>
      <c r="D86" s="2806" t="str">
        <f>Sheet3!F66</f>
        <v>小高层</v>
      </c>
      <c r="E86" s="21">
        <f t="shared" si="13"/>
        <v>1</v>
      </c>
      <c r="F86" s="667"/>
      <c r="G86" s="21">
        <f t="shared" si="14"/>
        <v>1</v>
      </c>
      <c r="H86" s="667"/>
      <c r="I86" s="21">
        <f t="shared" si="15"/>
        <v>1</v>
      </c>
      <c r="J86" s="667"/>
      <c r="K86" s="21">
        <f t="shared" si="16"/>
        <v>1</v>
      </c>
      <c r="L86" s="667"/>
      <c r="M86" s="21">
        <f t="shared" si="17"/>
        <v>1</v>
      </c>
      <c r="N86" s="667"/>
      <c r="O86" s="21">
        <f t="shared" si="18"/>
        <v>1</v>
      </c>
      <c r="P86" s="2806" t="str">
        <f>Sheet3!E66</f>
        <v>低区</v>
      </c>
      <c r="Q86" s="21">
        <f t="shared" si="19"/>
        <v>0.98</v>
      </c>
      <c r="R86" s="663">
        <f t="shared" ca="1" si="20"/>
        <v>33946</v>
      </c>
      <c r="S86" s="316">
        <f t="shared" ca="1" si="22"/>
        <v>286</v>
      </c>
    </row>
    <row r="87" spans="1:19">
      <c r="A87" s="665" t="str">
        <f>Sheet3!C67</f>
        <v>15-1-401</v>
      </c>
      <c r="B87" s="665">
        <f>Sheet3!D67</f>
        <v>84.16</v>
      </c>
      <c r="C87" s="21">
        <f t="shared" si="12"/>
        <v>1</v>
      </c>
      <c r="D87" s="667" t="str">
        <f>Sheet3!F67</f>
        <v>小高层</v>
      </c>
      <c r="E87" s="21">
        <f t="shared" si="13"/>
        <v>1</v>
      </c>
      <c r="F87" s="667"/>
      <c r="G87" s="21">
        <f t="shared" si="14"/>
        <v>1</v>
      </c>
      <c r="H87" s="667"/>
      <c r="I87" s="21">
        <f t="shared" si="15"/>
        <v>1</v>
      </c>
      <c r="J87" s="667"/>
      <c r="K87" s="21">
        <f t="shared" si="16"/>
        <v>1</v>
      </c>
      <c r="L87" s="667"/>
      <c r="M87" s="21">
        <f t="shared" si="17"/>
        <v>1</v>
      </c>
      <c r="N87" s="667"/>
      <c r="O87" s="21">
        <f t="shared" si="18"/>
        <v>1</v>
      </c>
      <c r="P87" s="2806" t="str">
        <f>Sheet3!E67</f>
        <v>中区</v>
      </c>
      <c r="Q87" s="21">
        <f t="shared" si="19"/>
        <v>1</v>
      </c>
      <c r="R87" s="663">
        <f t="shared" ca="1" si="20"/>
        <v>34639</v>
      </c>
      <c r="S87" s="316">
        <f t="shared" ca="1" si="22"/>
        <v>292</v>
      </c>
    </row>
    <row r="88" spans="1:19">
      <c r="A88" s="665" t="str">
        <f>Sheet3!C68</f>
        <v>15-1-501</v>
      </c>
      <c r="B88" s="665">
        <f>Sheet3!D68</f>
        <v>84.16</v>
      </c>
      <c r="C88" s="21">
        <f t="shared" si="12"/>
        <v>1</v>
      </c>
      <c r="D88" s="2806" t="str">
        <f>Sheet3!F68</f>
        <v>小高层</v>
      </c>
      <c r="E88" s="21">
        <f t="shared" si="13"/>
        <v>1</v>
      </c>
      <c r="F88" s="667"/>
      <c r="G88" s="21">
        <f t="shared" si="14"/>
        <v>1</v>
      </c>
      <c r="H88" s="667"/>
      <c r="I88" s="21">
        <f t="shared" si="15"/>
        <v>1</v>
      </c>
      <c r="J88" s="667"/>
      <c r="K88" s="21">
        <f t="shared" si="16"/>
        <v>1</v>
      </c>
      <c r="L88" s="667"/>
      <c r="M88" s="21">
        <f t="shared" si="17"/>
        <v>1</v>
      </c>
      <c r="N88" s="667"/>
      <c r="O88" s="21">
        <f t="shared" si="18"/>
        <v>1</v>
      </c>
      <c r="P88" s="2806" t="str">
        <f>Sheet3!E68</f>
        <v>中区</v>
      </c>
      <c r="Q88" s="21">
        <f t="shared" si="19"/>
        <v>1</v>
      </c>
      <c r="R88" s="663">
        <f t="shared" ca="1" si="20"/>
        <v>34639</v>
      </c>
      <c r="S88" s="316">
        <f t="shared" ca="1" si="22"/>
        <v>292</v>
      </c>
    </row>
    <row r="89" spans="1:19">
      <c r="A89" s="665" t="str">
        <f>Sheet3!C69</f>
        <v>15-1-502</v>
      </c>
      <c r="B89" s="665">
        <f>Sheet3!D69</f>
        <v>109.42</v>
      </c>
      <c r="C89" s="21">
        <f t="shared" si="12"/>
        <v>0.99</v>
      </c>
      <c r="D89" s="667" t="str">
        <f>Sheet3!F69</f>
        <v>小高层</v>
      </c>
      <c r="E89" s="21">
        <f t="shared" si="13"/>
        <v>1</v>
      </c>
      <c r="F89" s="667"/>
      <c r="G89" s="21">
        <f t="shared" si="14"/>
        <v>1</v>
      </c>
      <c r="H89" s="667"/>
      <c r="I89" s="21">
        <f t="shared" si="15"/>
        <v>1</v>
      </c>
      <c r="J89" s="667"/>
      <c r="K89" s="21">
        <f t="shared" si="16"/>
        <v>1</v>
      </c>
      <c r="L89" s="667"/>
      <c r="M89" s="21">
        <f t="shared" si="17"/>
        <v>1</v>
      </c>
      <c r="N89" s="667"/>
      <c r="O89" s="21">
        <f t="shared" si="18"/>
        <v>1</v>
      </c>
      <c r="P89" s="2806" t="str">
        <f>Sheet3!E69</f>
        <v>中区</v>
      </c>
      <c r="Q89" s="21">
        <f t="shared" si="19"/>
        <v>1</v>
      </c>
      <c r="R89" s="663">
        <f t="shared" ca="1" si="20"/>
        <v>34293</v>
      </c>
      <c r="S89" s="316">
        <f t="shared" ca="1" si="22"/>
        <v>375</v>
      </c>
    </row>
    <row r="90" spans="1:19">
      <c r="A90" s="665" t="str">
        <f>Sheet3!C70</f>
        <v>15-1-601</v>
      </c>
      <c r="B90" s="665">
        <f>Sheet3!D70</f>
        <v>84.16</v>
      </c>
      <c r="C90" s="21">
        <f t="shared" ref="C90:C153" si="23">IF(B90="",1,(LOOKUP(B90,$3:$3,$4:$4)-LOOKUP($B$24,$3:$3,$4:$4)+100)/100)</f>
        <v>1</v>
      </c>
      <c r="D90" s="2806" t="str">
        <f>Sheet3!F70</f>
        <v>小高层</v>
      </c>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2806" t="str">
        <f>Sheet3!E70</f>
        <v>中区</v>
      </c>
      <c r="Q90" s="21">
        <f t="shared" ref="Q90:Q153" si="30">(SUMIF($17:$17,P90,$18:$18)-SUMIF($17:$17,$P$24,$18:$18)+100)/100</f>
        <v>1</v>
      </c>
      <c r="R90" s="663">
        <f t="shared" ref="R90:R153" ca="1" si="31">IF(B90="",0,ROUND($R$24*C90*E90*G90*I90*K90*M90*O90*Q90,0))</f>
        <v>34639</v>
      </c>
      <c r="S90" s="316">
        <f t="shared" ca="1" si="22"/>
        <v>292</v>
      </c>
    </row>
    <row r="91" spans="1:19">
      <c r="A91" s="665" t="str">
        <f>Sheet3!C71</f>
        <v>15-1-701</v>
      </c>
      <c r="B91" s="665">
        <f>Sheet3!D71</f>
        <v>84.16</v>
      </c>
      <c r="C91" s="21">
        <f t="shared" si="23"/>
        <v>1</v>
      </c>
      <c r="D91" s="667" t="str">
        <f>Sheet3!F71</f>
        <v>小高层</v>
      </c>
      <c r="E91" s="21">
        <f t="shared" si="24"/>
        <v>1</v>
      </c>
      <c r="F91" s="667"/>
      <c r="G91" s="21">
        <f t="shared" si="25"/>
        <v>1</v>
      </c>
      <c r="H91" s="667"/>
      <c r="I91" s="21">
        <f t="shared" si="26"/>
        <v>1</v>
      </c>
      <c r="J91" s="667"/>
      <c r="K91" s="21">
        <f t="shared" si="27"/>
        <v>1</v>
      </c>
      <c r="L91" s="667"/>
      <c r="M91" s="21">
        <f t="shared" si="28"/>
        <v>1</v>
      </c>
      <c r="N91" s="667"/>
      <c r="O91" s="21">
        <f t="shared" si="29"/>
        <v>1</v>
      </c>
      <c r="P91" s="2806" t="str">
        <f>Sheet3!E71</f>
        <v>中区</v>
      </c>
      <c r="Q91" s="21">
        <f t="shared" si="30"/>
        <v>1</v>
      </c>
      <c r="R91" s="663">
        <f t="shared" ca="1" si="31"/>
        <v>34639</v>
      </c>
      <c r="S91" s="316">
        <f t="shared" ca="1" si="22"/>
        <v>292</v>
      </c>
    </row>
    <row r="92" spans="1:19">
      <c r="A92" s="665" t="str">
        <f>Sheet3!C72</f>
        <v>15-1-801</v>
      </c>
      <c r="B92" s="665">
        <f>Sheet3!D72</f>
        <v>84.16</v>
      </c>
      <c r="C92" s="21">
        <f t="shared" si="23"/>
        <v>1</v>
      </c>
      <c r="D92" s="2806" t="str">
        <f>Sheet3!F72</f>
        <v>小高层</v>
      </c>
      <c r="E92" s="21">
        <f t="shared" si="24"/>
        <v>1</v>
      </c>
      <c r="F92" s="667"/>
      <c r="G92" s="21">
        <f t="shared" si="25"/>
        <v>1</v>
      </c>
      <c r="H92" s="667"/>
      <c r="I92" s="21">
        <f t="shared" si="26"/>
        <v>1</v>
      </c>
      <c r="J92" s="667"/>
      <c r="K92" s="21">
        <f t="shared" si="27"/>
        <v>1</v>
      </c>
      <c r="L92" s="667"/>
      <c r="M92" s="21">
        <f t="shared" si="28"/>
        <v>1</v>
      </c>
      <c r="N92" s="667"/>
      <c r="O92" s="21">
        <f t="shared" si="29"/>
        <v>1</v>
      </c>
      <c r="P92" s="2806" t="str">
        <f>Sheet3!E72</f>
        <v>高区</v>
      </c>
      <c r="Q92" s="21">
        <f t="shared" si="30"/>
        <v>1.02</v>
      </c>
      <c r="R92" s="663">
        <f t="shared" ca="1" si="31"/>
        <v>35332</v>
      </c>
      <c r="S92" s="316">
        <f t="shared" ca="1" si="22"/>
        <v>297</v>
      </c>
    </row>
    <row r="93" spans="1:19">
      <c r="A93" s="665" t="str">
        <f>Sheet3!C73</f>
        <v>15-1-901</v>
      </c>
      <c r="B93" s="665">
        <f>Sheet3!D73</f>
        <v>84.16</v>
      </c>
      <c r="C93" s="21">
        <f t="shared" si="23"/>
        <v>1</v>
      </c>
      <c r="D93" s="667" t="str">
        <f>Sheet3!F73</f>
        <v>小高层</v>
      </c>
      <c r="E93" s="21">
        <f t="shared" si="24"/>
        <v>1</v>
      </c>
      <c r="F93" s="667"/>
      <c r="G93" s="21">
        <f t="shared" si="25"/>
        <v>1</v>
      </c>
      <c r="H93" s="667"/>
      <c r="I93" s="21">
        <f t="shared" si="26"/>
        <v>1</v>
      </c>
      <c r="J93" s="667"/>
      <c r="K93" s="21">
        <f t="shared" si="27"/>
        <v>1</v>
      </c>
      <c r="L93" s="667"/>
      <c r="M93" s="21">
        <f t="shared" si="28"/>
        <v>1</v>
      </c>
      <c r="N93" s="667"/>
      <c r="O93" s="21">
        <f t="shared" si="29"/>
        <v>1</v>
      </c>
      <c r="P93" s="2806" t="str">
        <f>Sheet3!E73</f>
        <v>高区</v>
      </c>
      <c r="Q93" s="21">
        <f t="shared" si="30"/>
        <v>1.02</v>
      </c>
      <c r="R93" s="663">
        <f t="shared" ca="1" si="31"/>
        <v>35332</v>
      </c>
      <c r="S93" s="316">
        <f t="shared" ca="1" si="22"/>
        <v>297</v>
      </c>
    </row>
    <row r="94" spans="1:19">
      <c r="A94" s="665" t="str">
        <f>Sheet3!C74</f>
        <v>15-1-1001</v>
      </c>
      <c r="B94" s="665">
        <f>Sheet3!D74</f>
        <v>84.16</v>
      </c>
      <c r="C94" s="21">
        <f t="shared" si="23"/>
        <v>1</v>
      </c>
      <c r="D94" s="2806" t="str">
        <f>Sheet3!F74</f>
        <v>小高层</v>
      </c>
      <c r="E94" s="21">
        <f t="shared" si="24"/>
        <v>1</v>
      </c>
      <c r="F94" s="667"/>
      <c r="G94" s="21">
        <f t="shared" si="25"/>
        <v>1</v>
      </c>
      <c r="H94" s="667"/>
      <c r="I94" s="21">
        <f t="shared" si="26"/>
        <v>1</v>
      </c>
      <c r="J94" s="667"/>
      <c r="K94" s="21">
        <f t="shared" si="27"/>
        <v>1</v>
      </c>
      <c r="L94" s="667"/>
      <c r="M94" s="21">
        <f t="shared" si="28"/>
        <v>1</v>
      </c>
      <c r="N94" s="667"/>
      <c r="O94" s="21">
        <f t="shared" si="29"/>
        <v>1</v>
      </c>
      <c r="P94" s="2806" t="str">
        <f>Sheet3!E74</f>
        <v>高区</v>
      </c>
      <c r="Q94" s="21">
        <f t="shared" si="30"/>
        <v>1.02</v>
      </c>
      <c r="R94" s="663">
        <f t="shared" ca="1" si="31"/>
        <v>35332</v>
      </c>
      <c r="S94" s="316">
        <f t="shared" ca="1" si="22"/>
        <v>297</v>
      </c>
    </row>
    <row r="95" spans="1:19">
      <c r="A95" s="665" t="str">
        <f>Sheet3!C75</f>
        <v>15-1-1101</v>
      </c>
      <c r="B95" s="665">
        <f>Sheet3!D75</f>
        <v>84.16</v>
      </c>
      <c r="C95" s="21">
        <f t="shared" si="23"/>
        <v>1</v>
      </c>
      <c r="D95" s="667" t="str">
        <f>Sheet3!F75</f>
        <v>小高层</v>
      </c>
      <c r="E95" s="21">
        <f t="shared" si="24"/>
        <v>1</v>
      </c>
      <c r="F95" s="667"/>
      <c r="G95" s="21">
        <f t="shared" si="25"/>
        <v>1</v>
      </c>
      <c r="H95" s="667"/>
      <c r="I95" s="21">
        <f t="shared" si="26"/>
        <v>1</v>
      </c>
      <c r="J95" s="667"/>
      <c r="K95" s="21">
        <f t="shared" si="27"/>
        <v>1</v>
      </c>
      <c r="L95" s="667"/>
      <c r="M95" s="21">
        <f t="shared" si="28"/>
        <v>1</v>
      </c>
      <c r="N95" s="667"/>
      <c r="O95" s="21">
        <f t="shared" si="29"/>
        <v>1</v>
      </c>
      <c r="P95" s="2806" t="str">
        <f>Sheet3!E75</f>
        <v>高区</v>
      </c>
      <c r="Q95" s="21">
        <f t="shared" si="30"/>
        <v>1.02</v>
      </c>
      <c r="R95" s="663">
        <f t="shared" ca="1" si="31"/>
        <v>35332</v>
      </c>
      <c r="S95" s="316">
        <f t="shared" ca="1" si="22"/>
        <v>297</v>
      </c>
    </row>
    <row r="96" spans="1:19">
      <c r="A96" s="665" t="str">
        <f>Sheet3!C76</f>
        <v>15-2-102</v>
      </c>
      <c r="B96" s="665">
        <f>Sheet3!D76</f>
        <v>168.31</v>
      </c>
      <c r="C96" s="21">
        <f t="shared" si="23"/>
        <v>0.98</v>
      </c>
      <c r="D96" s="2806" t="str">
        <f>Sheet3!F76</f>
        <v>小高层</v>
      </c>
      <c r="E96" s="21">
        <f t="shared" si="24"/>
        <v>1</v>
      </c>
      <c r="F96" s="667"/>
      <c r="G96" s="21">
        <f t="shared" si="25"/>
        <v>1</v>
      </c>
      <c r="H96" s="667"/>
      <c r="I96" s="21">
        <f t="shared" si="26"/>
        <v>1</v>
      </c>
      <c r="J96" s="667"/>
      <c r="K96" s="21">
        <f t="shared" si="27"/>
        <v>1</v>
      </c>
      <c r="L96" s="667"/>
      <c r="M96" s="21">
        <f t="shared" si="28"/>
        <v>1</v>
      </c>
      <c r="N96" s="667"/>
      <c r="O96" s="21">
        <f t="shared" si="29"/>
        <v>1</v>
      </c>
      <c r="P96" s="2806" t="str">
        <f>Sheet3!E76</f>
        <v>低区</v>
      </c>
      <c r="Q96" s="21">
        <f t="shared" si="30"/>
        <v>0.98</v>
      </c>
      <c r="R96" s="663">
        <f t="shared" ca="1" si="31"/>
        <v>33267</v>
      </c>
      <c r="S96" s="316">
        <f t="shared" ca="1" si="22"/>
        <v>560</v>
      </c>
    </row>
    <row r="97" spans="1:19">
      <c r="A97" s="665" t="str">
        <f>Sheet3!C77</f>
        <v>15-2-302</v>
      </c>
      <c r="B97" s="665">
        <f>Sheet3!D77</f>
        <v>84.16</v>
      </c>
      <c r="C97" s="21">
        <f t="shared" si="23"/>
        <v>1</v>
      </c>
      <c r="D97" s="667" t="str">
        <f>Sheet3!F77</f>
        <v>小高层</v>
      </c>
      <c r="E97" s="21">
        <f t="shared" si="24"/>
        <v>1</v>
      </c>
      <c r="F97" s="667"/>
      <c r="G97" s="21">
        <f t="shared" si="25"/>
        <v>1</v>
      </c>
      <c r="H97" s="667"/>
      <c r="I97" s="21">
        <f t="shared" si="26"/>
        <v>1</v>
      </c>
      <c r="J97" s="667"/>
      <c r="K97" s="21">
        <f t="shared" si="27"/>
        <v>1</v>
      </c>
      <c r="L97" s="667"/>
      <c r="M97" s="21">
        <f t="shared" si="28"/>
        <v>1</v>
      </c>
      <c r="N97" s="667"/>
      <c r="O97" s="21">
        <f t="shared" si="29"/>
        <v>1</v>
      </c>
      <c r="P97" s="2806" t="str">
        <f>Sheet3!E77</f>
        <v>低区</v>
      </c>
      <c r="Q97" s="21">
        <f t="shared" si="30"/>
        <v>0.98</v>
      </c>
      <c r="R97" s="663">
        <f t="shared" ca="1" si="31"/>
        <v>33946</v>
      </c>
      <c r="S97" s="316">
        <f t="shared" ca="1" si="22"/>
        <v>286</v>
      </c>
    </row>
    <row r="98" spans="1:19">
      <c r="A98" s="665" t="str">
        <f>Sheet3!C78</f>
        <v>15-2-402</v>
      </c>
      <c r="B98" s="665">
        <f>Sheet3!D78</f>
        <v>84.16</v>
      </c>
      <c r="C98" s="21">
        <f t="shared" si="23"/>
        <v>1</v>
      </c>
      <c r="D98" s="2806" t="str">
        <f>Sheet3!F78</f>
        <v>小高层</v>
      </c>
      <c r="E98" s="21">
        <f t="shared" si="24"/>
        <v>1</v>
      </c>
      <c r="F98" s="667"/>
      <c r="G98" s="21">
        <f t="shared" si="25"/>
        <v>1</v>
      </c>
      <c r="H98" s="667"/>
      <c r="I98" s="21">
        <f t="shared" si="26"/>
        <v>1</v>
      </c>
      <c r="J98" s="667"/>
      <c r="K98" s="21">
        <f t="shared" si="27"/>
        <v>1</v>
      </c>
      <c r="L98" s="667"/>
      <c r="M98" s="21">
        <f t="shared" si="28"/>
        <v>1</v>
      </c>
      <c r="N98" s="667"/>
      <c r="O98" s="21">
        <f t="shared" si="29"/>
        <v>1</v>
      </c>
      <c r="P98" s="2806" t="str">
        <f>Sheet3!E78</f>
        <v>中区</v>
      </c>
      <c r="Q98" s="21">
        <f t="shared" si="30"/>
        <v>1</v>
      </c>
      <c r="R98" s="663">
        <f t="shared" ca="1" si="31"/>
        <v>34639</v>
      </c>
      <c r="S98" s="316">
        <f t="shared" ca="1" si="22"/>
        <v>292</v>
      </c>
    </row>
    <row r="99" spans="1:19">
      <c r="A99" s="665" t="str">
        <f>Sheet3!C79</f>
        <v>15-2-502</v>
      </c>
      <c r="B99" s="665">
        <f>Sheet3!D79</f>
        <v>84.16</v>
      </c>
      <c r="C99" s="21">
        <f t="shared" si="23"/>
        <v>1</v>
      </c>
      <c r="D99" s="667" t="str">
        <f>Sheet3!F79</f>
        <v>小高层</v>
      </c>
      <c r="E99" s="21">
        <f t="shared" si="24"/>
        <v>1</v>
      </c>
      <c r="F99" s="667"/>
      <c r="G99" s="21">
        <f t="shared" si="25"/>
        <v>1</v>
      </c>
      <c r="H99" s="667"/>
      <c r="I99" s="21">
        <f t="shared" si="26"/>
        <v>1</v>
      </c>
      <c r="J99" s="667"/>
      <c r="K99" s="21">
        <f t="shared" si="27"/>
        <v>1</v>
      </c>
      <c r="L99" s="667"/>
      <c r="M99" s="21">
        <f t="shared" si="28"/>
        <v>1</v>
      </c>
      <c r="N99" s="667"/>
      <c r="O99" s="21">
        <f t="shared" si="29"/>
        <v>1</v>
      </c>
      <c r="P99" s="2806" t="str">
        <f>Sheet3!E79</f>
        <v>中区</v>
      </c>
      <c r="Q99" s="21">
        <f t="shared" si="30"/>
        <v>1</v>
      </c>
      <c r="R99" s="663">
        <f t="shared" ca="1" si="31"/>
        <v>34639</v>
      </c>
      <c r="S99" s="316">
        <f t="shared" ca="1" si="22"/>
        <v>292</v>
      </c>
    </row>
    <row r="100" spans="1:19">
      <c r="A100" s="665" t="str">
        <f>Sheet3!C80</f>
        <v>15-2-602</v>
      </c>
      <c r="B100" s="665">
        <f>Sheet3!D80</f>
        <v>84.16</v>
      </c>
      <c r="C100" s="21">
        <f t="shared" si="23"/>
        <v>1</v>
      </c>
      <c r="D100" s="2806" t="str">
        <f>Sheet3!F80</f>
        <v>小高层</v>
      </c>
      <c r="E100" s="21">
        <f t="shared" si="24"/>
        <v>1</v>
      </c>
      <c r="F100" s="667"/>
      <c r="G100" s="21">
        <f t="shared" si="25"/>
        <v>1</v>
      </c>
      <c r="H100" s="667"/>
      <c r="I100" s="21">
        <f t="shared" si="26"/>
        <v>1</v>
      </c>
      <c r="J100" s="667"/>
      <c r="K100" s="21">
        <f t="shared" si="27"/>
        <v>1</v>
      </c>
      <c r="L100" s="667"/>
      <c r="M100" s="21">
        <f t="shared" si="28"/>
        <v>1</v>
      </c>
      <c r="N100" s="667"/>
      <c r="O100" s="21">
        <f t="shared" si="29"/>
        <v>1</v>
      </c>
      <c r="P100" s="2806" t="str">
        <f>Sheet3!E80</f>
        <v>中区</v>
      </c>
      <c r="Q100" s="21">
        <f t="shared" si="30"/>
        <v>1</v>
      </c>
      <c r="R100" s="663">
        <f t="shared" ca="1" si="31"/>
        <v>34639</v>
      </c>
      <c r="S100" s="316">
        <f t="shared" ca="1" si="22"/>
        <v>292</v>
      </c>
    </row>
    <row r="101" spans="1:19">
      <c r="A101" s="665" t="str">
        <f>Sheet3!C81</f>
        <v>15-2-702</v>
      </c>
      <c r="B101" s="665">
        <f>Sheet3!D81</f>
        <v>84.16</v>
      </c>
      <c r="C101" s="21">
        <f t="shared" si="23"/>
        <v>1</v>
      </c>
      <c r="D101" s="667" t="str">
        <f>Sheet3!F81</f>
        <v>小高层</v>
      </c>
      <c r="E101" s="21">
        <f t="shared" si="24"/>
        <v>1</v>
      </c>
      <c r="F101" s="667"/>
      <c r="G101" s="21">
        <f t="shared" si="25"/>
        <v>1</v>
      </c>
      <c r="H101" s="667"/>
      <c r="I101" s="21">
        <f t="shared" si="26"/>
        <v>1</v>
      </c>
      <c r="J101" s="667"/>
      <c r="K101" s="21">
        <f t="shared" si="27"/>
        <v>1</v>
      </c>
      <c r="L101" s="667"/>
      <c r="M101" s="21">
        <f t="shared" si="28"/>
        <v>1</v>
      </c>
      <c r="N101" s="667"/>
      <c r="O101" s="21">
        <f t="shared" si="29"/>
        <v>1</v>
      </c>
      <c r="P101" s="2806" t="str">
        <f>Sheet3!E81</f>
        <v>中区</v>
      </c>
      <c r="Q101" s="21">
        <f t="shared" si="30"/>
        <v>1</v>
      </c>
      <c r="R101" s="663">
        <f t="shared" ca="1" si="31"/>
        <v>34639</v>
      </c>
      <c r="S101" s="316">
        <f t="shared" ca="1" si="22"/>
        <v>292</v>
      </c>
    </row>
    <row r="102" spans="1:19">
      <c r="A102" s="665" t="str">
        <f>Sheet3!C82</f>
        <v>15-2-802</v>
      </c>
      <c r="B102" s="665">
        <f>Sheet3!D82</f>
        <v>84.16</v>
      </c>
      <c r="C102" s="21">
        <f t="shared" si="23"/>
        <v>1</v>
      </c>
      <c r="D102" s="2806" t="str">
        <f>Sheet3!F82</f>
        <v>小高层</v>
      </c>
      <c r="E102" s="21">
        <f t="shared" si="24"/>
        <v>1</v>
      </c>
      <c r="F102" s="667"/>
      <c r="G102" s="21">
        <f t="shared" si="25"/>
        <v>1</v>
      </c>
      <c r="H102" s="667"/>
      <c r="I102" s="21">
        <f t="shared" si="26"/>
        <v>1</v>
      </c>
      <c r="J102" s="667"/>
      <c r="K102" s="21">
        <f t="shared" si="27"/>
        <v>1</v>
      </c>
      <c r="L102" s="667"/>
      <c r="M102" s="21">
        <f t="shared" si="28"/>
        <v>1</v>
      </c>
      <c r="N102" s="667"/>
      <c r="O102" s="21">
        <f t="shared" si="29"/>
        <v>1</v>
      </c>
      <c r="P102" s="2806" t="str">
        <f>Sheet3!E82</f>
        <v>高区</v>
      </c>
      <c r="Q102" s="21">
        <f t="shared" si="30"/>
        <v>1.02</v>
      </c>
      <c r="R102" s="663">
        <f t="shared" ca="1" si="31"/>
        <v>35332</v>
      </c>
      <c r="S102" s="316">
        <f t="shared" ca="1" si="22"/>
        <v>297</v>
      </c>
    </row>
    <row r="103" spans="1:19">
      <c r="A103" s="665" t="str">
        <f>Sheet3!C83</f>
        <v>15-2-902</v>
      </c>
      <c r="B103" s="665">
        <f>Sheet3!D83</f>
        <v>84.16</v>
      </c>
      <c r="C103" s="21">
        <f t="shared" si="23"/>
        <v>1</v>
      </c>
      <c r="D103" s="667" t="str">
        <f>Sheet3!F83</f>
        <v>小高层</v>
      </c>
      <c r="E103" s="21">
        <f t="shared" si="24"/>
        <v>1</v>
      </c>
      <c r="F103" s="667"/>
      <c r="G103" s="21">
        <f t="shared" si="25"/>
        <v>1</v>
      </c>
      <c r="H103" s="667"/>
      <c r="I103" s="21">
        <f t="shared" si="26"/>
        <v>1</v>
      </c>
      <c r="J103" s="667"/>
      <c r="K103" s="21">
        <f t="shared" si="27"/>
        <v>1</v>
      </c>
      <c r="L103" s="667"/>
      <c r="M103" s="21">
        <f t="shared" si="28"/>
        <v>1</v>
      </c>
      <c r="N103" s="667"/>
      <c r="O103" s="21">
        <f t="shared" si="29"/>
        <v>1</v>
      </c>
      <c r="P103" s="2806" t="str">
        <f>Sheet3!E83</f>
        <v>高区</v>
      </c>
      <c r="Q103" s="21">
        <f t="shared" si="30"/>
        <v>1.02</v>
      </c>
      <c r="R103" s="663">
        <f t="shared" ca="1" si="31"/>
        <v>35332</v>
      </c>
      <c r="S103" s="316">
        <f t="shared" ca="1" si="22"/>
        <v>297</v>
      </c>
    </row>
    <row r="104" spans="1:19">
      <c r="A104" s="665" t="str">
        <f>Sheet3!C84</f>
        <v>15-2-1002</v>
      </c>
      <c r="B104" s="665">
        <f>Sheet3!D84</f>
        <v>84.16</v>
      </c>
      <c r="C104" s="21">
        <f t="shared" si="23"/>
        <v>1</v>
      </c>
      <c r="D104" s="2806" t="str">
        <f>Sheet3!F84</f>
        <v>小高层</v>
      </c>
      <c r="E104" s="21">
        <f t="shared" si="24"/>
        <v>1</v>
      </c>
      <c r="F104" s="667"/>
      <c r="G104" s="21">
        <f t="shared" si="25"/>
        <v>1</v>
      </c>
      <c r="H104" s="667"/>
      <c r="I104" s="21">
        <f t="shared" si="26"/>
        <v>1</v>
      </c>
      <c r="J104" s="667"/>
      <c r="K104" s="21">
        <f t="shared" si="27"/>
        <v>1</v>
      </c>
      <c r="L104" s="667"/>
      <c r="M104" s="21">
        <f t="shared" si="28"/>
        <v>1</v>
      </c>
      <c r="N104" s="667"/>
      <c r="O104" s="21">
        <f t="shared" si="29"/>
        <v>1</v>
      </c>
      <c r="P104" s="2806" t="str">
        <f>Sheet3!E84</f>
        <v>高区</v>
      </c>
      <c r="Q104" s="21">
        <f t="shared" si="30"/>
        <v>1.02</v>
      </c>
      <c r="R104" s="663">
        <f t="shared" ca="1" si="31"/>
        <v>35332</v>
      </c>
      <c r="S104" s="316">
        <f t="shared" ca="1" si="22"/>
        <v>297</v>
      </c>
    </row>
    <row r="105" spans="1:19">
      <c r="A105" s="665" t="str">
        <f>Sheet3!C85</f>
        <v>15-2-1101</v>
      </c>
      <c r="B105" s="665">
        <f>Sheet3!D85</f>
        <v>109.42</v>
      </c>
      <c r="C105" s="21">
        <f t="shared" si="23"/>
        <v>0.99</v>
      </c>
      <c r="D105" s="667" t="str">
        <f>Sheet3!F85</f>
        <v>小高层</v>
      </c>
      <c r="E105" s="21">
        <f t="shared" si="24"/>
        <v>1</v>
      </c>
      <c r="F105" s="667"/>
      <c r="G105" s="21">
        <f t="shared" si="25"/>
        <v>1</v>
      </c>
      <c r="H105" s="667"/>
      <c r="I105" s="21">
        <f t="shared" si="26"/>
        <v>1</v>
      </c>
      <c r="J105" s="667"/>
      <c r="K105" s="21">
        <f t="shared" si="27"/>
        <v>1</v>
      </c>
      <c r="L105" s="667"/>
      <c r="M105" s="21">
        <f t="shared" si="28"/>
        <v>1</v>
      </c>
      <c r="N105" s="667"/>
      <c r="O105" s="21">
        <f t="shared" si="29"/>
        <v>1</v>
      </c>
      <c r="P105" s="2806" t="str">
        <f>Sheet3!E85</f>
        <v>高区</v>
      </c>
      <c r="Q105" s="21">
        <f t="shared" si="30"/>
        <v>1.02</v>
      </c>
      <c r="R105" s="663">
        <f t="shared" ca="1" si="31"/>
        <v>34978</v>
      </c>
      <c r="S105" s="316">
        <f t="shared" ca="1" si="22"/>
        <v>383</v>
      </c>
    </row>
    <row r="106" spans="1:19">
      <c r="A106" s="665" t="str">
        <f>Sheet3!C86</f>
        <v>15-2-1102</v>
      </c>
      <c r="B106" s="665">
        <f>Sheet3!D86</f>
        <v>84.16</v>
      </c>
      <c r="C106" s="21">
        <f t="shared" si="23"/>
        <v>1</v>
      </c>
      <c r="D106" s="2806" t="str">
        <f>Sheet3!F86</f>
        <v>小高层</v>
      </c>
      <c r="E106" s="21">
        <f t="shared" si="24"/>
        <v>1</v>
      </c>
      <c r="F106" s="667"/>
      <c r="G106" s="21">
        <f t="shared" si="25"/>
        <v>1</v>
      </c>
      <c r="H106" s="667"/>
      <c r="I106" s="21">
        <f t="shared" si="26"/>
        <v>1</v>
      </c>
      <c r="J106" s="667"/>
      <c r="K106" s="21">
        <f t="shared" si="27"/>
        <v>1</v>
      </c>
      <c r="L106" s="667"/>
      <c r="M106" s="21">
        <f t="shared" si="28"/>
        <v>1</v>
      </c>
      <c r="N106" s="667"/>
      <c r="O106" s="21">
        <f t="shared" si="29"/>
        <v>1</v>
      </c>
      <c r="P106" s="2806" t="str">
        <f>Sheet3!E86</f>
        <v>高区</v>
      </c>
      <c r="Q106" s="21">
        <f t="shared" si="30"/>
        <v>1.02</v>
      </c>
      <c r="R106" s="663">
        <f t="shared" ca="1" si="31"/>
        <v>35332</v>
      </c>
      <c r="S106" s="316">
        <f t="shared" ca="1" si="22"/>
        <v>297</v>
      </c>
    </row>
    <row r="107" spans="1:19">
      <c r="A107" s="665" t="str">
        <f>Sheet3!C87</f>
        <v>16-1-101</v>
      </c>
      <c r="B107" s="665">
        <f>Sheet3!D87</f>
        <v>87.04</v>
      </c>
      <c r="C107" s="21">
        <f t="shared" si="23"/>
        <v>1</v>
      </c>
      <c r="D107" s="667" t="str">
        <f>Sheet3!F87</f>
        <v>小高层</v>
      </c>
      <c r="E107" s="21">
        <f t="shared" si="24"/>
        <v>1</v>
      </c>
      <c r="F107" s="667"/>
      <c r="G107" s="21">
        <f t="shared" si="25"/>
        <v>1</v>
      </c>
      <c r="H107" s="667"/>
      <c r="I107" s="21">
        <f t="shared" si="26"/>
        <v>1</v>
      </c>
      <c r="J107" s="667"/>
      <c r="K107" s="21">
        <f t="shared" si="27"/>
        <v>1</v>
      </c>
      <c r="L107" s="667"/>
      <c r="M107" s="21">
        <f t="shared" si="28"/>
        <v>1</v>
      </c>
      <c r="N107" s="667"/>
      <c r="O107" s="21">
        <f t="shared" si="29"/>
        <v>1</v>
      </c>
      <c r="P107" s="2806" t="str">
        <f>Sheet3!E87</f>
        <v>低区</v>
      </c>
      <c r="Q107" s="21">
        <f t="shared" si="30"/>
        <v>0.98</v>
      </c>
      <c r="R107" s="663">
        <f t="shared" ca="1" si="31"/>
        <v>33946</v>
      </c>
      <c r="S107" s="316">
        <f t="shared" ca="1" si="22"/>
        <v>295</v>
      </c>
    </row>
    <row r="108" spans="1:19">
      <c r="A108" s="665" t="str">
        <f>Sheet3!C88</f>
        <v>16-1-102</v>
      </c>
      <c r="B108" s="665">
        <f>Sheet3!D88</f>
        <v>89.7</v>
      </c>
      <c r="C108" s="21">
        <f t="shared" si="23"/>
        <v>1</v>
      </c>
      <c r="D108" s="2806" t="str">
        <f>Sheet3!F88</f>
        <v>小高层</v>
      </c>
      <c r="E108" s="21">
        <f t="shared" si="24"/>
        <v>1</v>
      </c>
      <c r="F108" s="667"/>
      <c r="G108" s="21">
        <f t="shared" si="25"/>
        <v>1</v>
      </c>
      <c r="H108" s="667"/>
      <c r="I108" s="21">
        <f t="shared" si="26"/>
        <v>1</v>
      </c>
      <c r="J108" s="667"/>
      <c r="K108" s="21">
        <f t="shared" si="27"/>
        <v>1</v>
      </c>
      <c r="L108" s="667"/>
      <c r="M108" s="21">
        <f t="shared" si="28"/>
        <v>1</v>
      </c>
      <c r="N108" s="667"/>
      <c r="O108" s="21">
        <f t="shared" si="29"/>
        <v>1</v>
      </c>
      <c r="P108" s="2806" t="str">
        <f>Sheet3!E88</f>
        <v>低区</v>
      </c>
      <c r="Q108" s="21">
        <f t="shared" si="30"/>
        <v>0.98</v>
      </c>
      <c r="R108" s="663">
        <f t="shared" ca="1" si="31"/>
        <v>33946</v>
      </c>
      <c r="S108" s="316">
        <f t="shared" ca="1" si="22"/>
        <v>304</v>
      </c>
    </row>
    <row r="109" spans="1:19">
      <c r="A109" s="665" t="str">
        <f>Sheet3!C89</f>
        <v>16-1-201</v>
      </c>
      <c r="B109" s="665">
        <f>Sheet3!D89</f>
        <v>87.04</v>
      </c>
      <c r="C109" s="21">
        <f t="shared" si="23"/>
        <v>1</v>
      </c>
      <c r="D109" s="667" t="str">
        <f>Sheet3!F89</f>
        <v>小高层</v>
      </c>
      <c r="E109" s="21">
        <f t="shared" si="24"/>
        <v>1</v>
      </c>
      <c r="F109" s="667"/>
      <c r="G109" s="21">
        <f t="shared" si="25"/>
        <v>1</v>
      </c>
      <c r="H109" s="667"/>
      <c r="I109" s="21">
        <f t="shared" si="26"/>
        <v>1</v>
      </c>
      <c r="J109" s="667"/>
      <c r="K109" s="21">
        <f t="shared" si="27"/>
        <v>1</v>
      </c>
      <c r="L109" s="667"/>
      <c r="M109" s="21">
        <f t="shared" si="28"/>
        <v>1</v>
      </c>
      <c r="N109" s="667"/>
      <c r="O109" s="21">
        <f t="shared" si="29"/>
        <v>1</v>
      </c>
      <c r="P109" s="2806" t="str">
        <f>Sheet3!E89</f>
        <v>低区</v>
      </c>
      <c r="Q109" s="21">
        <f t="shared" si="30"/>
        <v>0.98</v>
      </c>
      <c r="R109" s="663">
        <f t="shared" ca="1" si="31"/>
        <v>33946</v>
      </c>
      <c r="S109" s="316">
        <f t="shared" ca="1" si="22"/>
        <v>295</v>
      </c>
    </row>
    <row r="110" spans="1:19">
      <c r="A110" s="665" t="str">
        <f>Sheet3!C90</f>
        <v>16-1-202</v>
      </c>
      <c r="B110" s="665">
        <f>Sheet3!D90</f>
        <v>89.7</v>
      </c>
      <c r="C110" s="21">
        <f t="shared" si="23"/>
        <v>1</v>
      </c>
      <c r="D110" s="2806" t="str">
        <f>Sheet3!F90</f>
        <v>小高层</v>
      </c>
      <c r="E110" s="21">
        <f t="shared" si="24"/>
        <v>1</v>
      </c>
      <c r="F110" s="667"/>
      <c r="G110" s="21">
        <f t="shared" si="25"/>
        <v>1</v>
      </c>
      <c r="H110" s="667"/>
      <c r="I110" s="21">
        <f t="shared" si="26"/>
        <v>1</v>
      </c>
      <c r="J110" s="667"/>
      <c r="K110" s="21">
        <f t="shared" si="27"/>
        <v>1</v>
      </c>
      <c r="L110" s="667"/>
      <c r="M110" s="21">
        <f t="shared" si="28"/>
        <v>1</v>
      </c>
      <c r="N110" s="667"/>
      <c r="O110" s="21">
        <f t="shared" si="29"/>
        <v>1</v>
      </c>
      <c r="P110" s="2806" t="str">
        <f>Sheet3!E90</f>
        <v>低区</v>
      </c>
      <c r="Q110" s="21">
        <f t="shared" si="30"/>
        <v>0.98</v>
      </c>
      <c r="R110" s="663">
        <f t="shared" ca="1" si="31"/>
        <v>33946</v>
      </c>
      <c r="S110" s="316">
        <f t="shared" ca="1" si="22"/>
        <v>304</v>
      </c>
    </row>
    <row r="111" spans="1:19">
      <c r="A111" s="665" t="str">
        <f>Sheet3!C91</f>
        <v>16-1-301</v>
      </c>
      <c r="B111" s="665">
        <f>Sheet3!D91</f>
        <v>87.04</v>
      </c>
      <c r="C111" s="21">
        <f t="shared" si="23"/>
        <v>1</v>
      </c>
      <c r="D111" s="667" t="str">
        <f>Sheet3!F91</f>
        <v>小高层</v>
      </c>
      <c r="E111" s="21">
        <f t="shared" si="24"/>
        <v>1</v>
      </c>
      <c r="F111" s="667"/>
      <c r="G111" s="21">
        <f t="shared" si="25"/>
        <v>1</v>
      </c>
      <c r="H111" s="667"/>
      <c r="I111" s="21">
        <f t="shared" si="26"/>
        <v>1</v>
      </c>
      <c r="J111" s="667"/>
      <c r="K111" s="21">
        <f t="shared" si="27"/>
        <v>1</v>
      </c>
      <c r="L111" s="667"/>
      <c r="M111" s="21">
        <f t="shared" si="28"/>
        <v>1</v>
      </c>
      <c r="N111" s="667"/>
      <c r="O111" s="21">
        <f t="shared" si="29"/>
        <v>1</v>
      </c>
      <c r="P111" s="2806" t="str">
        <f>Sheet3!E91</f>
        <v>低区</v>
      </c>
      <c r="Q111" s="21">
        <f t="shared" si="30"/>
        <v>0.98</v>
      </c>
      <c r="R111" s="663">
        <f t="shared" ca="1" si="31"/>
        <v>33946</v>
      </c>
      <c r="S111" s="316">
        <f t="shared" ca="1" si="22"/>
        <v>295</v>
      </c>
    </row>
    <row r="112" spans="1:19">
      <c r="A112" s="665" t="str">
        <f>Sheet3!C92</f>
        <v>16-1-401</v>
      </c>
      <c r="B112" s="665">
        <f>Sheet3!D92</f>
        <v>87.04</v>
      </c>
      <c r="C112" s="21">
        <f t="shared" si="23"/>
        <v>1</v>
      </c>
      <c r="D112" s="2806" t="str">
        <f>Sheet3!F92</f>
        <v>小高层</v>
      </c>
      <c r="E112" s="21">
        <f t="shared" si="24"/>
        <v>1</v>
      </c>
      <c r="F112" s="667"/>
      <c r="G112" s="21">
        <f t="shared" si="25"/>
        <v>1</v>
      </c>
      <c r="H112" s="667"/>
      <c r="I112" s="21">
        <f t="shared" si="26"/>
        <v>1</v>
      </c>
      <c r="J112" s="667"/>
      <c r="K112" s="21">
        <f t="shared" si="27"/>
        <v>1</v>
      </c>
      <c r="L112" s="667"/>
      <c r="M112" s="21">
        <f t="shared" si="28"/>
        <v>1</v>
      </c>
      <c r="N112" s="667"/>
      <c r="O112" s="21">
        <f t="shared" si="29"/>
        <v>1</v>
      </c>
      <c r="P112" s="2806" t="str">
        <f>Sheet3!E92</f>
        <v>中区</v>
      </c>
      <c r="Q112" s="21">
        <f t="shared" si="30"/>
        <v>1</v>
      </c>
      <c r="R112" s="663">
        <f t="shared" ca="1" si="31"/>
        <v>34639</v>
      </c>
      <c r="S112" s="316">
        <f t="shared" ca="1" si="22"/>
        <v>301</v>
      </c>
    </row>
    <row r="113" spans="1:19">
      <c r="A113" s="665" t="str">
        <f>Sheet3!C93</f>
        <v>16-1-501</v>
      </c>
      <c r="B113" s="665">
        <f>Sheet3!D93</f>
        <v>87.04</v>
      </c>
      <c r="C113" s="21">
        <f t="shared" si="23"/>
        <v>1</v>
      </c>
      <c r="D113" s="667" t="str">
        <f>Sheet3!F93</f>
        <v>小高层</v>
      </c>
      <c r="E113" s="21">
        <f t="shared" si="24"/>
        <v>1</v>
      </c>
      <c r="F113" s="667"/>
      <c r="G113" s="21">
        <f t="shared" si="25"/>
        <v>1</v>
      </c>
      <c r="H113" s="667"/>
      <c r="I113" s="21">
        <f t="shared" si="26"/>
        <v>1</v>
      </c>
      <c r="J113" s="667"/>
      <c r="K113" s="21">
        <f t="shared" si="27"/>
        <v>1</v>
      </c>
      <c r="L113" s="667"/>
      <c r="M113" s="21">
        <f t="shared" si="28"/>
        <v>1</v>
      </c>
      <c r="N113" s="667"/>
      <c r="O113" s="21">
        <f t="shared" si="29"/>
        <v>1</v>
      </c>
      <c r="P113" s="2806" t="str">
        <f>Sheet3!E93</f>
        <v>中区</v>
      </c>
      <c r="Q113" s="21">
        <f t="shared" si="30"/>
        <v>1</v>
      </c>
      <c r="R113" s="663">
        <f t="shared" ca="1" si="31"/>
        <v>34639</v>
      </c>
      <c r="S113" s="316">
        <f t="shared" ca="1" si="22"/>
        <v>301</v>
      </c>
    </row>
    <row r="114" spans="1:19">
      <c r="A114" s="665" t="str">
        <f>Sheet3!C94</f>
        <v>16-1-601</v>
      </c>
      <c r="B114" s="665">
        <f>Sheet3!D94</f>
        <v>87.04</v>
      </c>
      <c r="C114" s="21">
        <f t="shared" si="23"/>
        <v>1</v>
      </c>
      <c r="D114" s="2806" t="str">
        <f>Sheet3!F94</f>
        <v>小高层</v>
      </c>
      <c r="E114" s="21">
        <f t="shared" si="24"/>
        <v>1</v>
      </c>
      <c r="F114" s="667"/>
      <c r="G114" s="21">
        <f t="shared" si="25"/>
        <v>1</v>
      </c>
      <c r="H114" s="667"/>
      <c r="I114" s="21">
        <f t="shared" si="26"/>
        <v>1</v>
      </c>
      <c r="J114" s="667"/>
      <c r="K114" s="21">
        <f t="shared" si="27"/>
        <v>1</v>
      </c>
      <c r="L114" s="667"/>
      <c r="M114" s="21">
        <f t="shared" si="28"/>
        <v>1</v>
      </c>
      <c r="N114" s="667"/>
      <c r="O114" s="21">
        <f t="shared" si="29"/>
        <v>1</v>
      </c>
      <c r="P114" s="2806" t="str">
        <f>Sheet3!E94</f>
        <v>中区</v>
      </c>
      <c r="Q114" s="21">
        <f t="shared" si="30"/>
        <v>1</v>
      </c>
      <c r="R114" s="663">
        <f t="shared" ca="1" si="31"/>
        <v>34639</v>
      </c>
      <c r="S114" s="316">
        <f t="shared" ca="1" si="22"/>
        <v>301</v>
      </c>
    </row>
    <row r="115" spans="1:19">
      <c r="A115" s="665" t="str">
        <f>Sheet3!C95</f>
        <v>16-1-701</v>
      </c>
      <c r="B115" s="665">
        <f>Sheet3!D95</f>
        <v>87.04</v>
      </c>
      <c r="C115" s="21">
        <f t="shared" si="23"/>
        <v>1</v>
      </c>
      <c r="D115" s="667" t="str">
        <f>Sheet3!F95</f>
        <v>小高层</v>
      </c>
      <c r="E115" s="21">
        <f t="shared" si="24"/>
        <v>1</v>
      </c>
      <c r="F115" s="667"/>
      <c r="G115" s="21">
        <f t="shared" si="25"/>
        <v>1</v>
      </c>
      <c r="H115" s="667"/>
      <c r="I115" s="21">
        <f t="shared" si="26"/>
        <v>1</v>
      </c>
      <c r="J115" s="667"/>
      <c r="K115" s="21">
        <f t="shared" si="27"/>
        <v>1</v>
      </c>
      <c r="L115" s="667"/>
      <c r="M115" s="21">
        <f t="shared" si="28"/>
        <v>1</v>
      </c>
      <c r="N115" s="667"/>
      <c r="O115" s="21">
        <f t="shared" si="29"/>
        <v>1</v>
      </c>
      <c r="P115" s="2806" t="str">
        <f>Sheet3!E95</f>
        <v>中区</v>
      </c>
      <c r="Q115" s="21">
        <f t="shared" si="30"/>
        <v>1</v>
      </c>
      <c r="R115" s="663">
        <f t="shared" ca="1" si="31"/>
        <v>34639</v>
      </c>
      <c r="S115" s="316">
        <f t="shared" ca="1" si="22"/>
        <v>301</v>
      </c>
    </row>
    <row r="116" spans="1:19">
      <c r="A116" s="665" t="str">
        <f>Sheet3!C96</f>
        <v>16-1-801</v>
      </c>
      <c r="B116" s="665">
        <f>Sheet3!D96</f>
        <v>87.04</v>
      </c>
      <c r="C116" s="21">
        <f t="shared" si="23"/>
        <v>1</v>
      </c>
      <c r="D116" s="2806" t="str">
        <f>Sheet3!F96</f>
        <v>小高层</v>
      </c>
      <c r="E116" s="21">
        <f t="shared" si="24"/>
        <v>1</v>
      </c>
      <c r="F116" s="667"/>
      <c r="G116" s="21">
        <f t="shared" si="25"/>
        <v>1</v>
      </c>
      <c r="H116" s="667"/>
      <c r="I116" s="21">
        <f t="shared" si="26"/>
        <v>1</v>
      </c>
      <c r="J116" s="667"/>
      <c r="K116" s="21">
        <f t="shared" si="27"/>
        <v>1</v>
      </c>
      <c r="L116" s="667"/>
      <c r="M116" s="21">
        <f t="shared" si="28"/>
        <v>1</v>
      </c>
      <c r="N116" s="667"/>
      <c r="O116" s="21">
        <f t="shared" si="29"/>
        <v>1</v>
      </c>
      <c r="P116" s="2806" t="str">
        <f>Sheet3!E96</f>
        <v>高区</v>
      </c>
      <c r="Q116" s="21">
        <f t="shared" si="30"/>
        <v>1.02</v>
      </c>
      <c r="R116" s="663">
        <f t="shared" ca="1" si="31"/>
        <v>35332</v>
      </c>
      <c r="S116" s="316">
        <f t="shared" ca="1" si="22"/>
        <v>308</v>
      </c>
    </row>
    <row r="117" spans="1:19">
      <c r="A117" s="665" t="str">
        <f>Sheet3!C97</f>
        <v>16-1-901</v>
      </c>
      <c r="B117" s="665">
        <f>Sheet3!D97</f>
        <v>87.04</v>
      </c>
      <c r="C117" s="21">
        <f t="shared" si="23"/>
        <v>1</v>
      </c>
      <c r="D117" s="667" t="str">
        <f>Sheet3!F97</f>
        <v>小高层</v>
      </c>
      <c r="E117" s="21">
        <f t="shared" si="24"/>
        <v>1</v>
      </c>
      <c r="F117" s="667"/>
      <c r="G117" s="21">
        <f t="shared" si="25"/>
        <v>1</v>
      </c>
      <c r="H117" s="667"/>
      <c r="I117" s="21">
        <f t="shared" si="26"/>
        <v>1</v>
      </c>
      <c r="J117" s="667"/>
      <c r="K117" s="21">
        <f t="shared" si="27"/>
        <v>1</v>
      </c>
      <c r="L117" s="667"/>
      <c r="M117" s="21">
        <f t="shared" si="28"/>
        <v>1</v>
      </c>
      <c r="N117" s="667"/>
      <c r="O117" s="21">
        <f t="shared" si="29"/>
        <v>1</v>
      </c>
      <c r="P117" s="2806" t="str">
        <f>Sheet3!E97</f>
        <v>高区</v>
      </c>
      <c r="Q117" s="21">
        <f t="shared" si="30"/>
        <v>1.02</v>
      </c>
      <c r="R117" s="663">
        <f t="shared" ca="1" si="31"/>
        <v>35332</v>
      </c>
      <c r="S117" s="316">
        <f t="shared" ca="1" si="22"/>
        <v>308</v>
      </c>
    </row>
    <row r="118" spans="1:19">
      <c r="A118" s="665" t="str">
        <f>Sheet3!C98</f>
        <v>16-1-1001</v>
      </c>
      <c r="B118" s="665">
        <f>Sheet3!D98</f>
        <v>87.04</v>
      </c>
      <c r="C118" s="21">
        <f t="shared" si="23"/>
        <v>1</v>
      </c>
      <c r="D118" s="2806" t="str">
        <f>Sheet3!F98</f>
        <v>小高层</v>
      </c>
      <c r="E118" s="21">
        <f t="shared" si="24"/>
        <v>1</v>
      </c>
      <c r="F118" s="667"/>
      <c r="G118" s="21">
        <f t="shared" si="25"/>
        <v>1</v>
      </c>
      <c r="H118" s="667"/>
      <c r="I118" s="21">
        <f t="shared" si="26"/>
        <v>1</v>
      </c>
      <c r="J118" s="667"/>
      <c r="K118" s="21">
        <f t="shared" si="27"/>
        <v>1</v>
      </c>
      <c r="L118" s="667"/>
      <c r="M118" s="21">
        <f t="shared" si="28"/>
        <v>1</v>
      </c>
      <c r="N118" s="667"/>
      <c r="O118" s="21">
        <f t="shared" si="29"/>
        <v>1</v>
      </c>
      <c r="P118" s="2806" t="str">
        <f>Sheet3!E98</f>
        <v>高区</v>
      </c>
      <c r="Q118" s="21">
        <f t="shared" si="30"/>
        <v>1.02</v>
      </c>
      <c r="R118" s="663">
        <f t="shared" ca="1" si="31"/>
        <v>35332</v>
      </c>
      <c r="S118" s="316">
        <f t="shared" ca="1" si="22"/>
        <v>308</v>
      </c>
    </row>
    <row r="119" spans="1:19">
      <c r="A119" s="665" t="str">
        <f>Sheet3!C99</f>
        <v>16-1-1101</v>
      </c>
      <c r="B119" s="665">
        <f>Sheet3!D99</f>
        <v>87.04</v>
      </c>
      <c r="C119" s="21">
        <f t="shared" si="23"/>
        <v>1</v>
      </c>
      <c r="D119" s="667" t="str">
        <f>Sheet3!F99</f>
        <v>小高层</v>
      </c>
      <c r="E119" s="21">
        <f t="shared" si="24"/>
        <v>1</v>
      </c>
      <c r="F119" s="667"/>
      <c r="G119" s="21">
        <f t="shared" si="25"/>
        <v>1</v>
      </c>
      <c r="H119" s="667"/>
      <c r="I119" s="21">
        <f t="shared" si="26"/>
        <v>1</v>
      </c>
      <c r="J119" s="667"/>
      <c r="K119" s="21">
        <f t="shared" si="27"/>
        <v>1</v>
      </c>
      <c r="L119" s="667"/>
      <c r="M119" s="21">
        <f t="shared" si="28"/>
        <v>1</v>
      </c>
      <c r="N119" s="667"/>
      <c r="O119" s="21">
        <f t="shared" si="29"/>
        <v>1</v>
      </c>
      <c r="P119" s="2806" t="str">
        <f>Sheet3!E99</f>
        <v>高区</v>
      </c>
      <c r="Q119" s="21">
        <f t="shared" si="30"/>
        <v>1.02</v>
      </c>
      <c r="R119" s="663">
        <f t="shared" ca="1" si="31"/>
        <v>35332</v>
      </c>
      <c r="S119" s="316">
        <f t="shared" ca="1" si="22"/>
        <v>308</v>
      </c>
    </row>
    <row r="120" spans="1:19">
      <c r="A120" s="665" t="str">
        <f>Sheet3!C100</f>
        <v>16-2-101</v>
      </c>
      <c r="B120" s="665">
        <f>Sheet3!D100</f>
        <v>89.7</v>
      </c>
      <c r="C120" s="21">
        <f t="shared" si="23"/>
        <v>1</v>
      </c>
      <c r="D120" s="2806" t="str">
        <f>Sheet3!F100</f>
        <v>小高层</v>
      </c>
      <c r="E120" s="21">
        <f t="shared" si="24"/>
        <v>1</v>
      </c>
      <c r="F120" s="667"/>
      <c r="G120" s="21">
        <f t="shared" si="25"/>
        <v>1</v>
      </c>
      <c r="H120" s="667"/>
      <c r="I120" s="21">
        <f t="shared" si="26"/>
        <v>1</v>
      </c>
      <c r="J120" s="667"/>
      <c r="K120" s="21">
        <f t="shared" si="27"/>
        <v>1</v>
      </c>
      <c r="L120" s="667"/>
      <c r="M120" s="21">
        <f t="shared" si="28"/>
        <v>1</v>
      </c>
      <c r="N120" s="667"/>
      <c r="O120" s="21">
        <f t="shared" si="29"/>
        <v>1</v>
      </c>
      <c r="P120" s="2806" t="str">
        <f>Sheet3!E100</f>
        <v>低区</v>
      </c>
      <c r="Q120" s="21">
        <f t="shared" si="30"/>
        <v>0.98</v>
      </c>
      <c r="R120" s="663">
        <f t="shared" ca="1" si="31"/>
        <v>33946</v>
      </c>
      <c r="S120" s="316">
        <f t="shared" ca="1" si="22"/>
        <v>304</v>
      </c>
    </row>
    <row r="121" spans="1:19">
      <c r="A121" s="665" t="str">
        <f>Sheet3!C101</f>
        <v>16-2-102</v>
      </c>
      <c r="B121" s="665">
        <f>Sheet3!D101</f>
        <v>87.04</v>
      </c>
      <c r="C121" s="21">
        <f t="shared" si="23"/>
        <v>1</v>
      </c>
      <c r="D121" s="667" t="str">
        <f>Sheet3!F101</f>
        <v>小高层</v>
      </c>
      <c r="E121" s="21">
        <f t="shared" si="24"/>
        <v>1</v>
      </c>
      <c r="F121" s="667"/>
      <c r="G121" s="21">
        <f t="shared" si="25"/>
        <v>1</v>
      </c>
      <c r="H121" s="667"/>
      <c r="I121" s="21">
        <f t="shared" si="26"/>
        <v>1</v>
      </c>
      <c r="J121" s="667"/>
      <c r="K121" s="21">
        <f t="shared" si="27"/>
        <v>1</v>
      </c>
      <c r="L121" s="667"/>
      <c r="M121" s="21">
        <f t="shared" si="28"/>
        <v>1</v>
      </c>
      <c r="N121" s="667"/>
      <c r="O121" s="21">
        <f t="shared" si="29"/>
        <v>1</v>
      </c>
      <c r="P121" s="2806" t="str">
        <f>Sheet3!E101</f>
        <v>低区</v>
      </c>
      <c r="Q121" s="21">
        <f t="shared" si="30"/>
        <v>0.98</v>
      </c>
      <c r="R121" s="663">
        <f t="shared" ca="1" si="31"/>
        <v>33946</v>
      </c>
      <c r="S121" s="316">
        <f t="shared" ca="1" si="22"/>
        <v>295</v>
      </c>
    </row>
    <row r="122" spans="1:19">
      <c r="A122" s="665" t="str">
        <f>Sheet3!C102</f>
        <v>16-2-201</v>
      </c>
      <c r="B122" s="665">
        <f>Sheet3!D102</f>
        <v>89.7</v>
      </c>
      <c r="C122" s="21">
        <f t="shared" si="23"/>
        <v>1</v>
      </c>
      <c r="D122" s="2806" t="str">
        <f>Sheet3!F102</f>
        <v>小高层</v>
      </c>
      <c r="E122" s="21">
        <f t="shared" si="24"/>
        <v>1</v>
      </c>
      <c r="F122" s="667"/>
      <c r="G122" s="21">
        <f t="shared" si="25"/>
        <v>1</v>
      </c>
      <c r="H122" s="667"/>
      <c r="I122" s="21">
        <f t="shared" si="26"/>
        <v>1</v>
      </c>
      <c r="J122" s="667"/>
      <c r="K122" s="21">
        <f t="shared" si="27"/>
        <v>1</v>
      </c>
      <c r="L122" s="667"/>
      <c r="M122" s="21">
        <f t="shared" si="28"/>
        <v>1</v>
      </c>
      <c r="N122" s="667"/>
      <c r="O122" s="21">
        <f t="shared" si="29"/>
        <v>1</v>
      </c>
      <c r="P122" s="2806" t="str">
        <f>Sheet3!E102</f>
        <v>低区</v>
      </c>
      <c r="Q122" s="21">
        <f t="shared" si="30"/>
        <v>0.98</v>
      </c>
      <c r="R122" s="663">
        <f t="shared" ca="1" si="31"/>
        <v>33946</v>
      </c>
      <c r="S122" s="316">
        <f t="shared" ca="1" si="22"/>
        <v>304</v>
      </c>
    </row>
    <row r="123" spans="1:19">
      <c r="A123" s="665" t="str">
        <f>Sheet3!C103</f>
        <v>16-2-202</v>
      </c>
      <c r="B123" s="665">
        <f>Sheet3!D103</f>
        <v>87.04</v>
      </c>
      <c r="C123" s="21">
        <f t="shared" si="23"/>
        <v>1</v>
      </c>
      <c r="D123" s="667" t="str">
        <f>Sheet3!F103</f>
        <v>小高层</v>
      </c>
      <c r="E123" s="21">
        <f t="shared" si="24"/>
        <v>1</v>
      </c>
      <c r="F123" s="667"/>
      <c r="G123" s="21">
        <f t="shared" si="25"/>
        <v>1</v>
      </c>
      <c r="H123" s="667"/>
      <c r="I123" s="21">
        <f t="shared" si="26"/>
        <v>1</v>
      </c>
      <c r="J123" s="667"/>
      <c r="K123" s="21">
        <f t="shared" si="27"/>
        <v>1</v>
      </c>
      <c r="L123" s="667"/>
      <c r="M123" s="21">
        <f t="shared" si="28"/>
        <v>1</v>
      </c>
      <c r="N123" s="667"/>
      <c r="O123" s="21">
        <f t="shared" si="29"/>
        <v>1</v>
      </c>
      <c r="P123" s="2806" t="str">
        <f>Sheet3!E103</f>
        <v>低区</v>
      </c>
      <c r="Q123" s="21">
        <f t="shared" si="30"/>
        <v>0.98</v>
      </c>
      <c r="R123" s="663">
        <f t="shared" ca="1" si="31"/>
        <v>33946</v>
      </c>
      <c r="S123" s="316">
        <f t="shared" ref="S123:S186" ca="1" si="32">ROUND(R123*B123/10000,0)</f>
        <v>295</v>
      </c>
    </row>
    <row r="124" spans="1:19">
      <c r="A124" s="665" t="str">
        <f>Sheet3!C104</f>
        <v>16-2-301</v>
      </c>
      <c r="B124" s="665">
        <f>Sheet3!D104</f>
        <v>89.7</v>
      </c>
      <c r="C124" s="21">
        <f t="shared" si="23"/>
        <v>1</v>
      </c>
      <c r="D124" s="2806" t="str">
        <f>Sheet3!F104</f>
        <v>小高层</v>
      </c>
      <c r="E124" s="21">
        <f t="shared" si="24"/>
        <v>1</v>
      </c>
      <c r="F124" s="667"/>
      <c r="G124" s="21">
        <f t="shared" si="25"/>
        <v>1</v>
      </c>
      <c r="H124" s="667"/>
      <c r="I124" s="21">
        <f t="shared" si="26"/>
        <v>1</v>
      </c>
      <c r="J124" s="667"/>
      <c r="K124" s="21">
        <f t="shared" si="27"/>
        <v>1</v>
      </c>
      <c r="L124" s="667"/>
      <c r="M124" s="21">
        <f t="shared" si="28"/>
        <v>1</v>
      </c>
      <c r="N124" s="667"/>
      <c r="O124" s="21">
        <f t="shared" si="29"/>
        <v>1</v>
      </c>
      <c r="P124" s="2806" t="str">
        <f>Sheet3!E104</f>
        <v>低区</v>
      </c>
      <c r="Q124" s="21">
        <f t="shared" si="30"/>
        <v>0.98</v>
      </c>
      <c r="R124" s="663">
        <f t="shared" ca="1" si="31"/>
        <v>33946</v>
      </c>
      <c r="S124" s="316">
        <f t="shared" ca="1" si="32"/>
        <v>304</v>
      </c>
    </row>
    <row r="125" spans="1:19">
      <c r="A125" s="665" t="str">
        <f>Sheet3!C105</f>
        <v>16-2-302</v>
      </c>
      <c r="B125" s="665">
        <f>Sheet3!D105</f>
        <v>87.04</v>
      </c>
      <c r="C125" s="21">
        <f t="shared" si="23"/>
        <v>1</v>
      </c>
      <c r="D125" s="667" t="str">
        <f>Sheet3!F105</f>
        <v>小高层</v>
      </c>
      <c r="E125" s="21">
        <f t="shared" si="24"/>
        <v>1</v>
      </c>
      <c r="F125" s="667"/>
      <c r="G125" s="21">
        <f t="shared" si="25"/>
        <v>1</v>
      </c>
      <c r="H125" s="667"/>
      <c r="I125" s="21">
        <f t="shared" si="26"/>
        <v>1</v>
      </c>
      <c r="J125" s="667"/>
      <c r="K125" s="21">
        <f t="shared" si="27"/>
        <v>1</v>
      </c>
      <c r="L125" s="667"/>
      <c r="M125" s="21">
        <f t="shared" si="28"/>
        <v>1</v>
      </c>
      <c r="N125" s="667"/>
      <c r="O125" s="21">
        <f t="shared" si="29"/>
        <v>1</v>
      </c>
      <c r="P125" s="2806" t="str">
        <f>Sheet3!E105</f>
        <v>低区</v>
      </c>
      <c r="Q125" s="21">
        <f t="shared" si="30"/>
        <v>0.98</v>
      </c>
      <c r="R125" s="663">
        <f t="shared" ca="1" si="31"/>
        <v>33946</v>
      </c>
      <c r="S125" s="316">
        <f t="shared" ca="1" si="32"/>
        <v>295</v>
      </c>
    </row>
    <row r="126" spans="1:19">
      <c r="A126" s="665" t="str">
        <f>Sheet3!C106</f>
        <v>16-2-402</v>
      </c>
      <c r="B126" s="665">
        <f>Sheet3!D106</f>
        <v>87.04</v>
      </c>
      <c r="C126" s="21">
        <f t="shared" si="23"/>
        <v>1</v>
      </c>
      <c r="D126" s="2806" t="str">
        <f>Sheet3!F106</f>
        <v>小高层</v>
      </c>
      <c r="E126" s="21">
        <f t="shared" si="24"/>
        <v>1</v>
      </c>
      <c r="F126" s="667"/>
      <c r="G126" s="21">
        <f t="shared" si="25"/>
        <v>1</v>
      </c>
      <c r="H126" s="667"/>
      <c r="I126" s="21">
        <f t="shared" si="26"/>
        <v>1</v>
      </c>
      <c r="J126" s="667"/>
      <c r="K126" s="21">
        <f t="shared" si="27"/>
        <v>1</v>
      </c>
      <c r="L126" s="667"/>
      <c r="M126" s="21">
        <f t="shared" si="28"/>
        <v>1</v>
      </c>
      <c r="N126" s="667"/>
      <c r="O126" s="21">
        <f t="shared" si="29"/>
        <v>1</v>
      </c>
      <c r="P126" s="2806" t="str">
        <f>Sheet3!E106</f>
        <v>中区</v>
      </c>
      <c r="Q126" s="21">
        <f t="shared" si="30"/>
        <v>1</v>
      </c>
      <c r="R126" s="663">
        <f t="shared" ca="1" si="31"/>
        <v>34639</v>
      </c>
      <c r="S126" s="316">
        <f t="shared" ca="1" si="32"/>
        <v>301</v>
      </c>
    </row>
    <row r="127" spans="1:19">
      <c r="A127" s="665" t="str">
        <f>Sheet3!C107</f>
        <v>16-2-502</v>
      </c>
      <c r="B127" s="665">
        <f>Sheet3!D107</f>
        <v>87.04</v>
      </c>
      <c r="C127" s="21">
        <f t="shared" si="23"/>
        <v>1</v>
      </c>
      <c r="D127" s="667" t="str">
        <f>Sheet3!F107</f>
        <v>小高层</v>
      </c>
      <c r="E127" s="21">
        <f t="shared" si="24"/>
        <v>1</v>
      </c>
      <c r="F127" s="667"/>
      <c r="G127" s="21">
        <f t="shared" si="25"/>
        <v>1</v>
      </c>
      <c r="H127" s="667"/>
      <c r="I127" s="21">
        <f t="shared" si="26"/>
        <v>1</v>
      </c>
      <c r="J127" s="667"/>
      <c r="K127" s="21">
        <f t="shared" si="27"/>
        <v>1</v>
      </c>
      <c r="L127" s="667"/>
      <c r="M127" s="21">
        <f t="shared" si="28"/>
        <v>1</v>
      </c>
      <c r="N127" s="667"/>
      <c r="O127" s="21">
        <f t="shared" si="29"/>
        <v>1</v>
      </c>
      <c r="P127" s="2806" t="str">
        <f>Sheet3!E107</f>
        <v>中区</v>
      </c>
      <c r="Q127" s="21">
        <f t="shared" si="30"/>
        <v>1</v>
      </c>
      <c r="R127" s="663">
        <f t="shared" ca="1" si="31"/>
        <v>34639</v>
      </c>
      <c r="S127" s="316">
        <f t="shared" ca="1" si="32"/>
        <v>301</v>
      </c>
    </row>
    <row r="128" spans="1:19">
      <c r="A128" s="665" t="str">
        <f>Sheet3!C108</f>
        <v>16-2-602</v>
      </c>
      <c r="B128" s="665">
        <f>Sheet3!D108</f>
        <v>87.04</v>
      </c>
      <c r="C128" s="21">
        <f t="shared" si="23"/>
        <v>1</v>
      </c>
      <c r="D128" s="2806" t="str">
        <f>Sheet3!F108</f>
        <v>小高层</v>
      </c>
      <c r="E128" s="21">
        <f t="shared" si="24"/>
        <v>1</v>
      </c>
      <c r="F128" s="667"/>
      <c r="G128" s="21">
        <f t="shared" si="25"/>
        <v>1</v>
      </c>
      <c r="H128" s="667"/>
      <c r="I128" s="21">
        <f t="shared" si="26"/>
        <v>1</v>
      </c>
      <c r="J128" s="667"/>
      <c r="K128" s="21">
        <f t="shared" si="27"/>
        <v>1</v>
      </c>
      <c r="L128" s="667"/>
      <c r="M128" s="21">
        <f t="shared" si="28"/>
        <v>1</v>
      </c>
      <c r="N128" s="667"/>
      <c r="O128" s="21">
        <f t="shared" si="29"/>
        <v>1</v>
      </c>
      <c r="P128" s="2806" t="str">
        <f>Sheet3!E108</f>
        <v>中区</v>
      </c>
      <c r="Q128" s="21">
        <f t="shared" si="30"/>
        <v>1</v>
      </c>
      <c r="R128" s="663">
        <f t="shared" ca="1" si="31"/>
        <v>34639</v>
      </c>
      <c r="S128" s="316">
        <f t="shared" ca="1" si="32"/>
        <v>301</v>
      </c>
    </row>
    <row r="129" spans="1:19">
      <c r="A129" s="665" t="str">
        <f>Sheet3!C109</f>
        <v>16-2-802</v>
      </c>
      <c r="B129" s="665">
        <f>Sheet3!D109</f>
        <v>87.04</v>
      </c>
      <c r="C129" s="21">
        <f t="shared" si="23"/>
        <v>1</v>
      </c>
      <c r="D129" s="667" t="str">
        <f>Sheet3!F109</f>
        <v>小高层</v>
      </c>
      <c r="E129" s="21">
        <f t="shared" si="24"/>
        <v>1</v>
      </c>
      <c r="F129" s="667"/>
      <c r="G129" s="21">
        <f t="shared" si="25"/>
        <v>1</v>
      </c>
      <c r="H129" s="667"/>
      <c r="I129" s="21">
        <f t="shared" si="26"/>
        <v>1</v>
      </c>
      <c r="J129" s="667"/>
      <c r="K129" s="21">
        <f t="shared" si="27"/>
        <v>1</v>
      </c>
      <c r="L129" s="667"/>
      <c r="M129" s="21">
        <f t="shared" si="28"/>
        <v>1</v>
      </c>
      <c r="N129" s="667"/>
      <c r="O129" s="21">
        <f t="shared" si="29"/>
        <v>1</v>
      </c>
      <c r="P129" s="2806" t="str">
        <f>Sheet3!E109</f>
        <v>高区</v>
      </c>
      <c r="Q129" s="21">
        <f t="shared" si="30"/>
        <v>1.02</v>
      </c>
      <c r="R129" s="663">
        <f t="shared" ca="1" si="31"/>
        <v>35332</v>
      </c>
      <c r="S129" s="316">
        <f t="shared" ca="1" si="32"/>
        <v>308</v>
      </c>
    </row>
    <row r="130" spans="1:19">
      <c r="A130" s="665" t="str">
        <f>Sheet3!C110</f>
        <v>16-2-1002</v>
      </c>
      <c r="B130" s="665">
        <f>Sheet3!D110</f>
        <v>87.04</v>
      </c>
      <c r="C130" s="21">
        <f t="shared" si="23"/>
        <v>1</v>
      </c>
      <c r="D130" s="2806" t="str">
        <f>Sheet3!F110</f>
        <v>小高层</v>
      </c>
      <c r="E130" s="21">
        <f t="shared" si="24"/>
        <v>1</v>
      </c>
      <c r="F130" s="667"/>
      <c r="G130" s="21">
        <f t="shared" si="25"/>
        <v>1</v>
      </c>
      <c r="H130" s="667"/>
      <c r="I130" s="21">
        <f t="shared" si="26"/>
        <v>1</v>
      </c>
      <c r="J130" s="667"/>
      <c r="K130" s="21">
        <f t="shared" si="27"/>
        <v>1</v>
      </c>
      <c r="L130" s="667"/>
      <c r="M130" s="21">
        <f t="shared" si="28"/>
        <v>1</v>
      </c>
      <c r="N130" s="667"/>
      <c r="O130" s="21">
        <f t="shared" si="29"/>
        <v>1</v>
      </c>
      <c r="P130" s="2806" t="str">
        <f>Sheet3!E110</f>
        <v>高区</v>
      </c>
      <c r="Q130" s="21">
        <f t="shared" si="30"/>
        <v>1.02</v>
      </c>
      <c r="R130" s="663">
        <f t="shared" ca="1" si="31"/>
        <v>35332</v>
      </c>
      <c r="S130" s="316">
        <f t="shared" ca="1" si="32"/>
        <v>308</v>
      </c>
    </row>
    <row r="131" spans="1:19">
      <c r="A131" s="665" t="str">
        <f>Sheet3!C111</f>
        <v>16-2-1101</v>
      </c>
      <c r="B131" s="665">
        <f>Sheet3!D111</f>
        <v>89.7</v>
      </c>
      <c r="C131" s="21">
        <f t="shared" si="23"/>
        <v>1</v>
      </c>
      <c r="D131" s="667" t="str">
        <f>Sheet3!F111</f>
        <v>小高层</v>
      </c>
      <c r="E131" s="21">
        <f t="shared" si="24"/>
        <v>1</v>
      </c>
      <c r="F131" s="667"/>
      <c r="G131" s="21">
        <f t="shared" si="25"/>
        <v>1</v>
      </c>
      <c r="H131" s="667"/>
      <c r="I131" s="21">
        <f t="shared" si="26"/>
        <v>1</v>
      </c>
      <c r="J131" s="667"/>
      <c r="K131" s="21">
        <f t="shared" si="27"/>
        <v>1</v>
      </c>
      <c r="L131" s="667"/>
      <c r="M131" s="21">
        <f t="shared" si="28"/>
        <v>1</v>
      </c>
      <c r="N131" s="667"/>
      <c r="O131" s="21">
        <f t="shared" si="29"/>
        <v>1</v>
      </c>
      <c r="P131" s="2806" t="str">
        <f>Sheet3!E111</f>
        <v>高区</v>
      </c>
      <c r="Q131" s="21">
        <f t="shared" si="30"/>
        <v>1.02</v>
      </c>
      <c r="R131" s="663">
        <f t="shared" ca="1" si="31"/>
        <v>35332</v>
      </c>
      <c r="S131" s="316">
        <f t="shared" ca="1" si="32"/>
        <v>317</v>
      </c>
    </row>
    <row r="132" spans="1:19">
      <c r="A132" s="665" t="str">
        <f>Sheet3!C112</f>
        <v>16-2-1102</v>
      </c>
      <c r="B132" s="665">
        <f>Sheet3!D112</f>
        <v>87.04</v>
      </c>
      <c r="C132" s="21">
        <f t="shared" si="23"/>
        <v>1</v>
      </c>
      <c r="D132" s="2806" t="str">
        <f>Sheet3!F112</f>
        <v>小高层</v>
      </c>
      <c r="E132" s="21">
        <f t="shared" si="24"/>
        <v>1</v>
      </c>
      <c r="F132" s="667"/>
      <c r="G132" s="21">
        <f t="shared" si="25"/>
        <v>1</v>
      </c>
      <c r="H132" s="667"/>
      <c r="I132" s="21">
        <f t="shared" si="26"/>
        <v>1</v>
      </c>
      <c r="J132" s="667"/>
      <c r="K132" s="21">
        <f t="shared" si="27"/>
        <v>1</v>
      </c>
      <c r="L132" s="667"/>
      <c r="M132" s="21">
        <f t="shared" si="28"/>
        <v>1</v>
      </c>
      <c r="N132" s="667"/>
      <c r="O132" s="21">
        <f t="shared" si="29"/>
        <v>1</v>
      </c>
      <c r="P132" s="2806" t="str">
        <f>Sheet3!E112</f>
        <v>高区</v>
      </c>
      <c r="Q132" s="21">
        <f t="shared" si="30"/>
        <v>1.02</v>
      </c>
      <c r="R132" s="663">
        <f t="shared" ca="1" si="31"/>
        <v>35332</v>
      </c>
      <c r="S132" s="316">
        <f t="shared" ca="1" si="32"/>
        <v>308</v>
      </c>
    </row>
    <row r="133" spans="1:19">
      <c r="A133" s="665" t="str">
        <f>Sheet3!C113</f>
        <v>12-1-101</v>
      </c>
      <c r="B133" s="665">
        <f>Sheet3!D113</f>
        <v>86.53</v>
      </c>
      <c r="C133" s="21">
        <f t="shared" si="23"/>
        <v>1</v>
      </c>
      <c r="D133" s="667" t="str">
        <f>Sheet3!F113</f>
        <v>小高层</v>
      </c>
      <c r="E133" s="21">
        <f t="shared" si="24"/>
        <v>1</v>
      </c>
      <c r="F133" s="667"/>
      <c r="G133" s="21">
        <f t="shared" si="25"/>
        <v>1</v>
      </c>
      <c r="H133" s="667"/>
      <c r="I133" s="21">
        <f t="shared" si="26"/>
        <v>1</v>
      </c>
      <c r="J133" s="667"/>
      <c r="K133" s="21">
        <f t="shared" si="27"/>
        <v>1</v>
      </c>
      <c r="L133" s="667"/>
      <c r="M133" s="21">
        <f t="shared" si="28"/>
        <v>1</v>
      </c>
      <c r="N133" s="667"/>
      <c r="O133" s="21">
        <f t="shared" si="29"/>
        <v>1</v>
      </c>
      <c r="P133" s="2806" t="str">
        <f>Sheet3!E113</f>
        <v>低区</v>
      </c>
      <c r="Q133" s="21">
        <f t="shared" si="30"/>
        <v>0.98</v>
      </c>
      <c r="R133" s="663">
        <f t="shared" ca="1" si="31"/>
        <v>33946</v>
      </c>
      <c r="S133" s="316">
        <f t="shared" ca="1" si="32"/>
        <v>294</v>
      </c>
    </row>
    <row r="134" spans="1:19">
      <c r="A134" s="665" t="str">
        <f>Sheet3!C114</f>
        <v>12-1-201</v>
      </c>
      <c r="B134" s="665">
        <f>Sheet3!D114</f>
        <v>86.53</v>
      </c>
      <c r="C134" s="21">
        <f t="shared" si="23"/>
        <v>1</v>
      </c>
      <c r="D134" s="2806" t="str">
        <f>Sheet3!F114</f>
        <v>小高层</v>
      </c>
      <c r="E134" s="21">
        <f t="shared" si="24"/>
        <v>1</v>
      </c>
      <c r="F134" s="667"/>
      <c r="G134" s="21">
        <f t="shared" si="25"/>
        <v>1</v>
      </c>
      <c r="H134" s="667"/>
      <c r="I134" s="21">
        <f t="shared" si="26"/>
        <v>1</v>
      </c>
      <c r="J134" s="667"/>
      <c r="K134" s="21">
        <f t="shared" si="27"/>
        <v>1</v>
      </c>
      <c r="L134" s="667"/>
      <c r="M134" s="21">
        <f t="shared" si="28"/>
        <v>1</v>
      </c>
      <c r="N134" s="667"/>
      <c r="O134" s="21">
        <f t="shared" si="29"/>
        <v>1</v>
      </c>
      <c r="P134" s="2806" t="str">
        <f>Sheet3!E114</f>
        <v>低区</v>
      </c>
      <c r="Q134" s="21">
        <f t="shared" si="30"/>
        <v>0.98</v>
      </c>
      <c r="R134" s="663">
        <f t="shared" ca="1" si="31"/>
        <v>33946</v>
      </c>
      <c r="S134" s="316">
        <f t="shared" ca="1" si="32"/>
        <v>294</v>
      </c>
    </row>
    <row r="135" spans="1:19">
      <c r="A135" s="665" t="str">
        <f>Sheet3!C115</f>
        <v>12-1-1101</v>
      </c>
      <c r="B135" s="665">
        <f>Sheet3!D115</f>
        <v>86.53</v>
      </c>
      <c r="C135" s="21">
        <f t="shared" si="23"/>
        <v>1</v>
      </c>
      <c r="D135" s="667" t="str">
        <f>Sheet3!F115</f>
        <v>小高层</v>
      </c>
      <c r="E135" s="21">
        <f t="shared" si="24"/>
        <v>1</v>
      </c>
      <c r="F135" s="667"/>
      <c r="G135" s="21">
        <f t="shared" si="25"/>
        <v>1</v>
      </c>
      <c r="H135" s="667"/>
      <c r="I135" s="21">
        <f t="shared" si="26"/>
        <v>1</v>
      </c>
      <c r="J135" s="667"/>
      <c r="K135" s="21">
        <f t="shared" si="27"/>
        <v>1</v>
      </c>
      <c r="L135" s="667"/>
      <c r="M135" s="21">
        <f t="shared" si="28"/>
        <v>1</v>
      </c>
      <c r="N135" s="667"/>
      <c r="O135" s="21">
        <f t="shared" si="29"/>
        <v>1</v>
      </c>
      <c r="P135" s="2806" t="str">
        <f>Sheet3!E115</f>
        <v>高区</v>
      </c>
      <c r="Q135" s="21">
        <f t="shared" si="30"/>
        <v>1.02</v>
      </c>
      <c r="R135" s="663">
        <f t="shared" ca="1" si="31"/>
        <v>35332</v>
      </c>
      <c r="S135" s="316">
        <f t="shared" ca="1" si="32"/>
        <v>306</v>
      </c>
    </row>
    <row r="136" spans="1:19">
      <c r="A136" s="665" t="str">
        <f>Sheet3!C116</f>
        <v>12-1-1102</v>
      </c>
      <c r="B136" s="665">
        <f>Sheet3!D116</f>
        <v>82.59</v>
      </c>
      <c r="C136" s="21">
        <f t="shared" si="23"/>
        <v>1</v>
      </c>
      <c r="D136" s="2806" t="str">
        <f>Sheet3!F116</f>
        <v>小高层</v>
      </c>
      <c r="E136" s="21">
        <f t="shared" si="24"/>
        <v>1</v>
      </c>
      <c r="F136" s="667"/>
      <c r="G136" s="21">
        <f t="shared" si="25"/>
        <v>1</v>
      </c>
      <c r="H136" s="667"/>
      <c r="I136" s="21">
        <f t="shared" si="26"/>
        <v>1</v>
      </c>
      <c r="J136" s="667"/>
      <c r="K136" s="21">
        <f t="shared" si="27"/>
        <v>1</v>
      </c>
      <c r="L136" s="667"/>
      <c r="M136" s="21">
        <f t="shared" si="28"/>
        <v>1</v>
      </c>
      <c r="N136" s="667"/>
      <c r="O136" s="21">
        <f t="shared" si="29"/>
        <v>1</v>
      </c>
      <c r="P136" s="2806" t="str">
        <f>Sheet3!E116</f>
        <v>高区</v>
      </c>
      <c r="Q136" s="21">
        <f t="shared" si="30"/>
        <v>1.02</v>
      </c>
      <c r="R136" s="663">
        <f t="shared" ca="1" si="31"/>
        <v>35332</v>
      </c>
      <c r="S136" s="316">
        <f t="shared" ca="1" si="32"/>
        <v>292</v>
      </c>
    </row>
    <row r="137" spans="1:19">
      <c r="A137" s="665" t="str">
        <f>Sheet3!C117</f>
        <v>12-2-101</v>
      </c>
      <c r="B137" s="665">
        <f>Sheet3!D117</f>
        <v>82.59</v>
      </c>
      <c r="C137" s="21">
        <f t="shared" si="23"/>
        <v>1</v>
      </c>
      <c r="D137" s="667" t="str">
        <f>Sheet3!F117</f>
        <v>小高层</v>
      </c>
      <c r="E137" s="21">
        <f t="shared" si="24"/>
        <v>1</v>
      </c>
      <c r="F137" s="667"/>
      <c r="G137" s="21">
        <f t="shared" si="25"/>
        <v>1</v>
      </c>
      <c r="H137" s="667"/>
      <c r="I137" s="21">
        <f t="shared" si="26"/>
        <v>1</v>
      </c>
      <c r="J137" s="667"/>
      <c r="K137" s="21">
        <f t="shared" si="27"/>
        <v>1</v>
      </c>
      <c r="L137" s="667"/>
      <c r="M137" s="21">
        <f t="shared" si="28"/>
        <v>1</v>
      </c>
      <c r="N137" s="667"/>
      <c r="O137" s="21">
        <f t="shared" si="29"/>
        <v>1</v>
      </c>
      <c r="P137" s="2806" t="str">
        <f>Sheet3!E117</f>
        <v>低区</v>
      </c>
      <c r="Q137" s="21">
        <f t="shared" si="30"/>
        <v>0.98</v>
      </c>
      <c r="R137" s="663">
        <f t="shared" ca="1" si="31"/>
        <v>33946</v>
      </c>
      <c r="S137" s="316">
        <f t="shared" ca="1" si="32"/>
        <v>280</v>
      </c>
    </row>
    <row r="138" spans="1:19">
      <c r="A138" s="665" t="str">
        <f>Sheet3!C118</f>
        <v>12-2-301</v>
      </c>
      <c r="B138" s="665">
        <f>Sheet3!D118</f>
        <v>82.59</v>
      </c>
      <c r="C138" s="21">
        <f t="shared" si="23"/>
        <v>1</v>
      </c>
      <c r="D138" s="2806" t="str">
        <f>Sheet3!F118</f>
        <v>小高层</v>
      </c>
      <c r="E138" s="21">
        <f t="shared" si="24"/>
        <v>1</v>
      </c>
      <c r="F138" s="667"/>
      <c r="G138" s="21">
        <f t="shared" si="25"/>
        <v>1</v>
      </c>
      <c r="H138" s="667"/>
      <c r="I138" s="21">
        <f t="shared" si="26"/>
        <v>1</v>
      </c>
      <c r="J138" s="667"/>
      <c r="K138" s="21">
        <f t="shared" si="27"/>
        <v>1</v>
      </c>
      <c r="L138" s="667"/>
      <c r="M138" s="21">
        <f t="shared" si="28"/>
        <v>1</v>
      </c>
      <c r="N138" s="667"/>
      <c r="O138" s="21">
        <f t="shared" si="29"/>
        <v>1</v>
      </c>
      <c r="P138" s="2806" t="str">
        <f>Sheet3!E118</f>
        <v>低区</v>
      </c>
      <c r="Q138" s="21">
        <f t="shared" si="30"/>
        <v>0.98</v>
      </c>
      <c r="R138" s="663">
        <f t="shared" ca="1" si="31"/>
        <v>33946</v>
      </c>
      <c r="S138" s="316">
        <f t="shared" ca="1" si="32"/>
        <v>280</v>
      </c>
    </row>
    <row r="139" spans="1:19">
      <c r="A139" s="665" t="str">
        <f>Sheet3!C119</f>
        <v>12-2-1101</v>
      </c>
      <c r="B139" s="665">
        <f>Sheet3!D119</f>
        <v>82.59</v>
      </c>
      <c r="C139" s="21">
        <f t="shared" si="23"/>
        <v>1</v>
      </c>
      <c r="D139" s="667" t="str">
        <f>Sheet3!F119</f>
        <v>小高层</v>
      </c>
      <c r="E139" s="21">
        <f t="shared" si="24"/>
        <v>1</v>
      </c>
      <c r="F139" s="667"/>
      <c r="G139" s="21">
        <f t="shared" si="25"/>
        <v>1</v>
      </c>
      <c r="H139" s="667"/>
      <c r="I139" s="21">
        <f t="shared" si="26"/>
        <v>1</v>
      </c>
      <c r="J139" s="667"/>
      <c r="K139" s="21">
        <f t="shared" si="27"/>
        <v>1</v>
      </c>
      <c r="L139" s="667"/>
      <c r="M139" s="21">
        <f t="shared" si="28"/>
        <v>1</v>
      </c>
      <c r="N139" s="667"/>
      <c r="O139" s="21">
        <f t="shared" si="29"/>
        <v>1</v>
      </c>
      <c r="P139" s="2806" t="str">
        <f>Sheet3!E119</f>
        <v>高区</v>
      </c>
      <c r="Q139" s="21">
        <f t="shared" si="30"/>
        <v>1.02</v>
      </c>
      <c r="R139" s="663">
        <f t="shared" ca="1" si="31"/>
        <v>35332</v>
      </c>
      <c r="S139" s="316">
        <f t="shared" ca="1" si="32"/>
        <v>292</v>
      </c>
    </row>
    <row r="140" spans="1:19">
      <c r="A140" s="665" t="str">
        <f>Sheet3!C120</f>
        <v>12-2-102</v>
      </c>
      <c r="B140" s="665">
        <f>Sheet3!D120</f>
        <v>86.53</v>
      </c>
      <c r="C140" s="21">
        <f t="shared" si="23"/>
        <v>1</v>
      </c>
      <c r="D140" s="2806" t="str">
        <f>Sheet3!F120</f>
        <v>小高层</v>
      </c>
      <c r="E140" s="21">
        <f t="shared" si="24"/>
        <v>1</v>
      </c>
      <c r="F140" s="667"/>
      <c r="G140" s="21">
        <f t="shared" si="25"/>
        <v>1</v>
      </c>
      <c r="H140" s="667"/>
      <c r="I140" s="21">
        <f t="shared" si="26"/>
        <v>1</v>
      </c>
      <c r="J140" s="667"/>
      <c r="K140" s="21">
        <f t="shared" si="27"/>
        <v>1</v>
      </c>
      <c r="L140" s="667"/>
      <c r="M140" s="21">
        <f t="shared" si="28"/>
        <v>1</v>
      </c>
      <c r="N140" s="667"/>
      <c r="O140" s="21">
        <f t="shared" si="29"/>
        <v>1</v>
      </c>
      <c r="P140" s="2806" t="str">
        <f>Sheet3!E120</f>
        <v>低区</v>
      </c>
      <c r="Q140" s="21">
        <f t="shared" si="30"/>
        <v>0.98</v>
      </c>
      <c r="R140" s="663">
        <f t="shared" ca="1" si="31"/>
        <v>33946</v>
      </c>
      <c r="S140" s="316">
        <f t="shared" ca="1" si="32"/>
        <v>294</v>
      </c>
    </row>
    <row r="141" spans="1:19">
      <c r="A141" s="665" t="str">
        <f>Sheet3!C121</f>
        <v>12-2-202</v>
      </c>
      <c r="B141" s="665">
        <f>Sheet3!D121</f>
        <v>86.53</v>
      </c>
      <c r="C141" s="21">
        <f t="shared" si="23"/>
        <v>1</v>
      </c>
      <c r="D141" s="667" t="str">
        <f>Sheet3!F121</f>
        <v>小高层</v>
      </c>
      <c r="E141" s="21">
        <f t="shared" si="24"/>
        <v>1</v>
      </c>
      <c r="F141" s="667"/>
      <c r="G141" s="21">
        <f t="shared" si="25"/>
        <v>1</v>
      </c>
      <c r="H141" s="667"/>
      <c r="I141" s="21">
        <f t="shared" si="26"/>
        <v>1</v>
      </c>
      <c r="J141" s="667"/>
      <c r="K141" s="21">
        <f t="shared" si="27"/>
        <v>1</v>
      </c>
      <c r="L141" s="667"/>
      <c r="M141" s="21">
        <f t="shared" si="28"/>
        <v>1</v>
      </c>
      <c r="N141" s="667"/>
      <c r="O141" s="21">
        <f t="shared" si="29"/>
        <v>1</v>
      </c>
      <c r="P141" s="2806" t="str">
        <f>Sheet3!E121</f>
        <v>低区</v>
      </c>
      <c r="Q141" s="21">
        <f t="shared" si="30"/>
        <v>0.98</v>
      </c>
      <c r="R141" s="663">
        <f t="shared" ca="1" si="31"/>
        <v>33946</v>
      </c>
      <c r="S141" s="316">
        <f t="shared" ca="1" si="32"/>
        <v>294</v>
      </c>
    </row>
    <row r="142" spans="1:19">
      <c r="A142" s="665" t="str">
        <f>Sheet3!C122</f>
        <v>12-2-302</v>
      </c>
      <c r="B142" s="665">
        <f>Sheet3!D122</f>
        <v>86.53</v>
      </c>
      <c r="C142" s="21">
        <f t="shared" si="23"/>
        <v>1</v>
      </c>
      <c r="D142" s="2806" t="str">
        <f>Sheet3!F122</f>
        <v>小高层</v>
      </c>
      <c r="E142" s="21">
        <f t="shared" si="24"/>
        <v>1</v>
      </c>
      <c r="F142" s="667"/>
      <c r="G142" s="21">
        <f t="shared" si="25"/>
        <v>1</v>
      </c>
      <c r="H142" s="667"/>
      <c r="I142" s="21">
        <f t="shared" si="26"/>
        <v>1</v>
      </c>
      <c r="J142" s="667"/>
      <c r="K142" s="21">
        <f t="shared" si="27"/>
        <v>1</v>
      </c>
      <c r="L142" s="667"/>
      <c r="M142" s="21">
        <f t="shared" si="28"/>
        <v>1</v>
      </c>
      <c r="N142" s="667"/>
      <c r="O142" s="21">
        <f t="shared" si="29"/>
        <v>1</v>
      </c>
      <c r="P142" s="2806" t="str">
        <f>Sheet3!E122</f>
        <v>低区</v>
      </c>
      <c r="Q142" s="21">
        <f t="shared" si="30"/>
        <v>0.98</v>
      </c>
      <c r="R142" s="663">
        <f t="shared" ca="1" si="31"/>
        <v>33946</v>
      </c>
      <c r="S142" s="316">
        <f t="shared" ca="1" si="32"/>
        <v>294</v>
      </c>
    </row>
    <row r="143" spans="1:19">
      <c r="A143" s="665" t="str">
        <f>Sheet3!C123</f>
        <v>12-2-402</v>
      </c>
      <c r="B143" s="665">
        <f>Sheet3!D123</f>
        <v>86.53</v>
      </c>
      <c r="C143" s="21">
        <f t="shared" si="23"/>
        <v>1</v>
      </c>
      <c r="D143" s="667" t="str">
        <f>Sheet3!F123</f>
        <v>小高层</v>
      </c>
      <c r="E143" s="21">
        <f t="shared" si="24"/>
        <v>1</v>
      </c>
      <c r="F143" s="667"/>
      <c r="G143" s="21">
        <f t="shared" si="25"/>
        <v>1</v>
      </c>
      <c r="H143" s="667"/>
      <c r="I143" s="21">
        <f t="shared" si="26"/>
        <v>1</v>
      </c>
      <c r="J143" s="667"/>
      <c r="K143" s="21">
        <f t="shared" si="27"/>
        <v>1</v>
      </c>
      <c r="L143" s="667"/>
      <c r="M143" s="21">
        <f t="shared" si="28"/>
        <v>1</v>
      </c>
      <c r="N143" s="667"/>
      <c r="O143" s="21">
        <f t="shared" si="29"/>
        <v>1</v>
      </c>
      <c r="P143" s="2806" t="str">
        <f>Sheet3!E123</f>
        <v>中区</v>
      </c>
      <c r="Q143" s="21">
        <f t="shared" si="30"/>
        <v>1</v>
      </c>
      <c r="R143" s="663">
        <f t="shared" ca="1" si="31"/>
        <v>34639</v>
      </c>
      <c r="S143" s="316">
        <f t="shared" ca="1" si="32"/>
        <v>300</v>
      </c>
    </row>
    <row r="144" spans="1:19">
      <c r="A144" s="665" t="str">
        <f>Sheet3!C124</f>
        <v>12-2-602</v>
      </c>
      <c r="B144" s="665">
        <f>Sheet3!D124</f>
        <v>86.53</v>
      </c>
      <c r="C144" s="21">
        <f t="shared" si="23"/>
        <v>1</v>
      </c>
      <c r="D144" s="2806" t="str">
        <f>Sheet3!F124</f>
        <v>小高层</v>
      </c>
      <c r="E144" s="21">
        <f t="shared" si="24"/>
        <v>1</v>
      </c>
      <c r="F144" s="667"/>
      <c r="G144" s="21">
        <f t="shared" si="25"/>
        <v>1</v>
      </c>
      <c r="H144" s="667"/>
      <c r="I144" s="21">
        <f t="shared" si="26"/>
        <v>1</v>
      </c>
      <c r="J144" s="667"/>
      <c r="K144" s="21">
        <f t="shared" si="27"/>
        <v>1</v>
      </c>
      <c r="L144" s="667"/>
      <c r="M144" s="21">
        <f t="shared" si="28"/>
        <v>1</v>
      </c>
      <c r="N144" s="667"/>
      <c r="O144" s="21">
        <f t="shared" si="29"/>
        <v>1</v>
      </c>
      <c r="P144" s="2806" t="str">
        <f>Sheet3!E124</f>
        <v>中区</v>
      </c>
      <c r="Q144" s="21">
        <f t="shared" si="30"/>
        <v>1</v>
      </c>
      <c r="R144" s="663">
        <f t="shared" ca="1" si="31"/>
        <v>34639</v>
      </c>
      <c r="S144" s="316">
        <f t="shared" ca="1" si="32"/>
        <v>300</v>
      </c>
    </row>
    <row r="145" spans="1:19">
      <c r="A145" s="665" t="str">
        <f>Sheet3!C125</f>
        <v>12-2-902</v>
      </c>
      <c r="B145" s="665">
        <f>Sheet3!D125</f>
        <v>86.53</v>
      </c>
      <c r="C145" s="21">
        <f t="shared" si="23"/>
        <v>1</v>
      </c>
      <c r="D145" s="667" t="str">
        <f>Sheet3!F125</f>
        <v>小高层</v>
      </c>
      <c r="E145" s="21">
        <f t="shared" si="24"/>
        <v>1</v>
      </c>
      <c r="F145" s="667"/>
      <c r="G145" s="21">
        <f t="shared" si="25"/>
        <v>1</v>
      </c>
      <c r="H145" s="667"/>
      <c r="I145" s="21">
        <f t="shared" si="26"/>
        <v>1</v>
      </c>
      <c r="J145" s="667"/>
      <c r="K145" s="21">
        <f t="shared" si="27"/>
        <v>1</v>
      </c>
      <c r="L145" s="667"/>
      <c r="M145" s="21">
        <f t="shared" si="28"/>
        <v>1</v>
      </c>
      <c r="N145" s="667"/>
      <c r="O145" s="21">
        <f t="shared" si="29"/>
        <v>1</v>
      </c>
      <c r="P145" s="2806" t="str">
        <f>Sheet3!E125</f>
        <v>高区</v>
      </c>
      <c r="Q145" s="21">
        <f t="shared" si="30"/>
        <v>1.02</v>
      </c>
      <c r="R145" s="663">
        <f t="shared" ca="1" si="31"/>
        <v>35332</v>
      </c>
      <c r="S145" s="316">
        <f t="shared" ca="1" si="32"/>
        <v>306</v>
      </c>
    </row>
    <row r="146" spans="1:19">
      <c r="A146" s="665" t="str">
        <f>Sheet3!C126</f>
        <v>12-2-1102</v>
      </c>
      <c r="B146" s="665">
        <f>Sheet3!D126</f>
        <v>86.53</v>
      </c>
      <c r="C146" s="21">
        <f t="shared" si="23"/>
        <v>1</v>
      </c>
      <c r="D146" s="2806" t="str">
        <f>Sheet3!F126</f>
        <v>小高层</v>
      </c>
      <c r="E146" s="21">
        <f t="shared" si="24"/>
        <v>1</v>
      </c>
      <c r="F146" s="667"/>
      <c r="G146" s="21">
        <f t="shared" si="25"/>
        <v>1</v>
      </c>
      <c r="H146" s="667"/>
      <c r="I146" s="21">
        <f t="shared" si="26"/>
        <v>1</v>
      </c>
      <c r="J146" s="667"/>
      <c r="K146" s="21">
        <f t="shared" si="27"/>
        <v>1</v>
      </c>
      <c r="L146" s="667"/>
      <c r="M146" s="21">
        <f t="shared" si="28"/>
        <v>1</v>
      </c>
      <c r="N146" s="667"/>
      <c r="O146" s="21">
        <f t="shared" si="29"/>
        <v>1</v>
      </c>
      <c r="P146" s="2806" t="str">
        <f>Sheet3!E126</f>
        <v>高区</v>
      </c>
      <c r="Q146" s="21">
        <f t="shared" si="30"/>
        <v>1.02</v>
      </c>
      <c r="R146" s="663">
        <f t="shared" ca="1" si="31"/>
        <v>35332</v>
      </c>
      <c r="S146" s="316">
        <f t="shared" ca="1" si="32"/>
        <v>306</v>
      </c>
    </row>
    <row r="147" spans="1:19">
      <c r="A147" s="665" t="str">
        <f>Sheet3!C127</f>
        <v>11-1-101</v>
      </c>
      <c r="B147" s="665">
        <f>Sheet3!D127</f>
        <v>87.39</v>
      </c>
      <c r="C147" s="21">
        <f t="shared" si="23"/>
        <v>1</v>
      </c>
      <c r="D147" s="667" t="str">
        <f>Sheet3!F127</f>
        <v>小高层</v>
      </c>
      <c r="E147" s="21">
        <f t="shared" si="24"/>
        <v>1</v>
      </c>
      <c r="F147" s="667"/>
      <c r="G147" s="21">
        <f t="shared" si="25"/>
        <v>1</v>
      </c>
      <c r="H147" s="667"/>
      <c r="I147" s="21">
        <f t="shared" si="26"/>
        <v>1</v>
      </c>
      <c r="J147" s="667"/>
      <c r="K147" s="21">
        <f t="shared" si="27"/>
        <v>1</v>
      </c>
      <c r="L147" s="667"/>
      <c r="M147" s="21">
        <f t="shared" si="28"/>
        <v>1</v>
      </c>
      <c r="N147" s="667"/>
      <c r="O147" s="21">
        <f t="shared" si="29"/>
        <v>1</v>
      </c>
      <c r="P147" s="2806" t="str">
        <f>Sheet3!E127</f>
        <v>低区</v>
      </c>
      <c r="Q147" s="21">
        <f t="shared" si="30"/>
        <v>0.98</v>
      </c>
      <c r="R147" s="663">
        <f t="shared" ca="1" si="31"/>
        <v>33946</v>
      </c>
      <c r="S147" s="316">
        <f t="shared" ca="1" si="32"/>
        <v>297</v>
      </c>
    </row>
    <row r="148" spans="1:19">
      <c r="A148" s="665" t="str">
        <f>Sheet3!C128</f>
        <v>11-1-201</v>
      </c>
      <c r="B148" s="665">
        <f>Sheet3!D128</f>
        <v>87.39</v>
      </c>
      <c r="C148" s="21">
        <f t="shared" si="23"/>
        <v>1</v>
      </c>
      <c r="D148" s="2806" t="str">
        <f>Sheet3!F128</f>
        <v>小高层</v>
      </c>
      <c r="E148" s="21">
        <f t="shared" si="24"/>
        <v>1</v>
      </c>
      <c r="F148" s="667"/>
      <c r="G148" s="21">
        <f t="shared" si="25"/>
        <v>1</v>
      </c>
      <c r="H148" s="667"/>
      <c r="I148" s="21">
        <f t="shared" si="26"/>
        <v>1</v>
      </c>
      <c r="J148" s="667"/>
      <c r="K148" s="21">
        <f t="shared" si="27"/>
        <v>1</v>
      </c>
      <c r="L148" s="667"/>
      <c r="M148" s="21">
        <f t="shared" si="28"/>
        <v>1</v>
      </c>
      <c r="N148" s="667"/>
      <c r="O148" s="21">
        <f t="shared" si="29"/>
        <v>1</v>
      </c>
      <c r="P148" s="2806" t="str">
        <f>Sheet3!E128</f>
        <v>低区</v>
      </c>
      <c r="Q148" s="21">
        <f t="shared" si="30"/>
        <v>0.98</v>
      </c>
      <c r="R148" s="663">
        <f t="shared" ca="1" si="31"/>
        <v>33946</v>
      </c>
      <c r="S148" s="316">
        <f t="shared" ca="1" si="32"/>
        <v>297</v>
      </c>
    </row>
    <row r="149" spans="1:19">
      <c r="A149" s="665" t="str">
        <f>Sheet3!C129</f>
        <v>11-1-301</v>
      </c>
      <c r="B149" s="665">
        <f>Sheet3!D129</f>
        <v>87.39</v>
      </c>
      <c r="C149" s="21">
        <f t="shared" si="23"/>
        <v>1</v>
      </c>
      <c r="D149" s="667" t="str">
        <f>Sheet3!F129</f>
        <v>小高层</v>
      </c>
      <c r="E149" s="21">
        <f t="shared" si="24"/>
        <v>1</v>
      </c>
      <c r="F149" s="667"/>
      <c r="G149" s="21">
        <f t="shared" si="25"/>
        <v>1</v>
      </c>
      <c r="H149" s="667"/>
      <c r="I149" s="21">
        <f t="shared" si="26"/>
        <v>1</v>
      </c>
      <c r="J149" s="667"/>
      <c r="K149" s="21">
        <f t="shared" si="27"/>
        <v>1</v>
      </c>
      <c r="L149" s="667"/>
      <c r="M149" s="21">
        <f t="shared" si="28"/>
        <v>1</v>
      </c>
      <c r="N149" s="667"/>
      <c r="O149" s="21">
        <f t="shared" si="29"/>
        <v>1</v>
      </c>
      <c r="P149" s="2806" t="str">
        <f>Sheet3!E129</f>
        <v>低区</v>
      </c>
      <c r="Q149" s="21">
        <f t="shared" si="30"/>
        <v>0.98</v>
      </c>
      <c r="R149" s="663">
        <f t="shared" ca="1" si="31"/>
        <v>33946</v>
      </c>
      <c r="S149" s="316">
        <f t="shared" ca="1" si="32"/>
        <v>297</v>
      </c>
    </row>
    <row r="150" spans="1:19">
      <c r="A150" s="665" t="str">
        <f>Sheet3!C130</f>
        <v>11-1-401</v>
      </c>
      <c r="B150" s="665">
        <f>Sheet3!D130</f>
        <v>87.39</v>
      </c>
      <c r="C150" s="21">
        <f t="shared" si="23"/>
        <v>1</v>
      </c>
      <c r="D150" s="2806" t="str">
        <f>Sheet3!F130</f>
        <v>小高层</v>
      </c>
      <c r="E150" s="21">
        <f t="shared" si="24"/>
        <v>1</v>
      </c>
      <c r="F150" s="667"/>
      <c r="G150" s="21">
        <f t="shared" si="25"/>
        <v>1</v>
      </c>
      <c r="H150" s="667"/>
      <c r="I150" s="21">
        <f t="shared" si="26"/>
        <v>1</v>
      </c>
      <c r="J150" s="667"/>
      <c r="K150" s="21">
        <f t="shared" si="27"/>
        <v>1</v>
      </c>
      <c r="L150" s="667"/>
      <c r="M150" s="21">
        <f t="shared" si="28"/>
        <v>1</v>
      </c>
      <c r="N150" s="667"/>
      <c r="O150" s="21">
        <f t="shared" si="29"/>
        <v>1</v>
      </c>
      <c r="P150" s="2806" t="str">
        <f>Sheet3!E130</f>
        <v>中区</v>
      </c>
      <c r="Q150" s="21">
        <f t="shared" si="30"/>
        <v>1</v>
      </c>
      <c r="R150" s="663">
        <f t="shared" ca="1" si="31"/>
        <v>34639</v>
      </c>
      <c r="S150" s="316">
        <f t="shared" ca="1" si="32"/>
        <v>303</v>
      </c>
    </row>
    <row r="151" spans="1:19">
      <c r="A151" s="665" t="str">
        <f>Sheet3!C131</f>
        <v>11-1-501</v>
      </c>
      <c r="B151" s="665">
        <f>Sheet3!D131</f>
        <v>87.39</v>
      </c>
      <c r="C151" s="21">
        <f t="shared" si="23"/>
        <v>1</v>
      </c>
      <c r="D151" s="667" t="str">
        <f>Sheet3!F131</f>
        <v>小高层</v>
      </c>
      <c r="E151" s="21">
        <f t="shared" si="24"/>
        <v>1</v>
      </c>
      <c r="F151" s="667"/>
      <c r="G151" s="21">
        <f t="shared" si="25"/>
        <v>1</v>
      </c>
      <c r="H151" s="667"/>
      <c r="I151" s="21">
        <f t="shared" si="26"/>
        <v>1</v>
      </c>
      <c r="J151" s="667"/>
      <c r="K151" s="21">
        <f t="shared" si="27"/>
        <v>1</v>
      </c>
      <c r="L151" s="667"/>
      <c r="M151" s="21">
        <f t="shared" si="28"/>
        <v>1</v>
      </c>
      <c r="N151" s="667"/>
      <c r="O151" s="21">
        <f t="shared" si="29"/>
        <v>1</v>
      </c>
      <c r="P151" s="2806" t="str">
        <f>Sheet3!E131</f>
        <v>中区</v>
      </c>
      <c r="Q151" s="21">
        <f t="shared" si="30"/>
        <v>1</v>
      </c>
      <c r="R151" s="663">
        <f t="shared" ca="1" si="31"/>
        <v>34639</v>
      </c>
      <c r="S151" s="316">
        <f t="shared" ca="1" si="32"/>
        <v>303</v>
      </c>
    </row>
    <row r="152" spans="1:19">
      <c r="A152" s="665" t="str">
        <f>Sheet3!C132</f>
        <v>11-1-601</v>
      </c>
      <c r="B152" s="665">
        <f>Sheet3!D132</f>
        <v>87.39</v>
      </c>
      <c r="C152" s="21">
        <f t="shared" si="23"/>
        <v>1</v>
      </c>
      <c r="D152" s="2806" t="str">
        <f>Sheet3!F132</f>
        <v>小高层</v>
      </c>
      <c r="E152" s="21">
        <f t="shared" si="24"/>
        <v>1</v>
      </c>
      <c r="F152" s="667"/>
      <c r="G152" s="21">
        <f t="shared" si="25"/>
        <v>1</v>
      </c>
      <c r="H152" s="667"/>
      <c r="I152" s="21">
        <f t="shared" si="26"/>
        <v>1</v>
      </c>
      <c r="J152" s="667"/>
      <c r="K152" s="21">
        <f t="shared" si="27"/>
        <v>1</v>
      </c>
      <c r="L152" s="667"/>
      <c r="M152" s="21">
        <f t="shared" si="28"/>
        <v>1</v>
      </c>
      <c r="N152" s="667"/>
      <c r="O152" s="21">
        <f t="shared" si="29"/>
        <v>1</v>
      </c>
      <c r="P152" s="2806" t="str">
        <f>Sheet3!E132</f>
        <v>中区</v>
      </c>
      <c r="Q152" s="21">
        <f t="shared" si="30"/>
        <v>1</v>
      </c>
      <c r="R152" s="663">
        <f t="shared" ca="1" si="31"/>
        <v>34639</v>
      </c>
      <c r="S152" s="316">
        <f t="shared" ca="1" si="32"/>
        <v>303</v>
      </c>
    </row>
    <row r="153" spans="1:19">
      <c r="A153" s="665" t="str">
        <f>Sheet3!C133</f>
        <v>11-1-701</v>
      </c>
      <c r="B153" s="665">
        <f>Sheet3!D133</f>
        <v>87.39</v>
      </c>
      <c r="C153" s="21">
        <f t="shared" si="23"/>
        <v>1</v>
      </c>
      <c r="D153" s="667" t="str">
        <f>Sheet3!F133</f>
        <v>小高层</v>
      </c>
      <c r="E153" s="21">
        <f t="shared" si="24"/>
        <v>1</v>
      </c>
      <c r="F153" s="667"/>
      <c r="G153" s="21">
        <f t="shared" si="25"/>
        <v>1</v>
      </c>
      <c r="H153" s="667"/>
      <c r="I153" s="21">
        <f t="shared" si="26"/>
        <v>1</v>
      </c>
      <c r="J153" s="667"/>
      <c r="K153" s="21">
        <f t="shared" si="27"/>
        <v>1</v>
      </c>
      <c r="L153" s="667"/>
      <c r="M153" s="21">
        <f t="shared" si="28"/>
        <v>1</v>
      </c>
      <c r="N153" s="667"/>
      <c r="O153" s="21">
        <f t="shared" si="29"/>
        <v>1</v>
      </c>
      <c r="P153" s="2806" t="str">
        <f>Sheet3!E133</f>
        <v>中区</v>
      </c>
      <c r="Q153" s="21">
        <f t="shared" si="30"/>
        <v>1</v>
      </c>
      <c r="R153" s="663">
        <f t="shared" ca="1" si="31"/>
        <v>34639</v>
      </c>
      <c r="S153" s="316">
        <f t="shared" ca="1" si="32"/>
        <v>303</v>
      </c>
    </row>
    <row r="154" spans="1:19">
      <c r="A154" s="665" t="str">
        <f>Sheet3!C134</f>
        <v>11-1-801</v>
      </c>
      <c r="B154" s="665">
        <f>Sheet3!D134</f>
        <v>87.39</v>
      </c>
      <c r="C154" s="21">
        <f t="shared" ref="C154:C217" si="33">IF(B154="",1,(LOOKUP(B154,$3:$3,$4:$4)-LOOKUP($B$24,$3:$3,$4:$4)+100)/100)</f>
        <v>1</v>
      </c>
      <c r="D154" s="2806" t="str">
        <f>Sheet3!F134</f>
        <v>小高层</v>
      </c>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2806" t="str">
        <f>Sheet3!E134</f>
        <v>高区</v>
      </c>
      <c r="Q154" s="21">
        <f t="shared" ref="Q154:Q217" si="40">(SUMIF($17:$17,P154,$18:$18)-SUMIF($17:$17,$P$24,$18:$18)+100)/100</f>
        <v>1.02</v>
      </c>
      <c r="R154" s="663">
        <f t="shared" ref="R154:R217" ca="1" si="41">IF(B154="",0,ROUND($R$24*C154*E154*G154*I154*K154*M154*O154*Q154,0))</f>
        <v>35332</v>
      </c>
      <c r="S154" s="316">
        <f t="shared" ca="1" si="32"/>
        <v>309</v>
      </c>
    </row>
    <row r="155" spans="1:19">
      <c r="A155" s="665" t="str">
        <f>Sheet3!C135</f>
        <v>11-1-901</v>
      </c>
      <c r="B155" s="665">
        <f>Sheet3!D135</f>
        <v>87.39</v>
      </c>
      <c r="C155" s="21">
        <f t="shared" si="33"/>
        <v>1</v>
      </c>
      <c r="D155" s="667" t="str">
        <f>Sheet3!F135</f>
        <v>小高层</v>
      </c>
      <c r="E155" s="21">
        <f t="shared" si="34"/>
        <v>1</v>
      </c>
      <c r="F155" s="667"/>
      <c r="G155" s="21">
        <f t="shared" si="35"/>
        <v>1</v>
      </c>
      <c r="H155" s="667"/>
      <c r="I155" s="21">
        <f t="shared" si="36"/>
        <v>1</v>
      </c>
      <c r="J155" s="667"/>
      <c r="K155" s="21">
        <f t="shared" si="37"/>
        <v>1</v>
      </c>
      <c r="L155" s="667"/>
      <c r="M155" s="21">
        <f t="shared" si="38"/>
        <v>1</v>
      </c>
      <c r="N155" s="667"/>
      <c r="O155" s="21">
        <f t="shared" si="39"/>
        <v>1</v>
      </c>
      <c r="P155" s="2806" t="str">
        <f>Sheet3!E135</f>
        <v>高区</v>
      </c>
      <c r="Q155" s="21">
        <f t="shared" si="40"/>
        <v>1.02</v>
      </c>
      <c r="R155" s="663">
        <f t="shared" ca="1" si="41"/>
        <v>35332</v>
      </c>
      <c r="S155" s="316">
        <f t="shared" ca="1" si="32"/>
        <v>309</v>
      </c>
    </row>
    <row r="156" spans="1:19">
      <c r="A156" s="665" t="str">
        <f>Sheet3!C136</f>
        <v>11-1-1001</v>
      </c>
      <c r="B156" s="665">
        <f>Sheet3!D136</f>
        <v>87.39</v>
      </c>
      <c r="C156" s="21">
        <f t="shared" si="33"/>
        <v>1</v>
      </c>
      <c r="D156" s="2806" t="str">
        <f>Sheet3!F136</f>
        <v>小高层</v>
      </c>
      <c r="E156" s="21">
        <f t="shared" si="34"/>
        <v>1</v>
      </c>
      <c r="F156" s="667"/>
      <c r="G156" s="21">
        <f t="shared" si="35"/>
        <v>1</v>
      </c>
      <c r="H156" s="667"/>
      <c r="I156" s="21">
        <f t="shared" si="36"/>
        <v>1</v>
      </c>
      <c r="J156" s="667"/>
      <c r="K156" s="21">
        <f t="shared" si="37"/>
        <v>1</v>
      </c>
      <c r="L156" s="667"/>
      <c r="M156" s="21">
        <f t="shared" si="38"/>
        <v>1</v>
      </c>
      <c r="N156" s="667"/>
      <c r="O156" s="21">
        <f t="shared" si="39"/>
        <v>1</v>
      </c>
      <c r="P156" s="2806" t="str">
        <f>Sheet3!E136</f>
        <v>高区</v>
      </c>
      <c r="Q156" s="21">
        <f t="shared" si="40"/>
        <v>1.02</v>
      </c>
      <c r="R156" s="663">
        <f t="shared" ca="1" si="41"/>
        <v>35332</v>
      </c>
      <c r="S156" s="316">
        <f t="shared" ca="1" si="32"/>
        <v>309</v>
      </c>
    </row>
    <row r="157" spans="1:19">
      <c r="A157" s="665" t="str">
        <f>Sheet3!C137</f>
        <v>11-1-1101</v>
      </c>
      <c r="B157" s="665">
        <f>Sheet3!D137</f>
        <v>87.39</v>
      </c>
      <c r="C157" s="21">
        <f t="shared" si="33"/>
        <v>1</v>
      </c>
      <c r="D157" s="667" t="str">
        <f>Sheet3!F137</f>
        <v>小高层</v>
      </c>
      <c r="E157" s="21">
        <f t="shared" si="34"/>
        <v>1</v>
      </c>
      <c r="F157" s="667"/>
      <c r="G157" s="21">
        <f t="shared" si="35"/>
        <v>1</v>
      </c>
      <c r="H157" s="667"/>
      <c r="I157" s="21">
        <f t="shared" si="36"/>
        <v>1</v>
      </c>
      <c r="J157" s="667"/>
      <c r="K157" s="21">
        <f t="shared" si="37"/>
        <v>1</v>
      </c>
      <c r="L157" s="667"/>
      <c r="M157" s="21">
        <f t="shared" si="38"/>
        <v>1</v>
      </c>
      <c r="N157" s="667"/>
      <c r="O157" s="21">
        <f t="shared" si="39"/>
        <v>1</v>
      </c>
      <c r="P157" s="2806" t="str">
        <f>Sheet3!E137</f>
        <v>高区</v>
      </c>
      <c r="Q157" s="21">
        <f t="shared" si="40"/>
        <v>1.02</v>
      </c>
      <c r="R157" s="663">
        <f t="shared" ca="1" si="41"/>
        <v>35332</v>
      </c>
      <c r="S157" s="316">
        <f t="shared" ca="1" si="32"/>
        <v>309</v>
      </c>
    </row>
    <row r="158" spans="1:19">
      <c r="A158" s="665" t="str">
        <f>Sheet3!C138</f>
        <v>11-1-1002</v>
      </c>
      <c r="B158" s="665">
        <f>Sheet3!D138</f>
        <v>83.42</v>
      </c>
      <c r="C158" s="21">
        <f t="shared" si="33"/>
        <v>1</v>
      </c>
      <c r="D158" s="2806" t="str">
        <f>Sheet3!F138</f>
        <v>小高层</v>
      </c>
      <c r="E158" s="21">
        <f t="shared" si="34"/>
        <v>1</v>
      </c>
      <c r="F158" s="667"/>
      <c r="G158" s="21">
        <f t="shared" si="35"/>
        <v>1</v>
      </c>
      <c r="H158" s="667"/>
      <c r="I158" s="21">
        <f t="shared" si="36"/>
        <v>1</v>
      </c>
      <c r="J158" s="667"/>
      <c r="K158" s="21">
        <f t="shared" si="37"/>
        <v>1</v>
      </c>
      <c r="L158" s="667"/>
      <c r="M158" s="21">
        <f t="shared" si="38"/>
        <v>1</v>
      </c>
      <c r="N158" s="667"/>
      <c r="O158" s="21">
        <f t="shared" si="39"/>
        <v>1</v>
      </c>
      <c r="P158" s="2806" t="str">
        <f>Sheet3!E138</f>
        <v>高区</v>
      </c>
      <c r="Q158" s="21">
        <f t="shared" si="40"/>
        <v>1.02</v>
      </c>
      <c r="R158" s="663">
        <f t="shared" ca="1" si="41"/>
        <v>35332</v>
      </c>
      <c r="S158" s="316">
        <f t="shared" ca="1" si="32"/>
        <v>295</v>
      </c>
    </row>
    <row r="159" spans="1:19">
      <c r="A159" s="665" t="str">
        <f>Sheet3!C139</f>
        <v>11-1-1102</v>
      </c>
      <c r="B159" s="665">
        <f>Sheet3!D139</f>
        <v>83.42</v>
      </c>
      <c r="C159" s="21">
        <f t="shared" si="33"/>
        <v>1</v>
      </c>
      <c r="D159" s="667" t="str">
        <f>Sheet3!F139</f>
        <v>小高层</v>
      </c>
      <c r="E159" s="21">
        <f t="shared" si="34"/>
        <v>1</v>
      </c>
      <c r="F159" s="667"/>
      <c r="G159" s="21">
        <f t="shared" si="35"/>
        <v>1</v>
      </c>
      <c r="H159" s="667"/>
      <c r="I159" s="21">
        <f t="shared" si="36"/>
        <v>1</v>
      </c>
      <c r="J159" s="667"/>
      <c r="K159" s="21">
        <f t="shared" si="37"/>
        <v>1</v>
      </c>
      <c r="L159" s="667"/>
      <c r="M159" s="21">
        <f t="shared" si="38"/>
        <v>1</v>
      </c>
      <c r="N159" s="667"/>
      <c r="O159" s="21">
        <f t="shared" si="39"/>
        <v>1</v>
      </c>
      <c r="P159" s="2806" t="str">
        <f>Sheet3!E139</f>
        <v>高区</v>
      </c>
      <c r="Q159" s="21">
        <f t="shared" si="40"/>
        <v>1.02</v>
      </c>
      <c r="R159" s="663">
        <f t="shared" ca="1" si="41"/>
        <v>35332</v>
      </c>
      <c r="S159" s="316">
        <f t="shared" ca="1" si="32"/>
        <v>295</v>
      </c>
    </row>
    <row r="160" spans="1:19">
      <c r="A160" s="665" t="str">
        <f>Sheet3!C140</f>
        <v>11-2-401</v>
      </c>
      <c r="B160" s="665">
        <f>Sheet3!D140</f>
        <v>83.42</v>
      </c>
      <c r="C160" s="21">
        <f t="shared" si="33"/>
        <v>1</v>
      </c>
      <c r="D160" s="2806" t="str">
        <f>Sheet3!F140</f>
        <v>小高层</v>
      </c>
      <c r="E160" s="21">
        <f t="shared" si="34"/>
        <v>1</v>
      </c>
      <c r="F160" s="667"/>
      <c r="G160" s="21">
        <f t="shared" si="35"/>
        <v>1</v>
      </c>
      <c r="H160" s="667"/>
      <c r="I160" s="21">
        <f t="shared" si="36"/>
        <v>1</v>
      </c>
      <c r="J160" s="667"/>
      <c r="K160" s="21">
        <f t="shared" si="37"/>
        <v>1</v>
      </c>
      <c r="L160" s="667"/>
      <c r="M160" s="21">
        <f t="shared" si="38"/>
        <v>1</v>
      </c>
      <c r="N160" s="667"/>
      <c r="O160" s="21">
        <f t="shared" si="39"/>
        <v>1</v>
      </c>
      <c r="P160" s="2806" t="str">
        <f>Sheet3!E140</f>
        <v>中区</v>
      </c>
      <c r="Q160" s="21">
        <f t="shared" si="40"/>
        <v>1</v>
      </c>
      <c r="R160" s="663">
        <f t="shared" ca="1" si="41"/>
        <v>34639</v>
      </c>
      <c r="S160" s="316">
        <f t="shared" ca="1" si="32"/>
        <v>289</v>
      </c>
    </row>
    <row r="161" spans="1:19">
      <c r="A161" s="665" t="str">
        <f>Sheet3!C141</f>
        <v>11-2-601</v>
      </c>
      <c r="B161" s="665">
        <f>Sheet3!D141</f>
        <v>83.42</v>
      </c>
      <c r="C161" s="21">
        <f t="shared" si="33"/>
        <v>1</v>
      </c>
      <c r="D161" s="667" t="str">
        <f>Sheet3!F141</f>
        <v>小高层</v>
      </c>
      <c r="E161" s="21">
        <f t="shared" si="34"/>
        <v>1</v>
      </c>
      <c r="F161" s="667"/>
      <c r="G161" s="21">
        <f t="shared" si="35"/>
        <v>1</v>
      </c>
      <c r="H161" s="667"/>
      <c r="I161" s="21">
        <f t="shared" si="36"/>
        <v>1</v>
      </c>
      <c r="J161" s="667"/>
      <c r="K161" s="21">
        <f t="shared" si="37"/>
        <v>1</v>
      </c>
      <c r="L161" s="667"/>
      <c r="M161" s="21">
        <f t="shared" si="38"/>
        <v>1</v>
      </c>
      <c r="N161" s="667"/>
      <c r="O161" s="21">
        <f t="shared" si="39"/>
        <v>1</v>
      </c>
      <c r="P161" s="2806" t="str">
        <f>Sheet3!E141</f>
        <v>中区</v>
      </c>
      <c r="Q161" s="21">
        <f t="shared" si="40"/>
        <v>1</v>
      </c>
      <c r="R161" s="663">
        <f t="shared" ca="1" si="41"/>
        <v>34639</v>
      </c>
      <c r="S161" s="316">
        <f t="shared" ca="1" si="32"/>
        <v>289</v>
      </c>
    </row>
    <row r="162" spans="1:19">
      <c r="A162" s="665" t="str">
        <f>Sheet3!C142</f>
        <v>11-2-1001</v>
      </c>
      <c r="B162" s="665">
        <f>Sheet3!D142</f>
        <v>83.42</v>
      </c>
      <c r="C162" s="21">
        <f t="shared" si="33"/>
        <v>1</v>
      </c>
      <c r="D162" s="2806" t="str">
        <f>Sheet3!F142</f>
        <v>小高层</v>
      </c>
      <c r="E162" s="21">
        <f t="shared" si="34"/>
        <v>1</v>
      </c>
      <c r="F162" s="667"/>
      <c r="G162" s="21">
        <f t="shared" si="35"/>
        <v>1</v>
      </c>
      <c r="H162" s="667"/>
      <c r="I162" s="21">
        <f t="shared" si="36"/>
        <v>1</v>
      </c>
      <c r="J162" s="667"/>
      <c r="K162" s="21">
        <f t="shared" si="37"/>
        <v>1</v>
      </c>
      <c r="L162" s="667"/>
      <c r="M162" s="21">
        <f t="shared" si="38"/>
        <v>1</v>
      </c>
      <c r="N162" s="667"/>
      <c r="O162" s="21">
        <f t="shared" si="39"/>
        <v>1</v>
      </c>
      <c r="P162" s="2806" t="str">
        <f>Sheet3!E142</f>
        <v>高区</v>
      </c>
      <c r="Q162" s="21">
        <f t="shared" si="40"/>
        <v>1.02</v>
      </c>
      <c r="R162" s="663">
        <f t="shared" ca="1" si="41"/>
        <v>35332</v>
      </c>
      <c r="S162" s="316">
        <f t="shared" ca="1" si="32"/>
        <v>295</v>
      </c>
    </row>
    <row r="163" spans="1:19">
      <c r="A163" s="665" t="str">
        <f>Sheet3!C143</f>
        <v>11-2-402</v>
      </c>
      <c r="B163" s="665">
        <f>Sheet3!D143</f>
        <v>87.39</v>
      </c>
      <c r="C163" s="21">
        <f t="shared" si="33"/>
        <v>1</v>
      </c>
      <c r="D163" s="667" t="str">
        <f>Sheet3!F143</f>
        <v>小高层</v>
      </c>
      <c r="E163" s="21">
        <f t="shared" si="34"/>
        <v>1</v>
      </c>
      <c r="F163" s="667"/>
      <c r="G163" s="21">
        <f t="shared" si="35"/>
        <v>1</v>
      </c>
      <c r="H163" s="667"/>
      <c r="I163" s="21">
        <f t="shared" si="36"/>
        <v>1</v>
      </c>
      <c r="J163" s="667"/>
      <c r="K163" s="21">
        <f t="shared" si="37"/>
        <v>1</v>
      </c>
      <c r="L163" s="667"/>
      <c r="M163" s="21">
        <f t="shared" si="38"/>
        <v>1</v>
      </c>
      <c r="N163" s="667"/>
      <c r="O163" s="21">
        <f t="shared" si="39"/>
        <v>1</v>
      </c>
      <c r="P163" s="2806" t="str">
        <f>Sheet3!E143</f>
        <v>中区</v>
      </c>
      <c r="Q163" s="21">
        <f t="shared" si="40"/>
        <v>1</v>
      </c>
      <c r="R163" s="663">
        <f t="shared" ca="1" si="41"/>
        <v>34639</v>
      </c>
      <c r="S163" s="316">
        <f t="shared" ca="1" si="32"/>
        <v>303</v>
      </c>
    </row>
    <row r="164" spans="1:19">
      <c r="A164" s="665" t="str">
        <f>Sheet3!C144</f>
        <v>11-2-1002</v>
      </c>
      <c r="B164" s="665">
        <f>Sheet3!D144</f>
        <v>87.39</v>
      </c>
      <c r="C164" s="21">
        <f t="shared" si="33"/>
        <v>1</v>
      </c>
      <c r="D164" s="2806" t="str">
        <f>Sheet3!F144</f>
        <v>小高层</v>
      </c>
      <c r="E164" s="21">
        <f t="shared" si="34"/>
        <v>1</v>
      </c>
      <c r="F164" s="667"/>
      <c r="G164" s="21">
        <f t="shared" si="35"/>
        <v>1</v>
      </c>
      <c r="H164" s="667"/>
      <c r="I164" s="21">
        <f t="shared" si="36"/>
        <v>1</v>
      </c>
      <c r="J164" s="667"/>
      <c r="K164" s="21">
        <f t="shared" si="37"/>
        <v>1</v>
      </c>
      <c r="L164" s="667"/>
      <c r="M164" s="21">
        <f t="shared" si="38"/>
        <v>1</v>
      </c>
      <c r="N164" s="667"/>
      <c r="O164" s="21">
        <f t="shared" si="39"/>
        <v>1</v>
      </c>
      <c r="P164" s="2806" t="str">
        <f>Sheet3!E144</f>
        <v>高区</v>
      </c>
      <c r="Q164" s="21">
        <f t="shared" si="40"/>
        <v>1.02</v>
      </c>
      <c r="R164" s="663">
        <f t="shared" ca="1" si="41"/>
        <v>35332</v>
      </c>
      <c r="S164" s="316">
        <f t="shared" ca="1" si="32"/>
        <v>309</v>
      </c>
    </row>
    <row r="165" spans="1:19">
      <c r="A165" s="665" t="str">
        <f>Sheet3!C145</f>
        <v>7-1-101</v>
      </c>
      <c r="B165" s="665">
        <f>Sheet3!D145</f>
        <v>85.89</v>
      </c>
      <c r="C165" s="21">
        <f t="shared" si="33"/>
        <v>1</v>
      </c>
      <c r="D165" s="667" t="str">
        <f>Sheet3!F145</f>
        <v>小高层</v>
      </c>
      <c r="E165" s="21">
        <f t="shared" si="34"/>
        <v>1</v>
      </c>
      <c r="F165" s="667"/>
      <c r="G165" s="21">
        <f t="shared" si="35"/>
        <v>1</v>
      </c>
      <c r="H165" s="667"/>
      <c r="I165" s="21">
        <f t="shared" si="36"/>
        <v>1</v>
      </c>
      <c r="J165" s="667"/>
      <c r="K165" s="21">
        <f t="shared" si="37"/>
        <v>1</v>
      </c>
      <c r="L165" s="667"/>
      <c r="M165" s="21">
        <f t="shared" si="38"/>
        <v>1</v>
      </c>
      <c r="N165" s="667"/>
      <c r="O165" s="21">
        <f t="shared" si="39"/>
        <v>1</v>
      </c>
      <c r="P165" s="2806" t="str">
        <f>Sheet3!E145</f>
        <v>低区</v>
      </c>
      <c r="Q165" s="21">
        <f t="shared" si="40"/>
        <v>0.98</v>
      </c>
      <c r="R165" s="663">
        <f t="shared" ca="1" si="41"/>
        <v>33946</v>
      </c>
      <c r="S165" s="316">
        <f t="shared" ca="1" si="32"/>
        <v>292</v>
      </c>
    </row>
    <row r="166" spans="1:19">
      <c r="A166" s="665" t="str">
        <f>Sheet3!C146</f>
        <v>7-1-102</v>
      </c>
      <c r="B166" s="665">
        <f>Sheet3!D146</f>
        <v>81.99</v>
      </c>
      <c r="C166" s="21">
        <f t="shared" si="33"/>
        <v>1</v>
      </c>
      <c r="D166" s="2806" t="str">
        <f>Sheet3!F146</f>
        <v>小高层</v>
      </c>
      <c r="E166" s="21">
        <f t="shared" si="34"/>
        <v>1</v>
      </c>
      <c r="F166" s="667"/>
      <c r="G166" s="21">
        <f t="shared" si="35"/>
        <v>1</v>
      </c>
      <c r="H166" s="667"/>
      <c r="I166" s="21">
        <f t="shared" si="36"/>
        <v>1</v>
      </c>
      <c r="J166" s="667"/>
      <c r="K166" s="21">
        <f t="shared" si="37"/>
        <v>1</v>
      </c>
      <c r="L166" s="667"/>
      <c r="M166" s="21">
        <f t="shared" si="38"/>
        <v>1</v>
      </c>
      <c r="N166" s="667"/>
      <c r="O166" s="21">
        <f t="shared" si="39"/>
        <v>1</v>
      </c>
      <c r="P166" s="2806" t="str">
        <f>Sheet3!E146</f>
        <v>低区</v>
      </c>
      <c r="Q166" s="21">
        <f t="shared" si="40"/>
        <v>0.98</v>
      </c>
      <c r="R166" s="663">
        <f t="shared" ca="1" si="41"/>
        <v>33946</v>
      </c>
      <c r="S166" s="316">
        <f t="shared" ca="1" si="32"/>
        <v>278</v>
      </c>
    </row>
    <row r="167" spans="1:19">
      <c r="A167" s="665" t="str">
        <f>Sheet3!C147</f>
        <v>7-1-201</v>
      </c>
      <c r="B167" s="665">
        <f>Sheet3!D147</f>
        <v>85.89</v>
      </c>
      <c r="C167" s="21">
        <f t="shared" si="33"/>
        <v>1</v>
      </c>
      <c r="D167" s="667" t="str">
        <f>Sheet3!F147</f>
        <v>小高层</v>
      </c>
      <c r="E167" s="21">
        <f t="shared" si="34"/>
        <v>1</v>
      </c>
      <c r="F167" s="667"/>
      <c r="G167" s="21">
        <f t="shared" si="35"/>
        <v>1</v>
      </c>
      <c r="H167" s="667"/>
      <c r="I167" s="21">
        <f t="shared" si="36"/>
        <v>1</v>
      </c>
      <c r="J167" s="667"/>
      <c r="K167" s="21">
        <f t="shared" si="37"/>
        <v>1</v>
      </c>
      <c r="L167" s="667"/>
      <c r="M167" s="21">
        <f t="shared" si="38"/>
        <v>1</v>
      </c>
      <c r="N167" s="667"/>
      <c r="O167" s="21">
        <f t="shared" si="39"/>
        <v>1</v>
      </c>
      <c r="P167" s="2806" t="str">
        <f>Sheet3!E147</f>
        <v>低区</v>
      </c>
      <c r="Q167" s="21">
        <f t="shared" si="40"/>
        <v>0.98</v>
      </c>
      <c r="R167" s="663">
        <f t="shared" ca="1" si="41"/>
        <v>33946</v>
      </c>
      <c r="S167" s="316">
        <f t="shared" ca="1" si="32"/>
        <v>292</v>
      </c>
    </row>
    <row r="168" spans="1:19">
      <c r="A168" s="665" t="str">
        <f>Sheet3!C148</f>
        <v>7-1-202</v>
      </c>
      <c r="B168" s="665">
        <f>Sheet3!D148</f>
        <v>81.99</v>
      </c>
      <c r="C168" s="21">
        <f t="shared" si="33"/>
        <v>1</v>
      </c>
      <c r="D168" s="2806" t="str">
        <f>Sheet3!F148</f>
        <v>小高层</v>
      </c>
      <c r="E168" s="21">
        <f t="shared" si="34"/>
        <v>1</v>
      </c>
      <c r="F168" s="667"/>
      <c r="G168" s="21">
        <f t="shared" si="35"/>
        <v>1</v>
      </c>
      <c r="H168" s="667"/>
      <c r="I168" s="21">
        <f t="shared" si="36"/>
        <v>1</v>
      </c>
      <c r="J168" s="667"/>
      <c r="K168" s="21">
        <f t="shared" si="37"/>
        <v>1</v>
      </c>
      <c r="L168" s="667"/>
      <c r="M168" s="21">
        <f t="shared" si="38"/>
        <v>1</v>
      </c>
      <c r="N168" s="667"/>
      <c r="O168" s="21">
        <f t="shared" si="39"/>
        <v>1</v>
      </c>
      <c r="P168" s="2806" t="str">
        <f>Sheet3!E148</f>
        <v>低区</v>
      </c>
      <c r="Q168" s="21">
        <f t="shared" si="40"/>
        <v>0.98</v>
      </c>
      <c r="R168" s="663">
        <f t="shared" ca="1" si="41"/>
        <v>33946</v>
      </c>
      <c r="S168" s="316">
        <f t="shared" ca="1" si="32"/>
        <v>278</v>
      </c>
    </row>
    <row r="169" spans="1:19">
      <c r="A169" s="665" t="str">
        <f>Sheet3!C149</f>
        <v>7-1-301</v>
      </c>
      <c r="B169" s="665">
        <f>Sheet3!D149</f>
        <v>85.89</v>
      </c>
      <c r="C169" s="21">
        <f t="shared" si="33"/>
        <v>1</v>
      </c>
      <c r="D169" s="667" t="str">
        <f>Sheet3!F149</f>
        <v>小高层</v>
      </c>
      <c r="E169" s="21">
        <f t="shared" si="34"/>
        <v>1</v>
      </c>
      <c r="F169" s="667"/>
      <c r="G169" s="21">
        <f t="shared" si="35"/>
        <v>1</v>
      </c>
      <c r="H169" s="667"/>
      <c r="I169" s="21">
        <f t="shared" si="36"/>
        <v>1</v>
      </c>
      <c r="J169" s="667"/>
      <c r="K169" s="21">
        <f t="shared" si="37"/>
        <v>1</v>
      </c>
      <c r="L169" s="667"/>
      <c r="M169" s="21">
        <f t="shared" si="38"/>
        <v>1</v>
      </c>
      <c r="N169" s="667"/>
      <c r="O169" s="21">
        <f t="shared" si="39"/>
        <v>1</v>
      </c>
      <c r="P169" s="2806" t="str">
        <f>Sheet3!E149</f>
        <v>低区</v>
      </c>
      <c r="Q169" s="21">
        <f t="shared" si="40"/>
        <v>0.98</v>
      </c>
      <c r="R169" s="663">
        <f t="shared" ca="1" si="41"/>
        <v>33946</v>
      </c>
      <c r="S169" s="316">
        <f t="shared" ca="1" si="32"/>
        <v>292</v>
      </c>
    </row>
    <row r="170" spans="1:19">
      <c r="A170" s="665" t="str">
        <f>Sheet3!C150</f>
        <v>7-1-302</v>
      </c>
      <c r="B170" s="665">
        <f>Sheet3!D150</f>
        <v>81.99</v>
      </c>
      <c r="C170" s="21">
        <f t="shared" si="33"/>
        <v>1</v>
      </c>
      <c r="D170" s="2806" t="str">
        <f>Sheet3!F150</f>
        <v>小高层</v>
      </c>
      <c r="E170" s="21">
        <f t="shared" si="34"/>
        <v>1</v>
      </c>
      <c r="F170" s="667"/>
      <c r="G170" s="21">
        <f t="shared" si="35"/>
        <v>1</v>
      </c>
      <c r="H170" s="667"/>
      <c r="I170" s="21">
        <f t="shared" si="36"/>
        <v>1</v>
      </c>
      <c r="J170" s="667"/>
      <c r="K170" s="21">
        <f t="shared" si="37"/>
        <v>1</v>
      </c>
      <c r="L170" s="667"/>
      <c r="M170" s="21">
        <f t="shared" si="38"/>
        <v>1</v>
      </c>
      <c r="N170" s="667"/>
      <c r="O170" s="21">
        <f t="shared" si="39"/>
        <v>1</v>
      </c>
      <c r="P170" s="2806" t="str">
        <f>Sheet3!E150</f>
        <v>低区</v>
      </c>
      <c r="Q170" s="21">
        <f t="shared" si="40"/>
        <v>0.98</v>
      </c>
      <c r="R170" s="663">
        <f t="shared" ca="1" si="41"/>
        <v>33946</v>
      </c>
      <c r="S170" s="316">
        <f t="shared" ca="1" si="32"/>
        <v>278</v>
      </c>
    </row>
    <row r="171" spans="1:19">
      <c r="A171" s="665" t="str">
        <f>Sheet3!C151</f>
        <v>7-1-401</v>
      </c>
      <c r="B171" s="665">
        <f>Sheet3!D151</f>
        <v>85.89</v>
      </c>
      <c r="C171" s="21">
        <f t="shared" si="33"/>
        <v>1</v>
      </c>
      <c r="D171" s="667" t="str">
        <f>Sheet3!F151</f>
        <v>小高层</v>
      </c>
      <c r="E171" s="21">
        <f t="shared" si="34"/>
        <v>1</v>
      </c>
      <c r="F171" s="667"/>
      <c r="G171" s="21">
        <f t="shared" si="35"/>
        <v>1</v>
      </c>
      <c r="H171" s="667"/>
      <c r="I171" s="21">
        <f t="shared" si="36"/>
        <v>1</v>
      </c>
      <c r="J171" s="667"/>
      <c r="K171" s="21">
        <f t="shared" si="37"/>
        <v>1</v>
      </c>
      <c r="L171" s="667"/>
      <c r="M171" s="21">
        <f t="shared" si="38"/>
        <v>1</v>
      </c>
      <c r="N171" s="667"/>
      <c r="O171" s="21">
        <f t="shared" si="39"/>
        <v>1</v>
      </c>
      <c r="P171" s="2806" t="str">
        <f>Sheet3!E151</f>
        <v>中区</v>
      </c>
      <c r="Q171" s="21">
        <f t="shared" si="40"/>
        <v>1</v>
      </c>
      <c r="R171" s="663">
        <f t="shared" ca="1" si="41"/>
        <v>34639</v>
      </c>
      <c r="S171" s="316">
        <f t="shared" ca="1" si="32"/>
        <v>298</v>
      </c>
    </row>
    <row r="172" spans="1:19">
      <c r="A172" s="665" t="str">
        <f>Sheet3!C152</f>
        <v>7-1-402</v>
      </c>
      <c r="B172" s="665">
        <f>Sheet3!D152</f>
        <v>81.99</v>
      </c>
      <c r="C172" s="21">
        <f t="shared" si="33"/>
        <v>1</v>
      </c>
      <c r="D172" s="2806" t="str">
        <f>Sheet3!F152</f>
        <v>小高层</v>
      </c>
      <c r="E172" s="21">
        <f t="shared" si="34"/>
        <v>1</v>
      </c>
      <c r="F172" s="667"/>
      <c r="G172" s="21">
        <f t="shared" si="35"/>
        <v>1</v>
      </c>
      <c r="H172" s="667"/>
      <c r="I172" s="21">
        <f t="shared" si="36"/>
        <v>1</v>
      </c>
      <c r="J172" s="667"/>
      <c r="K172" s="21">
        <f t="shared" si="37"/>
        <v>1</v>
      </c>
      <c r="L172" s="667"/>
      <c r="M172" s="21">
        <f t="shared" si="38"/>
        <v>1</v>
      </c>
      <c r="N172" s="667"/>
      <c r="O172" s="21">
        <f t="shared" si="39"/>
        <v>1</v>
      </c>
      <c r="P172" s="2806" t="str">
        <f>Sheet3!E152</f>
        <v>中区</v>
      </c>
      <c r="Q172" s="21">
        <f t="shared" si="40"/>
        <v>1</v>
      </c>
      <c r="R172" s="663">
        <f t="shared" ca="1" si="41"/>
        <v>34639</v>
      </c>
      <c r="S172" s="316">
        <f t="shared" ca="1" si="32"/>
        <v>284</v>
      </c>
    </row>
    <row r="173" spans="1:19">
      <c r="A173" s="665" t="str">
        <f>Sheet3!C153</f>
        <v>7-1-501</v>
      </c>
      <c r="B173" s="665">
        <f>Sheet3!D153</f>
        <v>85.89</v>
      </c>
      <c r="C173" s="21">
        <f t="shared" si="33"/>
        <v>1</v>
      </c>
      <c r="D173" s="667" t="str">
        <f>Sheet3!F153</f>
        <v>小高层</v>
      </c>
      <c r="E173" s="21">
        <f t="shared" si="34"/>
        <v>1</v>
      </c>
      <c r="F173" s="667"/>
      <c r="G173" s="21">
        <f t="shared" si="35"/>
        <v>1</v>
      </c>
      <c r="H173" s="667"/>
      <c r="I173" s="21">
        <f t="shared" si="36"/>
        <v>1</v>
      </c>
      <c r="J173" s="667"/>
      <c r="K173" s="21">
        <f t="shared" si="37"/>
        <v>1</v>
      </c>
      <c r="L173" s="667"/>
      <c r="M173" s="21">
        <f t="shared" si="38"/>
        <v>1</v>
      </c>
      <c r="N173" s="667"/>
      <c r="O173" s="21">
        <f t="shared" si="39"/>
        <v>1</v>
      </c>
      <c r="P173" s="2806" t="str">
        <f>Sheet3!E153</f>
        <v>中区</v>
      </c>
      <c r="Q173" s="21">
        <f t="shared" si="40"/>
        <v>1</v>
      </c>
      <c r="R173" s="663">
        <f t="shared" ca="1" si="41"/>
        <v>34639</v>
      </c>
      <c r="S173" s="316">
        <f t="shared" ca="1" si="32"/>
        <v>298</v>
      </c>
    </row>
    <row r="174" spans="1:19">
      <c r="A174" s="665" t="str">
        <f>Sheet3!C154</f>
        <v>7-1-502</v>
      </c>
      <c r="B174" s="665">
        <f>Sheet3!D154</f>
        <v>81.99</v>
      </c>
      <c r="C174" s="21">
        <f t="shared" si="33"/>
        <v>1</v>
      </c>
      <c r="D174" s="2806" t="str">
        <f>Sheet3!F154</f>
        <v>小高层</v>
      </c>
      <c r="E174" s="21">
        <f t="shared" si="34"/>
        <v>1</v>
      </c>
      <c r="F174" s="667"/>
      <c r="G174" s="21">
        <f t="shared" si="35"/>
        <v>1</v>
      </c>
      <c r="H174" s="667"/>
      <c r="I174" s="21">
        <f t="shared" si="36"/>
        <v>1</v>
      </c>
      <c r="J174" s="667"/>
      <c r="K174" s="21">
        <f t="shared" si="37"/>
        <v>1</v>
      </c>
      <c r="L174" s="667"/>
      <c r="M174" s="21">
        <f t="shared" si="38"/>
        <v>1</v>
      </c>
      <c r="N174" s="667"/>
      <c r="O174" s="21">
        <f t="shared" si="39"/>
        <v>1</v>
      </c>
      <c r="P174" s="2806" t="str">
        <f>Sheet3!E154</f>
        <v>中区</v>
      </c>
      <c r="Q174" s="21">
        <f t="shared" si="40"/>
        <v>1</v>
      </c>
      <c r="R174" s="663">
        <f t="shared" ca="1" si="41"/>
        <v>34639</v>
      </c>
      <c r="S174" s="316">
        <f t="shared" ca="1" si="32"/>
        <v>284</v>
      </c>
    </row>
    <row r="175" spans="1:19">
      <c r="A175" s="665" t="str">
        <f>Sheet3!C155</f>
        <v>7-1-601</v>
      </c>
      <c r="B175" s="665">
        <f>Sheet3!D155</f>
        <v>85.89</v>
      </c>
      <c r="C175" s="21">
        <f t="shared" si="33"/>
        <v>1</v>
      </c>
      <c r="D175" s="667" t="str">
        <f>Sheet3!F155</f>
        <v>小高层</v>
      </c>
      <c r="E175" s="21">
        <f t="shared" si="34"/>
        <v>1</v>
      </c>
      <c r="F175" s="667"/>
      <c r="G175" s="21">
        <f t="shared" si="35"/>
        <v>1</v>
      </c>
      <c r="H175" s="667"/>
      <c r="I175" s="21">
        <f t="shared" si="36"/>
        <v>1</v>
      </c>
      <c r="J175" s="667"/>
      <c r="K175" s="21">
        <f t="shared" si="37"/>
        <v>1</v>
      </c>
      <c r="L175" s="667"/>
      <c r="M175" s="21">
        <f t="shared" si="38"/>
        <v>1</v>
      </c>
      <c r="N175" s="667"/>
      <c r="O175" s="21">
        <f t="shared" si="39"/>
        <v>1</v>
      </c>
      <c r="P175" s="2806" t="str">
        <f>Sheet3!E155</f>
        <v>中区</v>
      </c>
      <c r="Q175" s="21">
        <f t="shared" si="40"/>
        <v>1</v>
      </c>
      <c r="R175" s="663">
        <f t="shared" ca="1" si="41"/>
        <v>34639</v>
      </c>
      <c r="S175" s="316">
        <f t="shared" ca="1" si="32"/>
        <v>298</v>
      </c>
    </row>
    <row r="176" spans="1:19">
      <c r="A176" s="665" t="str">
        <f>Sheet3!C156</f>
        <v>7-1-602</v>
      </c>
      <c r="B176" s="665">
        <f>Sheet3!D156</f>
        <v>81.99</v>
      </c>
      <c r="C176" s="21">
        <f t="shared" si="33"/>
        <v>1</v>
      </c>
      <c r="D176" s="2806" t="str">
        <f>Sheet3!F156</f>
        <v>小高层</v>
      </c>
      <c r="E176" s="21">
        <f t="shared" si="34"/>
        <v>1</v>
      </c>
      <c r="F176" s="667"/>
      <c r="G176" s="21">
        <f t="shared" si="35"/>
        <v>1</v>
      </c>
      <c r="H176" s="667"/>
      <c r="I176" s="21">
        <f t="shared" si="36"/>
        <v>1</v>
      </c>
      <c r="J176" s="667"/>
      <c r="K176" s="21">
        <f t="shared" si="37"/>
        <v>1</v>
      </c>
      <c r="L176" s="667"/>
      <c r="M176" s="21">
        <f t="shared" si="38"/>
        <v>1</v>
      </c>
      <c r="N176" s="667"/>
      <c r="O176" s="21">
        <f t="shared" si="39"/>
        <v>1</v>
      </c>
      <c r="P176" s="2806" t="str">
        <f>Sheet3!E156</f>
        <v>中区</v>
      </c>
      <c r="Q176" s="21">
        <f t="shared" si="40"/>
        <v>1</v>
      </c>
      <c r="R176" s="663">
        <f t="shared" ca="1" si="41"/>
        <v>34639</v>
      </c>
      <c r="S176" s="316">
        <f t="shared" ca="1" si="32"/>
        <v>284</v>
      </c>
    </row>
    <row r="177" spans="1:19">
      <c r="A177" s="665" t="str">
        <f>Sheet3!C157</f>
        <v>7-1-701</v>
      </c>
      <c r="B177" s="665">
        <f>Sheet3!D157</f>
        <v>85.89</v>
      </c>
      <c r="C177" s="21">
        <f t="shared" si="33"/>
        <v>1</v>
      </c>
      <c r="D177" s="667" t="str">
        <f>Sheet3!F157</f>
        <v>小高层</v>
      </c>
      <c r="E177" s="21">
        <f t="shared" si="34"/>
        <v>1</v>
      </c>
      <c r="F177" s="667"/>
      <c r="G177" s="21">
        <f t="shared" si="35"/>
        <v>1</v>
      </c>
      <c r="H177" s="667"/>
      <c r="I177" s="21">
        <f t="shared" si="36"/>
        <v>1</v>
      </c>
      <c r="J177" s="667"/>
      <c r="K177" s="21">
        <f t="shared" si="37"/>
        <v>1</v>
      </c>
      <c r="L177" s="667"/>
      <c r="M177" s="21">
        <f t="shared" si="38"/>
        <v>1</v>
      </c>
      <c r="N177" s="667"/>
      <c r="O177" s="21">
        <f t="shared" si="39"/>
        <v>1</v>
      </c>
      <c r="P177" s="2806" t="str">
        <f>Sheet3!E157</f>
        <v>高区</v>
      </c>
      <c r="Q177" s="21">
        <f t="shared" si="40"/>
        <v>1.02</v>
      </c>
      <c r="R177" s="663">
        <f t="shared" ca="1" si="41"/>
        <v>35332</v>
      </c>
      <c r="S177" s="316">
        <f t="shared" ca="1" si="32"/>
        <v>303</v>
      </c>
    </row>
    <row r="178" spans="1:19">
      <c r="A178" s="665" t="str">
        <f>Sheet3!C158</f>
        <v>7-1-801</v>
      </c>
      <c r="B178" s="665">
        <f>Sheet3!D158</f>
        <v>85.89</v>
      </c>
      <c r="C178" s="21">
        <f t="shared" si="33"/>
        <v>1</v>
      </c>
      <c r="D178" s="2806" t="str">
        <f>Sheet3!F158</f>
        <v>小高层</v>
      </c>
      <c r="E178" s="21">
        <f t="shared" si="34"/>
        <v>1</v>
      </c>
      <c r="F178" s="667"/>
      <c r="G178" s="21">
        <f t="shared" si="35"/>
        <v>1</v>
      </c>
      <c r="H178" s="667"/>
      <c r="I178" s="21">
        <f t="shared" si="36"/>
        <v>1</v>
      </c>
      <c r="J178" s="667"/>
      <c r="K178" s="21">
        <f t="shared" si="37"/>
        <v>1</v>
      </c>
      <c r="L178" s="667"/>
      <c r="M178" s="21">
        <f t="shared" si="38"/>
        <v>1</v>
      </c>
      <c r="N178" s="667"/>
      <c r="O178" s="21">
        <f t="shared" si="39"/>
        <v>1</v>
      </c>
      <c r="P178" s="2806" t="str">
        <f>Sheet3!E158</f>
        <v>高区</v>
      </c>
      <c r="Q178" s="21">
        <f t="shared" si="40"/>
        <v>1.02</v>
      </c>
      <c r="R178" s="663">
        <f t="shared" ca="1" si="41"/>
        <v>35332</v>
      </c>
      <c r="S178" s="316">
        <f t="shared" ca="1" si="32"/>
        <v>303</v>
      </c>
    </row>
    <row r="179" spans="1:19">
      <c r="A179" s="665" t="str">
        <f>Sheet3!C159</f>
        <v>7-1-802</v>
      </c>
      <c r="B179" s="665">
        <f>Sheet3!D159</f>
        <v>81.99</v>
      </c>
      <c r="C179" s="21">
        <f t="shared" si="33"/>
        <v>1</v>
      </c>
      <c r="D179" s="667" t="str">
        <f>Sheet3!F159</f>
        <v>小高层</v>
      </c>
      <c r="E179" s="21">
        <f t="shared" si="34"/>
        <v>1</v>
      </c>
      <c r="F179" s="667"/>
      <c r="G179" s="21">
        <f t="shared" si="35"/>
        <v>1</v>
      </c>
      <c r="H179" s="667"/>
      <c r="I179" s="21">
        <f t="shared" si="36"/>
        <v>1</v>
      </c>
      <c r="J179" s="667"/>
      <c r="K179" s="21">
        <f t="shared" si="37"/>
        <v>1</v>
      </c>
      <c r="L179" s="667"/>
      <c r="M179" s="21">
        <f t="shared" si="38"/>
        <v>1</v>
      </c>
      <c r="N179" s="667"/>
      <c r="O179" s="21">
        <f t="shared" si="39"/>
        <v>1</v>
      </c>
      <c r="P179" s="2806" t="str">
        <f>Sheet3!E159</f>
        <v>高区</v>
      </c>
      <c r="Q179" s="21">
        <f t="shared" si="40"/>
        <v>1.02</v>
      </c>
      <c r="R179" s="663">
        <f t="shared" ca="1" si="41"/>
        <v>35332</v>
      </c>
      <c r="S179" s="316">
        <f t="shared" ca="1" si="32"/>
        <v>290</v>
      </c>
    </row>
    <row r="180" spans="1:19">
      <c r="A180" s="665" t="str">
        <f>Sheet3!C160</f>
        <v>7-1-901</v>
      </c>
      <c r="B180" s="665">
        <f>Sheet3!D160</f>
        <v>85.89</v>
      </c>
      <c r="C180" s="21">
        <f t="shared" si="33"/>
        <v>1</v>
      </c>
      <c r="D180" s="2806" t="str">
        <f>Sheet3!F160</f>
        <v>小高层</v>
      </c>
      <c r="E180" s="21">
        <f t="shared" si="34"/>
        <v>1</v>
      </c>
      <c r="F180" s="667"/>
      <c r="G180" s="21">
        <f t="shared" si="35"/>
        <v>1</v>
      </c>
      <c r="H180" s="667"/>
      <c r="I180" s="21">
        <f t="shared" si="36"/>
        <v>1</v>
      </c>
      <c r="J180" s="667"/>
      <c r="K180" s="21">
        <f t="shared" si="37"/>
        <v>1</v>
      </c>
      <c r="L180" s="667"/>
      <c r="M180" s="21">
        <f t="shared" si="38"/>
        <v>1</v>
      </c>
      <c r="N180" s="667"/>
      <c r="O180" s="21">
        <f t="shared" si="39"/>
        <v>1</v>
      </c>
      <c r="P180" s="2806" t="str">
        <f>Sheet3!E160</f>
        <v>高区</v>
      </c>
      <c r="Q180" s="21">
        <f t="shared" si="40"/>
        <v>1.02</v>
      </c>
      <c r="R180" s="663">
        <f t="shared" ca="1" si="41"/>
        <v>35332</v>
      </c>
      <c r="S180" s="316">
        <f t="shared" ca="1" si="32"/>
        <v>303</v>
      </c>
    </row>
    <row r="181" spans="1:19">
      <c r="A181" s="665" t="str">
        <f>Sheet3!C161</f>
        <v>7-1-902</v>
      </c>
      <c r="B181" s="665">
        <f>Sheet3!D161</f>
        <v>81.99</v>
      </c>
      <c r="C181" s="21">
        <f t="shared" si="33"/>
        <v>1</v>
      </c>
      <c r="D181" s="667" t="str">
        <f>Sheet3!F161</f>
        <v>小高层</v>
      </c>
      <c r="E181" s="21">
        <f t="shared" si="34"/>
        <v>1</v>
      </c>
      <c r="F181" s="667"/>
      <c r="G181" s="21">
        <f t="shared" si="35"/>
        <v>1</v>
      </c>
      <c r="H181" s="667"/>
      <c r="I181" s="21">
        <f t="shared" si="36"/>
        <v>1</v>
      </c>
      <c r="J181" s="667"/>
      <c r="K181" s="21">
        <f t="shared" si="37"/>
        <v>1</v>
      </c>
      <c r="L181" s="667"/>
      <c r="M181" s="21">
        <f t="shared" si="38"/>
        <v>1</v>
      </c>
      <c r="N181" s="667"/>
      <c r="O181" s="21">
        <f t="shared" si="39"/>
        <v>1</v>
      </c>
      <c r="P181" s="2806" t="str">
        <f>Sheet3!E161</f>
        <v>高区</v>
      </c>
      <c r="Q181" s="21">
        <f t="shared" si="40"/>
        <v>1.02</v>
      </c>
      <c r="R181" s="663">
        <f t="shared" ca="1" si="41"/>
        <v>35332</v>
      </c>
      <c r="S181" s="316">
        <f t="shared" ca="1" si="32"/>
        <v>290</v>
      </c>
    </row>
    <row r="182" spans="1:19">
      <c r="A182" s="665" t="str">
        <f>Sheet3!C162</f>
        <v>7-2-101</v>
      </c>
      <c r="B182" s="665">
        <f>Sheet3!D162</f>
        <v>81.99</v>
      </c>
      <c r="C182" s="21">
        <f t="shared" si="33"/>
        <v>1</v>
      </c>
      <c r="D182" s="2806" t="str">
        <f>Sheet3!F162</f>
        <v>小高层</v>
      </c>
      <c r="E182" s="21">
        <f t="shared" si="34"/>
        <v>1</v>
      </c>
      <c r="F182" s="667"/>
      <c r="G182" s="21">
        <f t="shared" si="35"/>
        <v>1</v>
      </c>
      <c r="H182" s="667"/>
      <c r="I182" s="21">
        <f t="shared" si="36"/>
        <v>1</v>
      </c>
      <c r="J182" s="667"/>
      <c r="K182" s="21">
        <f t="shared" si="37"/>
        <v>1</v>
      </c>
      <c r="L182" s="667"/>
      <c r="M182" s="21">
        <f t="shared" si="38"/>
        <v>1</v>
      </c>
      <c r="N182" s="667"/>
      <c r="O182" s="21">
        <f t="shared" si="39"/>
        <v>1</v>
      </c>
      <c r="P182" s="2806" t="str">
        <f>Sheet3!E162</f>
        <v>低区</v>
      </c>
      <c r="Q182" s="21">
        <f t="shared" si="40"/>
        <v>0.98</v>
      </c>
      <c r="R182" s="663">
        <f t="shared" ca="1" si="41"/>
        <v>33946</v>
      </c>
      <c r="S182" s="316">
        <f t="shared" ca="1" si="32"/>
        <v>278</v>
      </c>
    </row>
    <row r="183" spans="1:19">
      <c r="A183" s="665" t="str">
        <f>Sheet3!C163</f>
        <v>7-2-102</v>
      </c>
      <c r="B183" s="665">
        <f>Sheet3!D163</f>
        <v>85.89</v>
      </c>
      <c r="C183" s="21">
        <f t="shared" si="33"/>
        <v>1</v>
      </c>
      <c r="D183" s="667" t="str">
        <f>Sheet3!F163</f>
        <v>小高层</v>
      </c>
      <c r="E183" s="21">
        <f t="shared" si="34"/>
        <v>1</v>
      </c>
      <c r="F183" s="667"/>
      <c r="G183" s="21">
        <f t="shared" si="35"/>
        <v>1</v>
      </c>
      <c r="H183" s="667"/>
      <c r="I183" s="21">
        <f t="shared" si="36"/>
        <v>1</v>
      </c>
      <c r="J183" s="667"/>
      <c r="K183" s="21">
        <f t="shared" si="37"/>
        <v>1</v>
      </c>
      <c r="L183" s="667"/>
      <c r="M183" s="21">
        <f t="shared" si="38"/>
        <v>1</v>
      </c>
      <c r="N183" s="667"/>
      <c r="O183" s="21">
        <f t="shared" si="39"/>
        <v>1</v>
      </c>
      <c r="P183" s="2806" t="str">
        <f>Sheet3!E163</f>
        <v>低区</v>
      </c>
      <c r="Q183" s="21">
        <f t="shared" si="40"/>
        <v>0.98</v>
      </c>
      <c r="R183" s="663">
        <f t="shared" ca="1" si="41"/>
        <v>33946</v>
      </c>
      <c r="S183" s="316">
        <f t="shared" ca="1" si="32"/>
        <v>292</v>
      </c>
    </row>
    <row r="184" spans="1:19">
      <c r="A184" s="665" t="str">
        <f>Sheet3!C164</f>
        <v>7-2-201</v>
      </c>
      <c r="B184" s="665">
        <f>Sheet3!D164</f>
        <v>81.99</v>
      </c>
      <c r="C184" s="21">
        <f t="shared" si="33"/>
        <v>1</v>
      </c>
      <c r="D184" s="2806" t="str">
        <f>Sheet3!F164</f>
        <v>小高层</v>
      </c>
      <c r="E184" s="21">
        <f t="shared" si="34"/>
        <v>1</v>
      </c>
      <c r="F184" s="667"/>
      <c r="G184" s="21">
        <f t="shared" si="35"/>
        <v>1</v>
      </c>
      <c r="H184" s="667"/>
      <c r="I184" s="21">
        <f t="shared" si="36"/>
        <v>1</v>
      </c>
      <c r="J184" s="667"/>
      <c r="K184" s="21">
        <f t="shared" si="37"/>
        <v>1</v>
      </c>
      <c r="L184" s="667"/>
      <c r="M184" s="21">
        <f t="shared" si="38"/>
        <v>1</v>
      </c>
      <c r="N184" s="667"/>
      <c r="O184" s="21">
        <f t="shared" si="39"/>
        <v>1</v>
      </c>
      <c r="P184" s="2806" t="str">
        <f>Sheet3!E164</f>
        <v>低区</v>
      </c>
      <c r="Q184" s="21">
        <f t="shared" si="40"/>
        <v>0.98</v>
      </c>
      <c r="R184" s="663">
        <f t="shared" ca="1" si="41"/>
        <v>33946</v>
      </c>
      <c r="S184" s="316">
        <f t="shared" ca="1" si="32"/>
        <v>278</v>
      </c>
    </row>
    <row r="185" spans="1:19">
      <c r="A185" s="665" t="str">
        <f>Sheet3!C165</f>
        <v>7-2-202</v>
      </c>
      <c r="B185" s="665">
        <f>Sheet3!D165</f>
        <v>85.89</v>
      </c>
      <c r="C185" s="21">
        <f t="shared" si="33"/>
        <v>1</v>
      </c>
      <c r="D185" s="667" t="str">
        <f>Sheet3!F165</f>
        <v>小高层</v>
      </c>
      <c r="E185" s="21">
        <f t="shared" si="34"/>
        <v>1</v>
      </c>
      <c r="F185" s="667"/>
      <c r="G185" s="21">
        <f t="shared" si="35"/>
        <v>1</v>
      </c>
      <c r="H185" s="667"/>
      <c r="I185" s="21">
        <f t="shared" si="36"/>
        <v>1</v>
      </c>
      <c r="J185" s="667"/>
      <c r="K185" s="21">
        <f t="shared" si="37"/>
        <v>1</v>
      </c>
      <c r="L185" s="667"/>
      <c r="M185" s="21">
        <f t="shared" si="38"/>
        <v>1</v>
      </c>
      <c r="N185" s="667"/>
      <c r="O185" s="21">
        <f t="shared" si="39"/>
        <v>1</v>
      </c>
      <c r="P185" s="2806" t="str">
        <f>Sheet3!E165</f>
        <v>低区</v>
      </c>
      <c r="Q185" s="21">
        <f t="shared" si="40"/>
        <v>0.98</v>
      </c>
      <c r="R185" s="663">
        <f t="shared" ca="1" si="41"/>
        <v>33946</v>
      </c>
      <c r="S185" s="316">
        <f t="shared" ca="1" si="32"/>
        <v>292</v>
      </c>
    </row>
    <row r="186" spans="1:19">
      <c r="A186" s="665" t="str">
        <f>Sheet3!C166</f>
        <v>7-2-301</v>
      </c>
      <c r="B186" s="665">
        <f>Sheet3!D166</f>
        <v>81.99</v>
      </c>
      <c r="C186" s="21">
        <f t="shared" si="33"/>
        <v>1</v>
      </c>
      <c r="D186" s="2806" t="str">
        <f>Sheet3!F166</f>
        <v>小高层</v>
      </c>
      <c r="E186" s="21">
        <f t="shared" si="34"/>
        <v>1</v>
      </c>
      <c r="F186" s="667"/>
      <c r="G186" s="21">
        <f t="shared" si="35"/>
        <v>1</v>
      </c>
      <c r="H186" s="667"/>
      <c r="I186" s="21">
        <f t="shared" si="36"/>
        <v>1</v>
      </c>
      <c r="J186" s="667"/>
      <c r="K186" s="21">
        <f t="shared" si="37"/>
        <v>1</v>
      </c>
      <c r="L186" s="667"/>
      <c r="M186" s="21">
        <f t="shared" si="38"/>
        <v>1</v>
      </c>
      <c r="N186" s="667"/>
      <c r="O186" s="21">
        <f t="shared" si="39"/>
        <v>1</v>
      </c>
      <c r="P186" s="2806" t="str">
        <f>Sheet3!E166</f>
        <v>低区</v>
      </c>
      <c r="Q186" s="21">
        <f t="shared" si="40"/>
        <v>0.98</v>
      </c>
      <c r="R186" s="663">
        <f t="shared" ca="1" si="41"/>
        <v>33946</v>
      </c>
      <c r="S186" s="316">
        <f t="shared" ca="1" si="32"/>
        <v>278</v>
      </c>
    </row>
    <row r="187" spans="1:19">
      <c r="A187" s="665" t="str">
        <f>Sheet3!C167</f>
        <v>7-2-302</v>
      </c>
      <c r="B187" s="665">
        <f>Sheet3!D167</f>
        <v>85.89</v>
      </c>
      <c r="C187" s="21">
        <f t="shared" si="33"/>
        <v>1</v>
      </c>
      <c r="D187" s="667" t="str">
        <f>Sheet3!F167</f>
        <v>小高层</v>
      </c>
      <c r="E187" s="21">
        <f t="shared" si="34"/>
        <v>1</v>
      </c>
      <c r="F187" s="667"/>
      <c r="G187" s="21">
        <f t="shared" si="35"/>
        <v>1</v>
      </c>
      <c r="H187" s="667"/>
      <c r="I187" s="21">
        <f t="shared" si="36"/>
        <v>1</v>
      </c>
      <c r="J187" s="667"/>
      <c r="K187" s="21">
        <f t="shared" si="37"/>
        <v>1</v>
      </c>
      <c r="L187" s="667"/>
      <c r="M187" s="21">
        <f t="shared" si="38"/>
        <v>1</v>
      </c>
      <c r="N187" s="667"/>
      <c r="O187" s="21">
        <f t="shared" si="39"/>
        <v>1</v>
      </c>
      <c r="P187" s="2806" t="str">
        <f>Sheet3!E167</f>
        <v>低区</v>
      </c>
      <c r="Q187" s="21">
        <f t="shared" si="40"/>
        <v>0.98</v>
      </c>
      <c r="R187" s="663">
        <f t="shared" ca="1" si="41"/>
        <v>33946</v>
      </c>
      <c r="S187" s="316">
        <f t="shared" ref="S187:S222" ca="1" si="42">ROUND(R187*B187/10000,0)</f>
        <v>292</v>
      </c>
    </row>
    <row r="188" spans="1:19">
      <c r="A188" s="665" t="str">
        <f>Sheet3!C168</f>
        <v>7-2-401</v>
      </c>
      <c r="B188" s="665">
        <f>Sheet3!D168</f>
        <v>81.99</v>
      </c>
      <c r="C188" s="21">
        <f t="shared" si="33"/>
        <v>1</v>
      </c>
      <c r="D188" s="2806" t="str">
        <f>Sheet3!F168</f>
        <v>小高层</v>
      </c>
      <c r="E188" s="21">
        <f t="shared" si="34"/>
        <v>1</v>
      </c>
      <c r="F188" s="667"/>
      <c r="G188" s="21">
        <f t="shared" si="35"/>
        <v>1</v>
      </c>
      <c r="H188" s="667"/>
      <c r="I188" s="21">
        <f t="shared" si="36"/>
        <v>1</v>
      </c>
      <c r="J188" s="667"/>
      <c r="K188" s="21">
        <f t="shared" si="37"/>
        <v>1</v>
      </c>
      <c r="L188" s="667"/>
      <c r="M188" s="21">
        <f t="shared" si="38"/>
        <v>1</v>
      </c>
      <c r="N188" s="667"/>
      <c r="O188" s="21">
        <f t="shared" si="39"/>
        <v>1</v>
      </c>
      <c r="P188" s="2806" t="str">
        <f>Sheet3!E168</f>
        <v>中区</v>
      </c>
      <c r="Q188" s="21">
        <f t="shared" si="40"/>
        <v>1</v>
      </c>
      <c r="R188" s="663">
        <f t="shared" ca="1" si="41"/>
        <v>34639</v>
      </c>
      <c r="S188" s="316">
        <f t="shared" ca="1" si="42"/>
        <v>284</v>
      </c>
    </row>
    <row r="189" spans="1:19">
      <c r="A189" s="665" t="str">
        <f>Sheet3!C169</f>
        <v>7-2-402</v>
      </c>
      <c r="B189" s="665">
        <f>Sheet3!D169</f>
        <v>85.89</v>
      </c>
      <c r="C189" s="21">
        <f t="shared" si="33"/>
        <v>1</v>
      </c>
      <c r="D189" s="667" t="str">
        <f>Sheet3!F169</f>
        <v>小高层</v>
      </c>
      <c r="E189" s="21">
        <f t="shared" si="34"/>
        <v>1</v>
      </c>
      <c r="F189" s="667"/>
      <c r="G189" s="21">
        <f t="shared" si="35"/>
        <v>1</v>
      </c>
      <c r="H189" s="667"/>
      <c r="I189" s="21">
        <f t="shared" si="36"/>
        <v>1</v>
      </c>
      <c r="J189" s="667"/>
      <c r="K189" s="21">
        <f t="shared" si="37"/>
        <v>1</v>
      </c>
      <c r="L189" s="667"/>
      <c r="M189" s="21">
        <f t="shared" si="38"/>
        <v>1</v>
      </c>
      <c r="N189" s="667"/>
      <c r="O189" s="21">
        <f t="shared" si="39"/>
        <v>1</v>
      </c>
      <c r="P189" s="2806" t="str">
        <f>Sheet3!E169</f>
        <v>中区</v>
      </c>
      <c r="Q189" s="21">
        <f t="shared" si="40"/>
        <v>1</v>
      </c>
      <c r="R189" s="663">
        <f t="shared" ca="1" si="41"/>
        <v>34639</v>
      </c>
      <c r="S189" s="316">
        <f t="shared" ca="1" si="42"/>
        <v>298</v>
      </c>
    </row>
    <row r="190" spans="1:19">
      <c r="A190" s="665" t="str">
        <f>Sheet3!C170</f>
        <v>7-2-502</v>
      </c>
      <c r="B190" s="665">
        <f>Sheet3!D170</f>
        <v>85.89</v>
      </c>
      <c r="C190" s="21">
        <f t="shared" si="33"/>
        <v>1</v>
      </c>
      <c r="D190" s="2806" t="str">
        <f>Sheet3!F170</f>
        <v>小高层</v>
      </c>
      <c r="E190" s="21">
        <f t="shared" si="34"/>
        <v>1</v>
      </c>
      <c r="F190" s="667"/>
      <c r="G190" s="21">
        <f t="shared" si="35"/>
        <v>1</v>
      </c>
      <c r="H190" s="667"/>
      <c r="I190" s="21">
        <f t="shared" si="36"/>
        <v>1</v>
      </c>
      <c r="J190" s="667"/>
      <c r="K190" s="21">
        <f t="shared" si="37"/>
        <v>1</v>
      </c>
      <c r="L190" s="667"/>
      <c r="M190" s="21">
        <f t="shared" si="38"/>
        <v>1</v>
      </c>
      <c r="N190" s="667"/>
      <c r="O190" s="21">
        <f t="shared" si="39"/>
        <v>1</v>
      </c>
      <c r="P190" s="2806" t="str">
        <f>Sheet3!E170</f>
        <v>中区</v>
      </c>
      <c r="Q190" s="21">
        <f t="shared" si="40"/>
        <v>1</v>
      </c>
      <c r="R190" s="663">
        <f t="shared" ca="1" si="41"/>
        <v>34639</v>
      </c>
      <c r="S190" s="316">
        <f t="shared" ca="1" si="42"/>
        <v>298</v>
      </c>
    </row>
    <row r="191" spans="1:19">
      <c r="A191" s="665" t="str">
        <f>Sheet3!C171</f>
        <v>7-2-602</v>
      </c>
      <c r="B191" s="665">
        <f>Sheet3!D171</f>
        <v>85.89</v>
      </c>
      <c r="C191" s="21">
        <f t="shared" si="33"/>
        <v>1</v>
      </c>
      <c r="D191" s="667" t="str">
        <f>Sheet3!F171</f>
        <v>小高层</v>
      </c>
      <c r="E191" s="21">
        <f t="shared" si="34"/>
        <v>1</v>
      </c>
      <c r="F191" s="667"/>
      <c r="G191" s="21">
        <f t="shared" si="35"/>
        <v>1</v>
      </c>
      <c r="H191" s="667"/>
      <c r="I191" s="21">
        <f t="shared" si="36"/>
        <v>1</v>
      </c>
      <c r="J191" s="667"/>
      <c r="K191" s="21">
        <f t="shared" si="37"/>
        <v>1</v>
      </c>
      <c r="L191" s="667"/>
      <c r="M191" s="21">
        <f t="shared" si="38"/>
        <v>1</v>
      </c>
      <c r="N191" s="667"/>
      <c r="O191" s="21">
        <f t="shared" si="39"/>
        <v>1</v>
      </c>
      <c r="P191" s="2806" t="str">
        <f>Sheet3!E171</f>
        <v>中区</v>
      </c>
      <c r="Q191" s="21">
        <f t="shared" si="40"/>
        <v>1</v>
      </c>
      <c r="R191" s="663">
        <f t="shared" ca="1" si="41"/>
        <v>34639</v>
      </c>
      <c r="S191" s="316">
        <f t="shared" ca="1" si="42"/>
        <v>298</v>
      </c>
    </row>
    <row r="192" spans="1:19">
      <c r="A192" s="665" t="str">
        <f>Sheet3!C172</f>
        <v>7-2-701</v>
      </c>
      <c r="B192" s="665">
        <f>Sheet3!D172</f>
        <v>81.99</v>
      </c>
      <c r="C192" s="21">
        <f t="shared" si="33"/>
        <v>1</v>
      </c>
      <c r="D192" s="2806" t="str">
        <f>Sheet3!F172</f>
        <v>小高层</v>
      </c>
      <c r="E192" s="21">
        <f t="shared" si="34"/>
        <v>1</v>
      </c>
      <c r="F192" s="667"/>
      <c r="G192" s="21">
        <f t="shared" si="35"/>
        <v>1</v>
      </c>
      <c r="H192" s="667"/>
      <c r="I192" s="21">
        <f t="shared" si="36"/>
        <v>1</v>
      </c>
      <c r="J192" s="667"/>
      <c r="K192" s="21">
        <f t="shared" si="37"/>
        <v>1</v>
      </c>
      <c r="L192" s="667"/>
      <c r="M192" s="21">
        <f t="shared" si="38"/>
        <v>1</v>
      </c>
      <c r="N192" s="667"/>
      <c r="O192" s="21">
        <f t="shared" si="39"/>
        <v>1</v>
      </c>
      <c r="P192" s="2806" t="str">
        <f>Sheet3!E172</f>
        <v>高区</v>
      </c>
      <c r="Q192" s="21">
        <f t="shared" si="40"/>
        <v>1.02</v>
      </c>
      <c r="R192" s="663">
        <f t="shared" ca="1" si="41"/>
        <v>35332</v>
      </c>
      <c r="S192" s="316">
        <f t="shared" ca="1" si="42"/>
        <v>290</v>
      </c>
    </row>
    <row r="193" spans="1:19">
      <c r="A193" s="665" t="str">
        <f>Sheet3!C173</f>
        <v>7-2-702</v>
      </c>
      <c r="B193" s="665">
        <f>Sheet3!D173</f>
        <v>85.89</v>
      </c>
      <c r="C193" s="21">
        <f t="shared" si="33"/>
        <v>1</v>
      </c>
      <c r="D193" s="667" t="str">
        <f>Sheet3!F173</f>
        <v>小高层</v>
      </c>
      <c r="E193" s="21">
        <f t="shared" si="34"/>
        <v>1</v>
      </c>
      <c r="F193" s="667"/>
      <c r="G193" s="21">
        <f t="shared" si="35"/>
        <v>1</v>
      </c>
      <c r="H193" s="667"/>
      <c r="I193" s="21">
        <f t="shared" si="36"/>
        <v>1</v>
      </c>
      <c r="J193" s="667"/>
      <c r="K193" s="21">
        <f t="shared" si="37"/>
        <v>1</v>
      </c>
      <c r="L193" s="667"/>
      <c r="M193" s="21">
        <f t="shared" si="38"/>
        <v>1</v>
      </c>
      <c r="N193" s="667"/>
      <c r="O193" s="21">
        <f t="shared" si="39"/>
        <v>1</v>
      </c>
      <c r="P193" s="2806" t="str">
        <f>Sheet3!E173</f>
        <v>高区</v>
      </c>
      <c r="Q193" s="21">
        <f t="shared" si="40"/>
        <v>1.02</v>
      </c>
      <c r="R193" s="663">
        <f t="shared" ca="1" si="41"/>
        <v>35332</v>
      </c>
      <c r="S193" s="316">
        <f t="shared" ca="1" si="42"/>
        <v>303</v>
      </c>
    </row>
    <row r="194" spans="1:19">
      <c r="A194" s="665" t="str">
        <f>Sheet3!C174</f>
        <v>7-2-802</v>
      </c>
      <c r="B194" s="665">
        <f>Sheet3!D174</f>
        <v>85.89</v>
      </c>
      <c r="C194" s="21">
        <f t="shared" si="33"/>
        <v>1</v>
      </c>
      <c r="D194" s="2806" t="str">
        <f>Sheet3!F174</f>
        <v>小高层</v>
      </c>
      <c r="E194" s="21">
        <f t="shared" si="34"/>
        <v>1</v>
      </c>
      <c r="F194" s="667"/>
      <c r="G194" s="21">
        <f t="shared" si="35"/>
        <v>1</v>
      </c>
      <c r="H194" s="667"/>
      <c r="I194" s="21">
        <f t="shared" si="36"/>
        <v>1</v>
      </c>
      <c r="J194" s="667"/>
      <c r="K194" s="21">
        <f t="shared" si="37"/>
        <v>1</v>
      </c>
      <c r="L194" s="667"/>
      <c r="M194" s="21">
        <f t="shared" si="38"/>
        <v>1</v>
      </c>
      <c r="N194" s="667"/>
      <c r="O194" s="21">
        <f t="shared" si="39"/>
        <v>1</v>
      </c>
      <c r="P194" s="2806" t="str">
        <f>Sheet3!E174</f>
        <v>高区</v>
      </c>
      <c r="Q194" s="21">
        <f t="shared" si="40"/>
        <v>1.02</v>
      </c>
      <c r="R194" s="663">
        <f t="shared" ca="1" si="41"/>
        <v>35332</v>
      </c>
      <c r="S194" s="316">
        <f t="shared" ca="1" si="42"/>
        <v>303</v>
      </c>
    </row>
    <row r="195" spans="1:19">
      <c r="A195" s="665" t="str">
        <f>Sheet3!C175</f>
        <v>7-2-901</v>
      </c>
      <c r="B195" s="665">
        <f>Sheet3!D175</f>
        <v>81.99</v>
      </c>
      <c r="C195" s="21">
        <f t="shared" si="33"/>
        <v>1</v>
      </c>
      <c r="D195" s="667" t="str">
        <f>Sheet3!F175</f>
        <v>小高层</v>
      </c>
      <c r="E195" s="21">
        <f t="shared" si="34"/>
        <v>1</v>
      </c>
      <c r="F195" s="667"/>
      <c r="G195" s="21">
        <f t="shared" si="35"/>
        <v>1</v>
      </c>
      <c r="H195" s="667"/>
      <c r="I195" s="21">
        <f t="shared" si="36"/>
        <v>1</v>
      </c>
      <c r="J195" s="667"/>
      <c r="K195" s="21">
        <f t="shared" si="37"/>
        <v>1</v>
      </c>
      <c r="L195" s="667"/>
      <c r="M195" s="21">
        <f t="shared" si="38"/>
        <v>1</v>
      </c>
      <c r="N195" s="667"/>
      <c r="O195" s="21">
        <f t="shared" si="39"/>
        <v>1</v>
      </c>
      <c r="P195" s="2806" t="str">
        <f>Sheet3!E175</f>
        <v>高区</v>
      </c>
      <c r="Q195" s="21">
        <f t="shared" si="40"/>
        <v>1.02</v>
      </c>
      <c r="R195" s="663">
        <f t="shared" ca="1" si="41"/>
        <v>35332</v>
      </c>
      <c r="S195" s="316">
        <f t="shared" ca="1" si="42"/>
        <v>290</v>
      </c>
    </row>
    <row r="196" spans="1:19">
      <c r="A196" s="665" t="str">
        <f>Sheet3!C176</f>
        <v>7-2-902</v>
      </c>
      <c r="B196" s="665">
        <f>Sheet3!D176</f>
        <v>85.89</v>
      </c>
      <c r="C196" s="21">
        <f t="shared" si="33"/>
        <v>1</v>
      </c>
      <c r="D196" s="2806" t="str">
        <f>Sheet3!F176</f>
        <v>小高层</v>
      </c>
      <c r="E196" s="21">
        <f t="shared" si="34"/>
        <v>1</v>
      </c>
      <c r="F196" s="667"/>
      <c r="G196" s="21">
        <f t="shared" si="35"/>
        <v>1</v>
      </c>
      <c r="H196" s="667"/>
      <c r="I196" s="21">
        <f t="shared" si="36"/>
        <v>1</v>
      </c>
      <c r="J196" s="667"/>
      <c r="K196" s="21">
        <f t="shared" si="37"/>
        <v>1</v>
      </c>
      <c r="L196" s="667"/>
      <c r="M196" s="21">
        <f t="shared" si="38"/>
        <v>1</v>
      </c>
      <c r="N196" s="667"/>
      <c r="O196" s="21">
        <f t="shared" si="39"/>
        <v>1</v>
      </c>
      <c r="P196" s="2806" t="str">
        <f>Sheet3!E176</f>
        <v>高区</v>
      </c>
      <c r="Q196" s="21">
        <f t="shared" si="40"/>
        <v>1.02</v>
      </c>
      <c r="R196" s="663">
        <f t="shared" ca="1" si="41"/>
        <v>35332</v>
      </c>
      <c r="S196" s="316">
        <f t="shared" ca="1" si="42"/>
        <v>303</v>
      </c>
    </row>
    <row r="197" spans="1:19">
      <c r="A197" s="665" t="str">
        <f>Sheet3!C177</f>
        <v>6-1-101</v>
      </c>
      <c r="B197" s="665">
        <f>Sheet3!D177</f>
        <v>87.26</v>
      </c>
      <c r="C197" s="21">
        <f t="shared" si="33"/>
        <v>1</v>
      </c>
      <c r="D197" s="667" t="str">
        <f>Sheet3!F177</f>
        <v>小高层</v>
      </c>
      <c r="E197" s="21">
        <f t="shared" si="34"/>
        <v>1</v>
      </c>
      <c r="F197" s="667"/>
      <c r="G197" s="21">
        <f t="shared" si="35"/>
        <v>1</v>
      </c>
      <c r="H197" s="667"/>
      <c r="I197" s="21">
        <f t="shared" si="36"/>
        <v>1</v>
      </c>
      <c r="J197" s="667"/>
      <c r="K197" s="21">
        <f t="shared" si="37"/>
        <v>1</v>
      </c>
      <c r="L197" s="667"/>
      <c r="M197" s="21">
        <f t="shared" si="38"/>
        <v>1</v>
      </c>
      <c r="N197" s="667"/>
      <c r="O197" s="21">
        <f t="shared" si="39"/>
        <v>1</v>
      </c>
      <c r="P197" s="2806" t="str">
        <f>Sheet3!E177</f>
        <v>低区</v>
      </c>
      <c r="Q197" s="21">
        <f t="shared" si="40"/>
        <v>0.98</v>
      </c>
      <c r="R197" s="663">
        <f t="shared" ca="1" si="41"/>
        <v>33946</v>
      </c>
      <c r="S197" s="316">
        <f t="shared" ca="1" si="42"/>
        <v>296</v>
      </c>
    </row>
    <row r="198" spans="1:19">
      <c r="A198" s="665" t="str">
        <f>Sheet3!C178</f>
        <v>6-1-201</v>
      </c>
      <c r="B198" s="665">
        <f>Sheet3!D178</f>
        <v>87.26</v>
      </c>
      <c r="C198" s="21">
        <f t="shared" si="33"/>
        <v>1</v>
      </c>
      <c r="D198" s="2806" t="str">
        <f>Sheet3!F178</f>
        <v>小高层</v>
      </c>
      <c r="E198" s="21">
        <f t="shared" si="34"/>
        <v>1</v>
      </c>
      <c r="F198" s="667"/>
      <c r="G198" s="21">
        <f t="shared" si="35"/>
        <v>1</v>
      </c>
      <c r="H198" s="667"/>
      <c r="I198" s="21">
        <f t="shared" si="36"/>
        <v>1</v>
      </c>
      <c r="J198" s="667"/>
      <c r="K198" s="21">
        <f t="shared" si="37"/>
        <v>1</v>
      </c>
      <c r="L198" s="667"/>
      <c r="M198" s="21">
        <f t="shared" si="38"/>
        <v>1</v>
      </c>
      <c r="N198" s="667"/>
      <c r="O198" s="21">
        <f t="shared" si="39"/>
        <v>1</v>
      </c>
      <c r="P198" s="2806" t="str">
        <f>Sheet3!E178</f>
        <v>低区</v>
      </c>
      <c r="Q198" s="21">
        <f t="shared" si="40"/>
        <v>0.98</v>
      </c>
      <c r="R198" s="663">
        <f t="shared" ca="1" si="41"/>
        <v>33946</v>
      </c>
      <c r="S198" s="316">
        <f t="shared" ca="1" si="42"/>
        <v>296</v>
      </c>
    </row>
    <row r="199" spans="1:19">
      <c r="A199" s="665" t="str">
        <f>Sheet3!C179</f>
        <v>6-1-301</v>
      </c>
      <c r="B199" s="665">
        <f>Sheet3!D179</f>
        <v>87.26</v>
      </c>
      <c r="C199" s="21">
        <f t="shared" si="33"/>
        <v>1</v>
      </c>
      <c r="D199" s="667" t="str">
        <f>Sheet3!F179</f>
        <v>小高层</v>
      </c>
      <c r="E199" s="21">
        <f t="shared" si="34"/>
        <v>1</v>
      </c>
      <c r="F199" s="667"/>
      <c r="G199" s="21">
        <f t="shared" si="35"/>
        <v>1</v>
      </c>
      <c r="H199" s="667"/>
      <c r="I199" s="21">
        <f t="shared" si="36"/>
        <v>1</v>
      </c>
      <c r="J199" s="667"/>
      <c r="K199" s="21">
        <f t="shared" si="37"/>
        <v>1</v>
      </c>
      <c r="L199" s="667"/>
      <c r="M199" s="21">
        <f t="shared" si="38"/>
        <v>1</v>
      </c>
      <c r="N199" s="667"/>
      <c r="O199" s="21">
        <f t="shared" si="39"/>
        <v>1</v>
      </c>
      <c r="P199" s="2806" t="str">
        <f>Sheet3!E179</f>
        <v>低区</v>
      </c>
      <c r="Q199" s="21">
        <f t="shared" si="40"/>
        <v>0.98</v>
      </c>
      <c r="R199" s="663">
        <f t="shared" ca="1" si="41"/>
        <v>33946</v>
      </c>
      <c r="S199" s="316">
        <f t="shared" ca="1" si="42"/>
        <v>296</v>
      </c>
    </row>
    <row r="200" spans="1:19">
      <c r="A200" s="665" t="str">
        <f>Sheet3!C180</f>
        <v>6-1-302</v>
      </c>
      <c r="B200" s="665">
        <f>Sheet3!D180</f>
        <v>83.29</v>
      </c>
      <c r="C200" s="21">
        <f t="shared" si="33"/>
        <v>1</v>
      </c>
      <c r="D200" s="2806" t="str">
        <f>Sheet3!F180</f>
        <v>小高层</v>
      </c>
      <c r="E200" s="21">
        <f t="shared" si="34"/>
        <v>1</v>
      </c>
      <c r="F200" s="667"/>
      <c r="G200" s="21">
        <f t="shared" si="35"/>
        <v>1</v>
      </c>
      <c r="H200" s="667"/>
      <c r="I200" s="21">
        <f t="shared" si="36"/>
        <v>1</v>
      </c>
      <c r="J200" s="667"/>
      <c r="K200" s="21">
        <f t="shared" si="37"/>
        <v>1</v>
      </c>
      <c r="L200" s="667"/>
      <c r="M200" s="21">
        <f t="shared" si="38"/>
        <v>1</v>
      </c>
      <c r="N200" s="667"/>
      <c r="O200" s="21">
        <f t="shared" si="39"/>
        <v>1</v>
      </c>
      <c r="P200" s="2806" t="str">
        <f>Sheet3!E180</f>
        <v>低区</v>
      </c>
      <c r="Q200" s="21">
        <f t="shared" si="40"/>
        <v>0.98</v>
      </c>
      <c r="R200" s="663">
        <f t="shared" ca="1" si="41"/>
        <v>33946</v>
      </c>
      <c r="S200" s="316">
        <f t="shared" ca="1" si="42"/>
        <v>283</v>
      </c>
    </row>
    <row r="201" spans="1:19">
      <c r="A201" s="665" t="str">
        <f>Sheet3!C181</f>
        <v>6-1-401</v>
      </c>
      <c r="B201" s="665">
        <f>Sheet3!D181</f>
        <v>87.26</v>
      </c>
      <c r="C201" s="21">
        <f t="shared" si="33"/>
        <v>1</v>
      </c>
      <c r="D201" s="667" t="str">
        <f>Sheet3!F181</f>
        <v>小高层</v>
      </c>
      <c r="E201" s="21">
        <f t="shared" si="34"/>
        <v>1</v>
      </c>
      <c r="F201" s="667"/>
      <c r="G201" s="21">
        <f t="shared" si="35"/>
        <v>1</v>
      </c>
      <c r="H201" s="667"/>
      <c r="I201" s="21">
        <f t="shared" si="36"/>
        <v>1</v>
      </c>
      <c r="J201" s="667"/>
      <c r="K201" s="21">
        <f t="shared" si="37"/>
        <v>1</v>
      </c>
      <c r="L201" s="667"/>
      <c r="M201" s="21">
        <f t="shared" si="38"/>
        <v>1</v>
      </c>
      <c r="N201" s="667"/>
      <c r="O201" s="21">
        <f t="shared" si="39"/>
        <v>1</v>
      </c>
      <c r="P201" s="2806" t="str">
        <f>Sheet3!E181</f>
        <v>中区</v>
      </c>
      <c r="Q201" s="21">
        <f t="shared" si="40"/>
        <v>1</v>
      </c>
      <c r="R201" s="663">
        <f t="shared" ca="1" si="41"/>
        <v>34639</v>
      </c>
      <c r="S201" s="316">
        <f t="shared" ca="1" si="42"/>
        <v>302</v>
      </c>
    </row>
    <row r="202" spans="1:19">
      <c r="A202" s="665" t="str">
        <f>Sheet3!C182</f>
        <v>6-1-402</v>
      </c>
      <c r="B202" s="665">
        <f>Sheet3!D182</f>
        <v>83.29</v>
      </c>
      <c r="C202" s="21">
        <f t="shared" si="33"/>
        <v>1</v>
      </c>
      <c r="D202" s="2806" t="str">
        <f>Sheet3!F182</f>
        <v>小高层</v>
      </c>
      <c r="E202" s="21">
        <f t="shared" si="34"/>
        <v>1</v>
      </c>
      <c r="F202" s="667"/>
      <c r="G202" s="21">
        <f t="shared" si="35"/>
        <v>1</v>
      </c>
      <c r="H202" s="667"/>
      <c r="I202" s="21">
        <f t="shared" si="36"/>
        <v>1</v>
      </c>
      <c r="J202" s="667"/>
      <c r="K202" s="21">
        <f t="shared" si="37"/>
        <v>1</v>
      </c>
      <c r="L202" s="667"/>
      <c r="M202" s="21">
        <f t="shared" si="38"/>
        <v>1</v>
      </c>
      <c r="N202" s="667"/>
      <c r="O202" s="21">
        <f t="shared" si="39"/>
        <v>1</v>
      </c>
      <c r="P202" s="2806" t="str">
        <f>Sheet3!E182</f>
        <v>中区</v>
      </c>
      <c r="Q202" s="21">
        <f t="shared" si="40"/>
        <v>1</v>
      </c>
      <c r="R202" s="663">
        <f t="shared" ca="1" si="41"/>
        <v>34639</v>
      </c>
      <c r="S202" s="316">
        <f t="shared" ca="1" si="42"/>
        <v>289</v>
      </c>
    </row>
    <row r="203" spans="1:19">
      <c r="A203" s="665" t="str">
        <f>Sheet3!C183</f>
        <v>6-1-501</v>
      </c>
      <c r="B203" s="665">
        <f>Sheet3!D183</f>
        <v>87.26</v>
      </c>
      <c r="C203" s="21">
        <f t="shared" si="33"/>
        <v>1</v>
      </c>
      <c r="D203" s="667" t="str">
        <f>Sheet3!F183</f>
        <v>小高层</v>
      </c>
      <c r="E203" s="21">
        <f t="shared" si="34"/>
        <v>1</v>
      </c>
      <c r="F203" s="667"/>
      <c r="G203" s="21">
        <f t="shared" si="35"/>
        <v>1</v>
      </c>
      <c r="H203" s="667"/>
      <c r="I203" s="21">
        <f t="shared" si="36"/>
        <v>1</v>
      </c>
      <c r="J203" s="667"/>
      <c r="K203" s="21">
        <f t="shared" si="37"/>
        <v>1</v>
      </c>
      <c r="L203" s="667"/>
      <c r="M203" s="21">
        <f t="shared" si="38"/>
        <v>1</v>
      </c>
      <c r="N203" s="667"/>
      <c r="O203" s="21">
        <f t="shared" si="39"/>
        <v>1</v>
      </c>
      <c r="P203" s="2806" t="str">
        <f>Sheet3!E183</f>
        <v>中区</v>
      </c>
      <c r="Q203" s="21">
        <f t="shared" si="40"/>
        <v>1</v>
      </c>
      <c r="R203" s="663">
        <f t="shared" ca="1" si="41"/>
        <v>34639</v>
      </c>
      <c r="S203" s="316">
        <f t="shared" ca="1" si="42"/>
        <v>302</v>
      </c>
    </row>
    <row r="204" spans="1:19">
      <c r="A204" s="665" t="str">
        <f>Sheet3!C184</f>
        <v>6-1-502</v>
      </c>
      <c r="B204" s="665">
        <f>Sheet3!D184</f>
        <v>83.29</v>
      </c>
      <c r="C204" s="21">
        <f t="shared" si="33"/>
        <v>1</v>
      </c>
      <c r="D204" s="2806" t="str">
        <f>Sheet3!F184</f>
        <v>小高层</v>
      </c>
      <c r="E204" s="21">
        <f t="shared" si="34"/>
        <v>1</v>
      </c>
      <c r="F204" s="667"/>
      <c r="G204" s="21">
        <f t="shared" si="35"/>
        <v>1</v>
      </c>
      <c r="H204" s="667"/>
      <c r="I204" s="21">
        <f t="shared" si="36"/>
        <v>1</v>
      </c>
      <c r="J204" s="667"/>
      <c r="K204" s="21">
        <f t="shared" si="37"/>
        <v>1</v>
      </c>
      <c r="L204" s="667"/>
      <c r="M204" s="21">
        <f t="shared" si="38"/>
        <v>1</v>
      </c>
      <c r="N204" s="667"/>
      <c r="O204" s="21">
        <f t="shared" si="39"/>
        <v>1</v>
      </c>
      <c r="P204" s="2806" t="str">
        <f>Sheet3!E184</f>
        <v>中区</v>
      </c>
      <c r="Q204" s="21">
        <f t="shared" si="40"/>
        <v>1</v>
      </c>
      <c r="R204" s="663">
        <f t="shared" ca="1" si="41"/>
        <v>34639</v>
      </c>
      <c r="S204" s="316">
        <f t="shared" ca="1" si="42"/>
        <v>289</v>
      </c>
    </row>
    <row r="205" spans="1:19">
      <c r="A205" s="665" t="str">
        <f>Sheet3!C185</f>
        <v>6-1-601</v>
      </c>
      <c r="B205" s="665">
        <f>Sheet3!D185</f>
        <v>87.26</v>
      </c>
      <c r="C205" s="21">
        <f t="shared" si="33"/>
        <v>1</v>
      </c>
      <c r="D205" s="667" t="str">
        <f>Sheet3!F185</f>
        <v>小高层</v>
      </c>
      <c r="E205" s="21">
        <f t="shared" si="34"/>
        <v>1</v>
      </c>
      <c r="F205" s="667"/>
      <c r="G205" s="21">
        <f t="shared" si="35"/>
        <v>1</v>
      </c>
      <c r="H205" s="667"/>
      <c r="I205" s="21">
        <f t="shared" si="36"/>
        <v>1</v>
      </c>
      <c r="J205" s="667"/>
      <c r="K205" s="21">
        <f t="shared" si="37"/>
        <v>1</v>
      </c>
      <c r="L205" s="667"/>
      <c r="M205" s="21">
        <f t="shared" si="38"/>
        <v>1</v>
      </c>
      <c r="N205" s="667"/>
      <c r="O205" s="21">
        <f t="shared" si="39"/>
        <v>1</v>
      </c>
      <c r="P205" s="2806" t="str">
        <f>Sheet3!E185</f>
        <v>中区</v>
      </c>
      <c r="Q205" s="21">
        <f t="shared" si="40"/>
        <v>1</v>
      </c>
      <c r="R205" s="663">
        <f t="shared" ca="1" si="41"/>
        <v>34639</v>
      </c>
      <c r="S205" s="316">
        <f t="shared" ca="1" si="42"/>
        <v>302</v>
      </c>
    </row>
    <row r="206" spans="1:19">
      <c r="A206" s="665" t="str">
        <f>Sheet3!C186</f>
        <v>6-1-602</v>
      </c>
      <c r="B206" s="665">
        <f>Sheet3!D186</f>
        <v>83.29</v>
      </c>
      <c r="C206" s="21">
        <f t="shared" si="33"/>
        <v>1</v>
      </c>
      <c r="D206" s="2806" t="str">
        <f>Sheet3!F186</f>
        <v>小高层</v>
      </c>
      <c r="E206" s="21">
        <f t="shared" si="34"/>
        <v>1</v>
      </c>
      <c r="F206" s="667"/>
      <c r="G206" s="21">
        <f t="shared" si="35"/>
        <v>1</v>
      </c>
      <c r="H206" s="667"/>
      <c r="I206" s="21">
        <f t="shared" si="36"/>
        <v>1</v>
      </c>
      <c r="J206" s="667"/>
      <c r="K206" s="21">
        <f t="shared" si="37"/>
        <v>1</v>
      </c>
      <c r="L206" s="667"/>
      <c r="M206" s="21">
        <f t="shared" si="38"/>
        <v>1</v>
      </c>
      <c r="N206" s="667"/>
      <c r="O206" s="21">
        <f t="shared" si="39"/>
        <v>1</v>
      </c>
      <c r="P206" s="2806" t="str">
        <f>Sheet3!E186</f>
        <v>中区</v>
      </c>
      <c r="Q206" s="21">
        <f t="shared" si="40"/>
        <v>1</v>
      </c>
      <c r="R206" s="663">
        <f t="shared" ca="1" si="41"/>
        <v>34639</v>
      </c>
      <c r="S206" s="316">
        <f t="shared" ca="1" si="42"/>
        <v>289</v>
      </c>
    </row>
    <row r="207" spans="1:19">
      <c r="A207" s="665" t="str">
        <f>Sheet3!C187</f>
        <v>6-1-701</v>
      </c>
      <c r="B207" s="665">
        <f>Sheet3!D187</f>
        <v>87.26</v>
      </c>
      <c r="C207" s="21">
        <f t="shared" si="33"/>
        <v>1</v>
      </c>
      <c r="D207" s="667" t="str">
        <f>Sheet3!F187</f>
        <v>小高层</v>
      </c>
      <c r="E207" s="21">
        <f t="shared" si="34"/>
        <v>1</v>
      </c>
      <c r="F207" s="667"/>
      <c r="G207" s="21">
        <f t="shared" si="35"/>
        <v>1</v>
      </c>
      <c r="H207" s="667"/>
      <c r="I207" s="21">
        <f t="shared" si="36"/>
        <v>1</v>
      </c>
      <c r="J207" s="667"/>
      <c r="K207" s="21">
        <f t="shared" si="37"/>
        <v>1</v>
      </c>
      <c r="L207" s="667"/>
      <c r="M207" s="21">
        <f t="shared" si="38"/>
        <v>1</v>
      </c>
      <c r="N207" s="667"/>
      <c r="O207" s="21">
        <f t="shared" si="39"/>
        <v>1</v>
      </c>
      <c r="P207" s="2806" t="str">
        <f>Sheet3!E187</f>
        <v>中区</v>
      </c>
      <c r="Q207" s="21">
        <f t="shared" si="40"/>
        <v>1</v>
      </c>
      <c r="R207" s="663">
        <f t="shared" ca="1" si="41"/>
        <v>34639</v>
      </c>
      <c r="S207" s="316">
        <f t="shared" ca="1" si="42"/>
        <v>302</v>
      </c>
    </row>
    <row r="208" spans="1:19">
      <c r="A208" s="665" t="str">
        <f>Sheet3!C188</f>
        <v>6-1-702</v>
      </c>
      <c r="B208" s="665">
        <f>Sheet3!D188</f>
        <v>83.29</v>
      </c>
      <c r="C208" s="21">
        <f t="shared" si="33"/>
        <v>1</v>
      </c>
      <c r="D208" s="2806" t="str">
        <f>Sheet3!F188</f>
        <v>小高层</v>
      </c>
      <c r="E208" s="21">
        <f t="shared" si="34"/>
        <v>1</v>
      </c>
      <c r="F208" s="667"/>
      <c r="G208" s="21">
        <f t="shared" si="35"/>
        <v>1</v>
      </c>
      <c r="H208" s="667"/>
      <c r="I208" s="21">
        <f t="shared" si="36"/>
        <v>1</v>
      </c>
      <c r="J208" s="667"/>
      <c r="K208" s="21">
        <f t="shared" si="37"/>
        <v>1</v>
      </c>
      <c r="L208" s="667"/>
      <c r="M208" s="21">
        <f t="shared" si="38"/>
        <v>1</v>
      </c>
      <c r="N208" s="667"/>
      <c r="O208" s="21">
        <f t="shared" si="39"/>
        <v>1</v>
      </c>
      <c r="P208" s="2806" t="str">
        <f>Sheet3!E188</f>
        <v>中区</v>
      </c>
      <c r="Q208" s="21">
        <f t="shared" si="40"/>
        <v>1</v>
      </c>
      <c r="R208" s="663">
        <f t="shared" ca="1" si="41"/>
        <v>34639</v>
      </c>
      <c r="S208" s="316">
        <f t="shared" ca="1" si="42"/>
        <v>289</v>
      </c>
    </row>
    <row r="209" spans="1:19">
      <c r="A209" s="665" t="str">
        <f>Sheet3!C189</f>
        <v>6-1-801</v>
      </c>
      <c r="B209" s="665">
        <f>Sheet3!D189</f>
        <v>87.26</v>
      </c>
      <c r="C209" s="21">
        <f t="shared" si="33"/>
        <v>1</v>
      </c>
      <c r="D209" s="667" t="str">
        <f>Sheet3!F189</f>
        <v>小高层</v>
      </c>
      <c r="E209" s="21">
        <f t="shared" si="34"/>
        <v>1</v>
      </c>
      <c r="F209" s="667"/>
      <c r="G209" s="21">
        <f t="shared" si="35"/>
        <v>1</v>
      </c>
      <c r="H209" s="667"/>
      <c r="I209" s="21">
        <f t="shared" si="36"/>
        <v>1</v>
      </c>
      <c r="J209" s="667"/>
      <c r="K209" s="21">
        <f t="shared" si="37"/>
        <v>1</v>
      </c>
      <c r="L209" s="667"/>
      <c r="M209" s="21">
        <f t="shared" si="38"/>
        <v>1</v>
      </c>
      <c r="N209" s="667"/>
      <c r="O209" s="21">
        <f t="shared" si="39"/>
        <v>1</v>
      </c>
      <c r="P209" s="2806" t="str">
        <f>Sheet3!E189</f>
        <v>高区</v>
      </c>
      <c r="Q209" s="21">
        <f t="shared" si="40"/>
        <v>1.02</v>
      </c>
      <c r="R209" s="663">
        <f t="shared" ca="1" si="41"/>
        <v>35332</v>
      </c>
      <c r="S209" s="316">
        <f t="shared" ca="1" si="42"/>
        <v>308</v>
      </c>
    </row>
    <row r="210" spans="1:19">
      <c r="A210" s="665" t="str">
        <f>Sheet3!C190</f>
        <v>6-1-802</v>
      </c>
      <c r="B210" s="665">
        <f>Sheet3!D190</f>
        <v>83.29</v>
      </c>
      <c r="C210" s="21">
        <f t="shared" si="33"/>
        <v>1</v>
      </c>
      <c r="D210" s="2806" t="str">
        <f>Sheet3!F190</f>
        <v>小高层</v>
      </c>
      <c r="E210" s="21">
        <f t="shared" si="34"/>
        <v>1</v>
      </c>
      <c r="F210" s="667"/>
      <c r="G210" s="21">
        <f t="shared" si="35"/>
        <v>1</v>
      </c>
      <c r="H210" s="667"/>
      <c r="I210" s="21">
        <f t="shared" si="36"/>
        <v>1</v>
      </c>
      <c r="J210" s="667"/>
      <c r="K210" s="21">
        <f t="shared" si="37"/>
        <v>1</v>
      </c>
      <c r="L210" s="667"/>
      <c r="M210" s="21">
        <f t="shared" si="38"/>
        <v>1</v>
      </c>
      <c r="N210" s="667"/>
      <c r="O210" s="21">
        <f t="shared" si="39"/>
        <v>1</v>
      </c>
      <c r="P210" s="2806" t="str">
        <f>Sheet3!E190</f>
        <v>高区</v>
      </c>
      <c r="Q210" s="21">
        <f t="shared" si="40"/>
        <v>1.02</v>
      </c>
      <c r="R210" s="663">
        <f t="shared" ca="1" si="41"/>
        <v>35332</v>
      </c>
      <c r="S210" s="316">
        <f t="shared" ca="1" si="42"/>
        <v>294</v>
      </c>
    </row>
    <row r="211" spans="1:19">
      <c r="A211" s="665" t="str">
        <f>Sheet3!C191</f>
        <v>6-1-901</v>
      </c>
      <c r="B211" s="665">
        <f>Sheet3!D191</f>
        <v>87.26</v>
      </c>
      <c r="C211" s="21">
        <f t="shared" si="33"/>
        <v>1</v>
      </c>
      <c r="D211" s="667" t="str">
        <f>Sheet3!F191</f>
        <v>小高层</v>
      </c>
      <c r="E211" s="21">
        <f t="shared" si="34"/>
        <v>1</v>
      </c>
      <c r="F211" s="667"/>
      <c r="G211" s="21">
        <f t="shared" si="35"/>
        <v>1</v>
      </c>
      <c r="H211" s="667"/>
      <c r="I211" s="21">
        <f t="shared" si="36"/>
        <v>1</v>
      </c>
      <c r="J211" s="667"/>
      <c r="K211" s="21">
        <f t="shared" si="37"/>
        <v>1</v>
      </c>
      <c r="L211" s="667"/>
      <c r="M211" s="21">
        <f t="shared" si="38"/>
        <v>1</v>
      </c>
      <c r="N211" s="667"/>
      <c r="O211" s="21">
        <f t="shared" si="39"/>
        <v>1</v>
      </c>
      <c r="P211" s="2806" t="str">
        <f>Sheet3!E191</f>
        <v>高区</v>
      </c>
      <c r="Q211" s="21">
        <f t="shared" si="40"/>
        <v>1.02</v>
      </c>
      <c r="R211" s="663">
        <f t="shared" ca="1" si="41"/>
        <v>35332</v>
      </c>
      <c r="S211" s="316">
        <f t="shared" ca="1" si="42"/>
        <v>308</v>
      </c>
    </row>
    <row r="212" spans="1:19">
      <c r="A212" s="665" t="str">
        <f>Sheet3!C192</f>
        <v>6-1-902</v>
      </c>
      <c r="B212" s="665">
        <f>Sheet3!D192</f>
        <v>83.29</v>
      </c>
      <c r="C212" s="21">
        <f t="shared" si="33"/>
        <v>1</v>
      </c>
      <c r="D212" s="2806" t="str">
        <f>Sheet3!F192</f>
        <v>小高层</v>
      </c>
      <c r="E212" s="21">
        <f t="shared" si="34"/>
        <v>1</v>
      </c>
      <c r="F212" s="667"/>
      <c r="G212" s="21">
        <f t="shared" si="35"/>
        <v>1</v>
      </c>
      <c r="H212" s="667"/>
      <c r="I212" s="21">
        <f t="shared" si="36"/>
        <v>1</v>
      </c>
      <c r="J212" s="667"/>
      <c r="K212" s="21">
        <f t="shared" si="37"/>
        <v>1</v>
      </c>
      <c r="L212" s="667"/>
      <c r="M212" s="21">
        <f t="shared" si="38"/>
        <v>1</v>
      </c>
      <c r="N212" s="667"/>
      <c r="O212" s="21">
        <f t="shared" si="39"/>
        <v>1</v>
      </c>
      <c r="P212" s="2806" t="str">
        <f>Sheet3!E192</f>
        <v>高区</v>
      </c>
      <c r="Q212" s="21">
        <f t="shared" si="40"/>
        <v>1.02</v>
      </c>
      <c r="R212" s="663">
        <f t="shared" ca="1" si="41"/>
        <v>35332</v>
      </c>
      <c r="S212" s="316">
        <f t="shared" ca="1" si="42"/>
        <v>294</v>
      </c>
    </row>
    <row r="213" spans="1:19">
      <c r="A213" s="665" t="str">
        <f>Sheet3!C193</f>
        <v>6-1-1001</v>
      </c>
      <c r="B213" s="665">
        <f>Sheet3!D193</f>
        <v>87.26</v>
      </c>
      <c r="C213" s="21">
        <f t="shared" si="33"/>
        <v>1</v>
      </c>
      <c r="D213" s="667" t="str">
        <f>Sheet3!F193</f>
        <v>小高层</v>
      </c>
      <c r="E213" s="21">
        <f t="shared" si="34"/>
        <v>1</v>
      </c>
      <c r="F213" s="667"/>
      <c r="G213" s="21">
        <f t="shared" si="35"/>
        <v>1</v>
      </c>
      <c r="H213" s="667"/>
      <c r="I213" s="21">
        <f t="shared" si="36"/>
        <v>1</v>
      </c>
      <c r="J213" s="667"/>
      <c r="K213" s="21">
        <f t="shared" si="37"/>
        <v>1</v>
      </c>
      <c r="L213" s="667"/>
      <c r="M213" s="21">
        <f t="shared" si="38"/>
        <v>1</v>
      </c>
      <c r="N213" s="667"/>
      <c r="O213" s="21">
        <f t="shared" si="39"/>
        <v>1</v>
      </c>
      <c r="P213" s="2806" t="str">
        <f>Sheet3!E193</f>
        <v>高区</v>
      </c>
      <c r="Q213" s="21">
        <f t="shared" si="40"/>
        <v>1.02</v>
      </c>
      <c r="R213" s="663">
        <f t="shared" ca="1" si="41"/>
        <v>35332</v>
      </c>
      <c r="S213" s="316">
        <f t="shared" ca="1" si="42"/>
        <v>308</v>
      </c>
    </row>
    <row r="214" spans="1:19">
      <c r="A214" s="665" t="str">
        <f>Sheet3!C194</f>
        <v>6-1-1002</v>
      </c>
      <c r="B214" s="665">
        <f>Sheet3!D194</f>
        <v>83.29</v>
      </c>
      <c r="C214" s="21">
        <f t="shared" si="33"/>
        <v>1</v>
      </c>
      <c r="D214" s="2806" t="str">
        <f>Sheet3!F194</f>
        <v>小高层</v>
      </c>
      <c r="E214" s="21">
        <f t="shared" si="34"/>
        <v>1</v>
      </c>
      <c r="F214" s="667"/>
      <c r="G214" s="21">
        <f t="shared" si="35"/>
        <v>1</v>
      </c>
      <c r="H214" s="667"/>
      <c r="I214" s="21">
        <f t="shared" si="36"/>
        <v>1</v>
      </c>
      <c r="J214" s="667"/>
      <c r="K214" s="21">
        <f t="shared" si="37"/>
        <v>1</v>
      </c>
      <c r="L214" s="667"/>
      <c r="M214" s="21">
        <f t="shared" si="38"/>
        <v>1</v>
      </c>
      <c r="N214" s="667"/>
      <c r="O214" s="21">
        <f t="shared" si="39"/>
        <v>1</v>
      </c>
      <c r="P214" s="2806" t="str">
        <f>Sheet3!E194</f>
        <v>高区</v>
      </c>
      <c r="Q214" s="21">
        <f t="shared" si="40"/>
        <v>1.02</v>
      </c>
      <c r="R214" s="663">
        <f t="shared" ca="1" si="41"/>
        <v>35332</v>
      </c>
      <c r="S214" s="316">
        <f t="shared" ca="1" si="42"/>
        <v>294</v>
      </c>
    </row>
    <row r="215" spans="1:19">
      <c r="A215" s="665" t="str">
        <f>Sheet3!C195</f>
        <v>6-2-202</v>
      </c>
      <c r="B215" s="665">
        <f>Sheet3!D195</f>
        <v>87.26</v>
      </c>
      <c r="C215" s="21">
        <f t="shared" si="33"/>
        <v>1</v>
      </c>
      <c r="D215" s="667" t="str">
        <f>Sheet3!F195</f>
        <v>小高层</v>
      </c>
      <c r="E215" s="21">
        <f t="shared" si="34"/>
        <v>1</v>
      </c>
      <c r="F215" s="667"/>
      <c r="G215" s="21">
        <f t="shared" si="35"/>
        <v>1</v>
      </c>
      <c r="H215" s="667"/>
      <c r="I215" s="21">
        <f t="shared" si="36"/>
        <v>1</v>
      </c>
      <c r="J215" s="667"/>
      <c r="K215" s="21">
        <f t="shared" si="37"/>
        <v>1</v>
      </c>
      <c r="L215" s="667"/>
      <c r="M215" s="21">
        <f t="shared" si="38"/>
        <v>1</v>
      </c>
      <c r="N215" s="667"/>
      <c r="O215" s="21">
        <f t="shared" si="39"/>
        <v>1</v>
      </c>
      <c r="P215" s="2806" t="str">
        <f>Sheet3!E195</f>
        <v>低区</v>
      </c>
      <c r="Q215" s="21">
        <f t="shared" si="40"/>
        <v>0.98</v>
      </c>
      <c r="R215" s="663">
        <f t="shared" ca="1" si="41"/>
        <v>33946</v>
      </c>
      <c r="S215" s="316">
        <f t="shared" ca="1" si="42"/>
        <v>296</v>
      </c>
    </row>
    <row r="216" spans="1:19">
      <c r="A216" s="665" t="str">
        <f>Sheet3!C196</f>
        <v>6-2-301</v>
      </c>
      <c r="B216" s="665">
        <f>Sheet3!D196</f>
        <v>83.29</v>
      </c>
      <c r="C216" s="21">
        <f t="shared" si="33"/>
        <v>1</v>
      </c>
      <c r="D216" s="2806" t="str">
        <f>Sheet3!F196</f>
        <v>小高层</v>
      </c>
      <c r="E216" s="21">
        <f t="shared" si="34"/>
        <v>1</v>
      </c>
      <c r="F216" s="667"/>
      <c r="G216" s="21">
        <f t="shared" si="35"/>
        <v>1</v>
      </c>
      <c r="H216" s="667"/>
      <c r="I216" s="21">
        <f t="shared" si="36"/>
        <v>1</v>
      </c>
      <c r="J216" s="667"/>
      <c r="K216" s="21">
        <f t="shared" si="37"/>
        <v>1</v>
      </c>
      <c r="L216" s="667"/>
      <c r="M216" s="21">
        <f t="shared" si="38"/>
        <v>1</v>
      </c>
      <c r="N216" s="667"/>
      <c r="O216" s="21">
        <f t="shared" si="39"/>
        <v>1</v>
      </c>
      <c r="P216" s="2806" t="str">
        <f>Sheet3!E196</f>
        <v>低区</v>
      </c>
      <c r="Q216" s="21">
        <f t="shared" si="40"/>
        <v>0.98</v>
      </c>
      <c r="R216" s="663">
        <f t="shared" ca="1" si="41"/>
        <v>33946</v>
      </c>
      <c r="S216" s="316">
        <f t="shared" ca="1" si="42"/>
        <v>283</v>
      </c>
    </row>
    <row r="217" spans="1:19">
      <c r="A217" s="665" t="str">
        <f>Sheet3!C197</f>
        <v>6-2-302</v>
      </c>
      <c r="B217" s="665">
        <f>Sheet3!D197</f>
        <v>87.26</v>
      </c>
      <c r="C217" s="21">
        <f t="shared" si="33"/>
        <v>1</v>
      </c>
      <c r="D217" s="667" t="str">
        <f>Sheet3!F197</f>
        <v>小高层</v>
      </c>
      <c r="E217" s="21">
        <f t="shared" si="34"/>
        <v>1</v>
      </c>
      <c r="F217" s="667"/>
      <c r="G217" s="21">
        <f t="shared" si="35"/>
        <v>1</v>
      </c>
      <c r="H217" s="667"/>
      <c r="I217" s="21">
        <f t="shared" si="36"/>
        <v>1</v>
      </c>
      <c r="J217" s="667"/>
      <c r="K217" s="21">
        <f t="shared" si="37"/>
        <v>1</v>
      </c>
      <c r="L217" s="667"/>
      <c r="M217" s="21">
        <f t="shared" si="38"/>
        <v>1</v>
      </c>
      <c r="N217" s="667"/>
      <c r="O217" s="21">
        <f t="shared" si="39"/>
        <v>1</v>
      </c>
      <c r="P217" s="2806" t="str">
        <f>Sheet3!E197</f>
        <v>低区</v>
      </c>
      <c r="Q217" s="21">
        <f t="shared" si="40"/>
        <v>0.98</v>
      </c>
      <c r="R217" s="663">
        <f t="shared" ca="1" si="41"/>
        <v>33946</v>
      </c>
      <c r="S217" s="316">
        <f t="shared" ca="1" si="42"/>
        <v>296</v>
      </c>
    </row>
    <row r="218" spans="1:19">
      <c r="A218" s="665" t="str">
        <f>Sheet3!C198</f>
        <v>6-2-401</v>
      </c>
      <c r="B218" s="665">
        <f>Sheet3!D198</f>
        <v>83.29</v>
      </c>
      <c r="C218" s="21">
        <f t="shared" ref="C218:C281" si="43">IF(B218="",1,(LOOKUP(B218,$3:$3,$4:$4)-LOOKUP($B$24,$3:$3,$4:$4)+100)/100)</f>
        <v>1</v>
      </c>
      <c r="D218" s="2806" t="str">
        <f>Sheet3!F198</f>
        <v>小高层</v>
      </c>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2806" t="str">
        <f>Sheet3!E198</f>
        <v>中区</v>
      </c>
      <c r="Q218" s="21">
        <f t="shared" ref="Q218:Q281" si="50">(SUMIF($17:$17,P218,$18:$18)-SUMIF($17:$17,$P$24,$18:$18)+100)/100</f>
        <v>1</v>
      </c>
      <c r="R218" s="663">
        <f t="shared" ref="R218:R281" ca="1" si="51">IF(B218="",0,ROUND($R$24*C218*E218*G218*I218*K218*M218*O218*Q218,0))</f>
        <v>34639</v>
      </c>
      <c r="S218" s="316">
        <f t="shared" ca="1" si="42"/>
        <v>289</v>
      </c>
    </row>
    <row r="219" spans="1:19">
      <c r="A219" s="665" t="str">
        <f>Sheet3!C199</f>
        <v>6-2-402</v>
      </c>
      <c r="B219" s="665">
        <f>Sheet3!D199</f>
        <v>87.26</v>
      </c>
      <c r="C219" s="21">
        <f t="shared" si="43"/>
        <v>1</v>
      </c>
      <c r="D219" s="667" t="str">
        <f>Sheet3!F199</f>
        <v>小高层</v>
      </c>
      <c r="E219" s="21">
        <f t="shared" si="44"/>
        <v>1</v>
      </c>
      <c r="F219" s="667"/>
      <c r="G219" s="21">
        <f t="shared" si="45"/>
        <v>1</v>
      </c>
      <c r="H219" s="667"/>
      <c r="I219" s="21">
        <f t="shared" si="46"/>
        <v>1</v>
      </c>
      <c r="J219" s="667"/>
      <c r="K219" s="21">
        <f t="shared" si="47"/>
        <v>1</v>
      </c>
      <c r="L219" s="667"/>
      <c r="M219" s="21">
        <f t="shared" si="48"/>
        <v>1</v>
      </c>
      <c r="N219" s="667"/>
      <c r="O219" s="21">
        <f t="shared" si="49"/>
        <v>1</v>
      </c>
      <c r="P219" s="2806" t="str">
        <f>Sheet3!E199</f>
        <v>中区</v>
      </c>
      <c r="Q219" s="21">
        <f t="shared" si="50"/>
        <v>1</v>
      </c>
      <c r="R219" s="663">
        <f t="shared" ca="1" si="51"/>
        <v>34639</v>
      </c>
      <c r="S219" s="316">
        <f t="shared" ca="1" si="42"/>
        <v>302</v>
      </c>
    </row>
    <row r="220" spans="1:19">
      <c r="A220" s="665" t="str">
        <f>Sheet3!C200</f>
        <v>6-2-501</v>
      </c>
      <c r="B220" s="665">
        <f>Sheet3!D200</f>
        <v>83.29</v>
      </c>
      <c r="C220" s="21">
        <f t="shared" si="43"/>
        <v>1</v>
      </c>
      <c r="D220" s="2806" t="str">
        <f>Sheet3!F200</f>
        <v>小高层</v>
      </c>
      <c r="E220" s="21">
        <f t="shared" si="44"/>
        <v>1</v>
      </c>
      <c r="F220" s="667"/>
      <c r="G220" s="21">
        <f t="shared" si="45"/>
        <v>1</v>
      </c>
      <c r="H220" s="667"/>
      <c r="I220" s="21">
        <f t="shared" si="46"/>
        <v>1</v>
      </c>
      <c r="J220" s="667"/>
      <c r="K220" s="21">
        <f t="shared" si="47"/>
        <v>1</v>
      </c>
      <c r="L220" s="667"/>
      <c r="M220" s="21">
        <f t="shared" si="48"/>
        <v>1</v>
      </c>
      <c r="N220" s="667"/>
      <c r="O220" s="21">
        <f t="shared" si="49"/>
        <v>1</v>
      </c>
      <c r="P220" s="2806" t="str">
        <f>Sheet3!E200</f>
        <v>中区</v>
      </c>
      <c r="Q220" s="21">
        <f t="shared" si="50"/>
        <v>1</v>
      </c>
      <c r="R220" s="663">
        <f t="shared" ca="1" si="51"/>
        <v>34639</v>
      </c>
      <c r="S220" s="316">
        <f t="shared" ca="1" si="42"/>
        <v>289</v>
      </c>
    </row>
    <row r="221" spans="1:19">
      <c r="A221" s="665" t="str">
        <f>Sheet3!C201</f>
        <v>6-2-502</v>
      </c>
      <c r="B221" s="665">
        <f>Sheet3!D201</f>
        <v>87.26</v>
      </c>
      <c r="C221" s="21">
        <f t="shared" si="43"/>
        <v>1</v>
      </c>
      <c r="D221" s="667" t="str">
        <f>Sheet3!F201</f>
        <v>小高层</v>
      </c>
      <c r="E221" s="21">
        <f t="shared" si="44"/>
        <v>1</v>
      </c>
      <c r="F221" s="667"/>
      <c r="G221" s="21">
        <f t="shared" si="45"/>
        <v>1</v>
      </c>
      <c r="H221" s="667"/>
      <c r="I221" s="21">
        <f t="shared" si="46"/>
        <v>1</v>
      </c>
      <c r="J221" s="667"/>
      <c r="K221" s="21">
        <f t="shared" si="47"/>
        <v>1</v>
      </c>
      <c r="L221" s="667"/>
      <c r="M221" s="21">
        <f t="shared" si="48"/>
        <v>1</v>
      </c>
      <c r="N221" s="667"/>
      <c r="O221" s="21">
        <f t="shared" si="49"/>
        <v>1</v>
      </c>
      <c r="P221" s="2806" t="str">
        <f>Sheet3!E201</f>
        <v>中区</v>
      </c>
      <c r="Q221" s="21">
        <f t="shared" si="50"/>
        <v>1</v>
      </c>
      <c r="R221" s="663">
        <f t="shared" ca="1" si="51"/>
        <v>34639</v>
      </c>
      <c r="S221" s="316">
        <f t="shared" ca="1" si="42"/>
        <v>302</v>
      </c>
    </row>
    <row r="222" spans="1:19">
      <c r="A222" s="665" t="str">
        <f>Sheet3!C202</f>
        <v>6-2-601</v>
      </c>
      <c r="B222" s="665">
        <f>Sheet3!D202</f>
        <v>83.29</v>
      </c>
      <c r="C222" s="21">
        <f t="shared" si="43"/>
        <v>1</v>
      </c>
      <c r="D222" s="2806" t="str">
        <f>Sheet3!F202</f>
        <v>小高层</v>
      </c>
      <c r="E222" s="21">
        <f t="shared" si="44"/>
        <v>1</v>
      </c>
      <c r="F222" s="667"/>
      <c r="G222" s="21">
        <f t="shared" si="45"/>
        <v>1</v>
      </c>
      <c r="H222" s="667"/>
      <c r="I222" s="21">
        <f t="shared" si="46"/>
        <v>1</v>
      </c>
      <c r="J222" s="667"/>
      <c r="K222" s="21">
        <f t="shared" si="47"/>
        <v>1</v>
      </c>
      <c r="L222" s="667"/>
      <c r="M222" s="21">
        <f t="shared" si="48"/>
        <v>1</v>
      </c>
      <c r="N222" s="667"/>
      <c r="O222" s="21">
        <f t="shared" si="49"/>
        <v>1</v>
      </c>
      <c r="P222" s="2806" t="str">
        <f>Sheet3!E202</f>
        <v>中区</v>
      </c>
      <c r="Q222" s="21">
        <f t="shared" si="50"/>
        <v>1</v>
      </c>
      <c r="R222" s="663">
        <f t="shared" ca="1" si="51"/>
        <v>34639</v>
      </c>
      <c r="S222" s="316">
        <f t="shared" ca="1" si="42"/>
        <v>289</v>
      </c>
    </row>
    <row r="223" spans="1:19">
      <c r="A223" s="665" t="str">
        <f>Sheet3!C203</f>
        <v>6-2-602</v>
      </c>
      <c r="B223" s="665">
        <f>Sheet3!D203</f>
        <v>87.26</v>
      </c>
      <c r="C223" s="21">
        <f t="shared" si="43"/>
        <v>1</v>
      </c>
      <c r="D223" s="667" t="str">
        <f>Sheet3!F203</f>
        <v>小高层</v>
      </c>
      <c r="E223" s="21">
        <f t="shared" si="44"/>
        <v>1</v>
      </c>
      <c r="F223" s="667"/>
      <c r="G223" s="21">
        <f t="shared" si="45"/>
        <v>1</v>
      </c>
      <c r="H223" s="667"/>
      <c r="I223" s="21">
        <f t="shared" si="46"/>
        <v>1</v>
      </c>
      <c r="J223" s="667"/>
      <c r="K223" s="21">
        <f t="shared" si="47"/>
        <v>1</v>
      </c>
      <c r="L223" s="667"/>
      <c r="M223" s="21">
        <f t="shared" si="48"/>
        <v>1</v>
      </c>
      <c r="N223" s="667"/>
      <c r="O223" s="21">
        <f t="shared" si="49"/>
        <v>1</v>
      </c>
      <c r="P223" s="2806" t="str">
        <f>Sheet3!E203</f>
        <v>中区</v>
      </c>
      <c r="Q223" s="21">
        <f t="shared" si="50"/>
        <v>1</v>
      </c>
      <c r="R223" s="663">
        <f t="shared" ca="1" si="51"/>
        <v>34639</v>
      </c>
      <c r="S223" s="316">
        <f t="shared" ref="S223:S286" ca="1" si="52">ROUND(R223*B223/10000,0)</f>
        <v>302</v>
      </c>
    </row>
    <row r="224" spans="1:19">
      <c r="A224" s="665" t="str">
        <f>Sheet3!C204</f>
        <v>6-2-701</v>
      </c>
      <c r="B224" s="665">
        <f>Sheet3!D204</f>
        <v>83.29</v>
      </c>
      <c r="C224" s="21">
        <f t="shared" si="43"/>
        <v>1</v>
      </c>
      <c r="D224" s="2806" t="str">
        <f>Sheet3!F204</f>
        <v>小高层</v>
      </c>
      <c r="E224" s="21">
        <f t="shared" si="44"/>
        <v>1</v>
      </c>
      <c r="F224" s="667"/>
      <c r="G224" s="21">
        <f t="shared" si="45"/>
        <v>1</v>
      </c>
      <c r="H224" s="667"/>
      <c r="I224" s="21">
        <f t="shared" si="46"/>
        <v>1</v>
      </c>
      <c r="J224" s="667"/>
      <c r="K224" s="21">
        <f t="shared" si="47"/>
        <v>1</v>
      </c>
      <c r="L224" s="667"/>
      <c r="M224" s="21">
        <f t="shared" si="48"/>
        <v>1</v>
      </c>
      <c r="N224" s="667"/>
      <c r="O224" s="21">
        <f t="shared" si="49"/>
        <v>1</v>
      </c>
      <c r="P224" s="2806" t="str">
        <f>Sheet3!E204</f>
        <v>高区</v>
      </c>
      <c r="Q224" s="21">
        <f t="shared" si="50"/>
        <v>1.02</v>
      </c>
      <c r="R224" s="663">
        <f t="shared" ca="1" si="51"/>
        <v>35332</v>
      </c>
      <c r="S224" s="316">
        <f t="shared" ca="1" si="52"/>
        <v>294</v>
      </c>
    </row>
    <row r="225" spans="1:19">
      <c r="A225" s="665" t="str">
        <f>Sheet3!C205</f>
        <v>6-2-702</v>
      </c>
      <c r="B225" s="665">
        <f>Sheet3!D205</f>
        <v>87.26</v>
      </c>
      <c r="C225" s="21">
        <f t="shared" si="43"/>
        <v>1</v>
      </c>
      <c r="D225" s="667" t="str">
        <f>Sheet3!F205</f>
        <v>小高层</v>
      </c>
      <c r="E225" s="21">
        <f t="shared" si="44"/>
        <v>1</v>
      </c>
      <c r="F225" s="667"/>
      <c r="G225" s="21">
        <f t="shared" si="45"/>
        <v>1</v>
      </c>
      <c r="H225" s="667"/>
      <c r="I225" s="21">
        <f t="shared" si="46"/>
        <v>1</v>
      </c>
      <c r="J225" s="667"/>
      <c r="K225" s="21">
        <f t="shared" si="47"/>
        <v>1</v>
      </c>
      <c r="L225" s="667"/>
      <c r="M225" s="21">
        <f t="shared" si="48"/>
        <v>1</v>
      </c>
      <c r="N225" s="667"/>
      <c r="O225" s="21">
        <f t="shared" si="49"/>
        <v>1</v>
      </c>
      <c r="P225" s="2806" t="str">
        <f>Sheet3!E205</f>
        <v>高区</v>
      </c>
      <c r="Q225" s="21">
        <f t="shared" si="50"/>
        <v>1.02</v>
      </c>
      <c r="R225" s="663">
        <f t="shared" ca="1" si="51"/>
        <v>35332</v>
      </c>
      <c r="S225" s="316">
        <f t="shared" ca="1" si="52"/>
        <v>308</v>
      </c>
    </row>
    <row r="226" spans="1:19">
      <c r="A226" s="665" t="str">
        <f>Sheet3!C206</f>
        <v>6-2-801</v>
      </c>
      <c r="B226" s="665">
        <f>Sheet3!D206</f>
        <v>83.29</v>
      </c>
      <c r="C226" s="21">
        <f t="shared" si="43"/>
        <v>1</v>
      </c>
      <c r="D226" s="2806" t="str">
        <f>Sheet3!F206</f>
        <v>小高层</v>
      </c>
      <c r="E226" s="21">
        <f t="shared" si="44"/>
        <v>1</v>
      </c>
      <c r="F226" s="667"/>
      <c r="G226" s="21">
        <f t="shared" si="45"/>
        <v>1</v>
      </c>
      <c r="H226" s="667"/>
      <c r="I226" s="21">
        <f t="shared" si="46"/>
        <v>1</v>
      </c>
      <c r="J226" s="667"/>
      <c r="K226" s="21">
        <f t="shared" si="47"/>
        <v>1</v>
      </c>
      <c r="L226" s="667"/>
      <c r="M226" s="21">
        <f t="shared" si="48"/>
        <v>1</v>
      </c>
      <c r="N226" s="667"/>
      <c r="O226" s="21">
        <f t="shared" si="49"/>
        <v>1</v>
      </c>
      <c r="P226" s="2806" t="str">
        <f>Sheet3!E206</f>
        <v>高区</v>
      </c>
      <c r="Q226" s="21">
        <f t="shared" si="50"/>
        <v>1.02</v>
      </c>
      <c r="R226" s="663">
        <f t="shared" ca="1" si="51"/>
        <v>35332</v>
      </c>
      <c r="S226" s="316">
        <f t="shared" ca="1" si="52"/>
        <v>294</v>
      </c>
    </row>
    <row r="227" spans="1:19">
      <c r="A227" s="665" t="str">
        <f>Sheet3!C207</f>
        <v>6-2-802</v>
      </c>
      <c r="B227" s="665">
        <f>Sheet3!D207</f>
        <v>87.26</v>
      </c>
      <c r="C227" s="21">
        <f t="shared" si="43"/>
        <v>1</v>
      </c>
      <c r="D227" s="667" t="str">
        <f>Sheet3!F207</f>
        <v>小高层</v>
      </c>
      <c r="E227" s="21">
        <f t="shared" si="44"/>
        <v>1</v>
      </c>
      <c r="F227" s="667"/>
      <c r="G227" s="21">
        <f t="shared" si="45"/>
        <v>1</v>
      </c>
      <c r="H227" s="667"/>
      <c r="I227" s="21">
        <f t="shared" si="46"/>
        <v>1</v>
      </c>
      <c r="J227" s="667"/>
      <c r="K227" s="21">
        <f t="shared" si="47"/>
        <v>1</v>
      </c>
      <c r="L227" s="667"/>
      <c r="M227" s="21">
        <f t="shared" si="48"/>
        <v>1</v>
      </c>
      <c r="N227" s="667"/>
      <c r="O227" s="21">
        <f t="shared" si="49"/>
        <v>1</v>
      </c>
      <c r="P227" s="2806" t="str">
        <f>Sheet3!E207</f>
        <v>高区</v>
      </c>
      <c r="Q227" s="21">
        <f t="shared" si="50"/>
        <v>1.02</v>
      </c>
      <c r="R227" s="663">
        <f t="shared" ca="1" si="51"/>
        <v>35332</v>
      </c>
      <c r="S227" s="316">
        <f t="shared" ca="1" si="52"/>
        <v>308</v>
      </c>
    </row>
    <row r="228" spans="1:19">
      <c r="A228" s="665" t="str">
        <f>Sheet3!C208</f>
        <v>6-2-901</v>
      </c>
      <c r="B228" s="665">
        <f>Sheet3!D208</f>
        <v>83.29</v>
      </c>
      <c r="C228" s="21">
        <f t="shared" si="43"/>
        <v>1</v>
      </c>
      <c r="D228" s="2806" t="str">
        <f>Sheet3!F208</f>
        <v>小高层</v>
      </c>
      <c r="E228" s="21">
        <f t="shared" si="44"/>
        <v>1</v>
      </c>
      <c r="F228" s="667"/>
      <c r="G228" s="21">
        <f t="shared" si="45"/>
        <v>1</v>
      </c>
      <c r="H228" s="667"/>
      <c r="I228" s="21">
        <f t="shared" si="46"/>
        <v>1</v>
      </c>
      <c r="J228" s="667"/>
      <c r="K228" s="21">
        <f t="shared" si="47"/>
        <v>1</v>
      </c>
      <c r="L228" s="667"/>
      <c r="M228" s="21">
        <f t="shared" si="48"/>
        <v>1</v>
      </c>
      <c r="N228" s="667"/>
      <c r="O228" s="21">
        <f t="shared" si="49"/>
        <v>1</v>
      </c>
      <c r="P228" s="2806" t="str">
        <f>Sheet3!E208</f>
        <v>高区</v>
      </c>
      <c r="Q228" s="21">
        <f t="shared" si="50"/>
        <v>1.02</v>
      </c>
      <c r="R228" s="663">
        <f t="shared" ca="1" si="51"/>
        <v>35332</v>
      </c>
      <c r="S228" s="316">
        <f t="shared" ca="1" si="52"/>
        <v>294</v>
      </c>
    </row>
    <row r="229" spans="1:19">
      <c r="A229" s="665" t="str">
        <f>Sheet3!C209</f>
        <v>6-2-902</v>
      </c>
      <c r="B229" s="665">
        <f>Sheet3!D209</f>
        <v>87.26</v>
      </c>
      <c r="C229" s="21">
        <f t="shared" si="43"/>
        <v>1</v>
      </c>
      <c r="D229" s="667" t="str">
        <f>Sheet3!F209</f>
        <v>小高层</v>
      </c>
      <c r="E229" s="21">
        <f t="shared" si="44"/>
        <v>1</v>
      </c>
      <c r="F229" s="667"/>
      <c r="G229" s="21">
        <f t="shared" si="45"/>
        <v>1</v>
      </c>
      <c r="H229" s="667"/>
      <c r="I229" s="21">
        <f t="shared" si="46"/>
        <v>1</v>
      </c>
      <c r="J229" s="667"/>
      <c r="K229" s="21">
        <f t="shared" si="47"/>
        <v>1</v>
      </c>
      <c r="L229" s="667"/>
      <c r="M229" s="21">
        <f t="shared" si="48"/>
        <v>1</v>
      </c>
      <c r="N229" s="667"/>
      <c r="O229" s="21">
        <f t="shared" si="49"/>
        <v>1</v>
      </c>
      <c r="P229" s="2806" t="str">
        <f>Sheet3!E209</f>
        <v>高区</v>
      </c>
      <c r="Q229" s="21">
        <f t="shared" si="50"/>
        <v>1.02</v>
      </c>
      <c r="R229" s="663">
        <f t="shared" ca="1" si="51"/>
        <v>35332</v>
      </c>
      <c r="S229" s="316">
        <f t="shared" ca="1" si="52"/>
        <v>308</v>
      </c>
    </row>
    <row r="230" spans="1:19">
      <c r="A230" s="665" t="str">
        <f>Sheet3!C210</f>
        <v>6-2-1001</v>
      </c>
      <c r="B230" s="665">
        <f>Sheet3!D210</f>
        <v>83.29</v>
      </c>
      <c r="C230" s="21">
        <f t="shared" si="43"/>
        <v>1</v>
      </c>
      <c r="D230" s="2806" t="str">
        <f>Sheet3!F210</f>
        <v>小高层</v>
      </c>
      <c r="E230" s="21">
        <f t="shared" si="44"/>
        <v>1</v>
      </c>
      <c r="F230" s="667"/>
      <c r="G230" s="21">
        <f t="shared" si="45"/>
        <v>1</v>
      </c>
      <c r="H230" s="667"/>
      <c r="I230" s="21">
        <f t="shared" si="46"/>
        <v>1</v>
      </c>
      <c r="J230" s="667"/>
      <c r="K230" s="21">
        <f t="shared" si="47"/>
        <v>1</v>
      </c>
      <c r="L230" s="667"/>
      <c r="M230" s="21">
        <f t="shared" si="48"/>
        <v>1</v>
      </c>
      <c r="N230" s="667"/>
      <c r="O230" s="21">
        <f t="shared" si="49"/>
        <v>1</v>
      </c>
      <c r="P230" s="2806" t="str">
        <f>Sheet3!E210</f>
        <v>高区</v>
      </c>
      <c r="Q230" s="21">
        <f t="shared" si="50"/>
        <v>1.02</v>
      </c>
      <c r="R230" s="663">
        <f t="shared" ca="1" si="51"/>
        <v>35332</v>
      </c>
      <c r="S230" s="316">
        <f t="shared" ca="1" si="52"/>
        <v>294</v>
      </c>
    </row>
    <row r="231" spans="1:19">
      <c r="A231" s="665" t="str">
        <f>Sheet3!C211</f>
        <v>6-2-1002</v>
      </c>
      <c r="B231" s="665">
        <f>Sheet3!D211</f>
        <v>87.26</v>
      </c>
      <c r="C231" s="21">
        <f t="shared" si="43"/>
        <v>1</v>
      </c>
      <c r="D231" s="667" t="str">
        <f>Sheet3!F211</f>
        <v>小高层</v>
      </c>
      <c r="E231" s="21">
        <f t="shared" si="44"/>
        <v>1</v>
      </c>
      <c r="F231" s="667"/>
      <c r="G231" s="21">
        <f t="shared" si="45"/>
        <v>1</v>
      </c>
      <c r="H231" s="667"/>
      <c r="I231" s="21">
        <f t="shared" si="46"/>
        <v>1</v>
      </c>
      <c r="J231" s="667"/>
      <c r="K231" s="21">
        <f t="shared" si="47"/>
        <v>1</v>
      </c>
      <c r="L231" s="667"/>
      <c r="M231" s="21">
        <f t="shared" si="48"/>
        <v>1</v>
      </c>
      <c r="N231" s="667"/>
      <c r="O231" s="21">
        <f t="shared" si="49"/>
        <v>1</v>
      </c>
      <c r="P231" s="2806" t="str">
        <f>Sheet3!E211</f>
        <v>高区</v>
      </c>
      <c r="Q231" s="21">
        <f t="shared" si="50"/>
        <v>1.02</v>
      </c>
      <c r="R231" s="663">
        <f t="shared" ca="1" si="51"/>
        <v>35332</v>
      </c>
      <c r="S231" s="316">
        <f t="shared" ca="1" si="52"/>
        <v>308</v>
      </c>
    </row>
    <row r="232" spans="1:19">
      <c r="A232" s="665" t="str">
        <f>Sheet3!C212</f>
        <v>3-1-101</v>
      </c>
      <c r="B232" s="665">
        <f>Sheet3!D212</f>
        <v>87.15</v>
      </c>
      <c r="C232" s="21">
        <f t="shared" si="43"/>
        <v>1</v>
      </c>
      <c r="D232" s="2806" t="str">
        <f>Sheet3!F212</f>
        <v>小高层</v>
      </c>
      <c r="E232" s="21">
        <f t="shared" si="44"/>
        <v>1</v>
      </c>
      <c r="F232" s="667"/>
      <c r="G232" s="21">
        <f t="shared" si="45"/>
        <v>1</v>
      </c>
      <c r="H232" s="667"/>
      <c r="I232" s="21">
        <f t="shared" si="46"/>
        <v>1</v>
      </c>
      <c r="J232" s="667"/>
      <c r="K232" s="21">
        <f t="shared" si="47"/>
        <v>1</v>
      </c>
      <c r="L232" s="667"/>
      <c r="M232" s="21">
        <f t="shared" si="48"/>
        <v>1</v>
      </c>
      <c r="N232" s="667"/>
      <c r="O232" s="21">
        <f t="shared" si="49"/>
        <v>1</v>
      </c>
      <c r="P232" s="2806" t="str">
        <f>Sheet3!E212</f>
        <v>低区</v>
      </c>
      <c r="Q232" s="21">
        <f t="shared" si="50"/>
        <v>0.98</v>
      </c>
      <c r="R232" s="663">
        <f t="shared" ca="1" si="51"/>
        <v>33946</v>
      </c>
      <c r="S232" s="316">
        <f t="shared" ca="1" si="52"/>
        <v>296</v>
      </c>
    </row>
    <row r="233" spans="1:19">
      <c r="A233" s="665" t="str">
        <f>Sheet3!C213</f>
        <v>3-1-102</v>
      </c>
      <c r="B233" s="665">
        <f>Sheet3!D213</f>
        <v>73.41</v>
      </c>
      <c r="C233" s="21">
        <f t="shared" si="43"/>
        <v>1</v>
      </c>
      <c r="D233" s="667" t="str">
        <f>Sheet3!F213</f>
        <v>小高层</v>
      </c>
      <c r="E233" s="21">
        <f t="shared" si="44"/>
        <v>1</v>
      </c>
      <c r="F233" s="667"/>
      <c r="G233" s="21">
        <f t="shared" si="45"/>
        <v>1</v>
      </c>
      <c r="H233" s="667"/>
      <c r="I233" s="21">
        <f t="shared" si="46"/>
        <v>1</v>
      </c>
      <c r="J233" s="667"/>
      <c r="K233" s="21">
        <f t="shared" si="47"/>
        <v>1</v>
      </c>
      <c r="L233" s="667"/>
      <c r="M233" s="21">
        <f t="shared" si="48"/>
        <v>1</v>
      </c>
      <c r="N233" s="667"/>
      <c r="O233" s="21">
        <f t="shared" si="49"/>
        <v>1</v>
      </c>
      <c r="P233" s="2806" t="str">
        <f>Sheet3!E213</f>
        <v>低区</v>
      </c>
      <c r="Q233" s="21">
        <f t="shared" si="50"/>
        <v>0.98</v>
      </c>
      <c r="R233" s="663">
        <f t="shared" ca="1" si="51"/>
        <v>33946</v>
      </c>
      <c r="S233" s="316">
        <f t="shared" ca="1" si="52"/>
        <v>249</v>
      </c>
    </row>
    <row r="234" spans="1:19">
      <c r="A234" s="665" t="str">
        <f>Sheet3!C214</f>
        <v>3-1-201</v>
      </c>
      <c r="B234" s="665">
        <f>Sheet3!D214</f>
        <v>87.15</v>
      </c>
      <c r="C234" s="21">
        <f t="shared" si="43"/>
        <v>1</v>
      </c>
      <c r="D234" s="2806" t="str">
        <f>Sheet3!F214</f>
        <v>小高层</v>
      </c>
      <c r="E234" s="21">
        <f t="shared" si="44"/>
        <v>1</v>
      </c>
      <c r="F234" s="667"/>
      <c r="G234" s="21">
        <f t="shared" si="45"/>
        <v>1</v>
      </c>
      <c r="H234" s="667"/>
      <c r="I234" s="21">
        <f t="shared" si="46"/>
        <v>1</v>
      </c>
      <c r="J234" s="667"/>
      <c r="K234" s="21">
        <f t="shared" si="47"/>
        <v>1</v>
      </c>
      <c r="L234" s="667"/>
      <c r="M234" s="21">
        <f t="shared" si="48"/>
        <v>1</v>
      </c>
      <c r="N234" s="667"/>
      <c r="O234" s="21">
        <f t="shared" si="49"/>
        <v>1</v>
      </c>
      <c r="P234" s="2806" t="str">
        <f>Sheet3!E214</f>
        <v>低区</v>
      </c>
      <c r="Q234" s="21">
        <f t="shared" si="50"/>
        <v>0.98</v>
      </c>
      <c r="R234" s="663">
        <f t="shared" ca="1" si="51"/>
        <v>33946</v>
      </c>
      <c r="S234" s="316">
        <f t="shared" ca="1" si="52"/>
        <v>296</v>
      </c>
    </row>
    <row r="235" spans="1:19">
      <c r="A235" s="665" t="str">
        <f>Sheet3!C215</f>
        <v>3-1-202</v>
      </c>
      <c r="B235" s="665">
        <f>Sheet3!D215</f>
        <v>89.82</v>
      </c>
      <c r="C235" s="21">
        <f t="shared" si="43"/>
        <v>1</v>
      </c>
      <c r="D235" s="667" t="str">
        <f>Sheet3!F215</f>
        <v>小高层</v>
      </c>
      <c r="E235" s="21">
        <f t="shared" si="44"/>
        <v>1</v>
      </c>
      <c r="F235" s="667"/>
      <c r="G235" s="21">
        <f t="shared" si="45"/>
        <v>1</v>
      </c>
      <c r="H235" s="667"/>
      <c r="I235" s="21">
        <f t="shared" si="46"/>
        <v>1</v>
      </c>
      <c r="J235" s="667"/>
      <c r="K235" s="21">
        <f t="shared" si="47"/>
        <v>1</v>
      </c>
      <c r="L235" s="667"/>
      <c r="M235" s="21">
        <f t="shared" si="48"/>
        <v>1</v>
      </c>
      <c r="N235" s="667"/>
      <c r="O235" s="21">
        <f t="shared" si="49"/>
        <v>1</v>
      </c>
      <c r="P235" s="2806" t="str">
        <f>Sheet3!E215</f>
        <v>低区</v>
      </c>
      <c r="Q235" s="21">
        <f t="shared" si="50"/>
        <v>0.98</v>
      </c>
      <c r="R235" s="663">
        <f t="shared" ca="1" si="51"/>
        <v>33946</v>
      </c>
      <c r="S235" s="316">
        <f t="shared" ca="1" si="52"/>
        <v>305</v>
      </c>
    </row>
    <row r="236" spans="1:19">
      <c r="A236" s="665" t="str">
        <f>Sheet3!C216</f>
        <v>3-1-301</v>
      </c>
      <c r="B236" s="665">
        <f>Sheet3!D216</f>
        <v>87.15</v>
      </c>
      <c r="C236" s="21">
        <f t="shared" si="43"/>
        <v>1</v>
      </c>
      <c r="D236" s="2806" t="str">
        <f>Sheet3!F216</f>
        <v>小高层</v>
      </c>
      <c r="E236" s="21">
        <f t="shared" si="44"/>
        <v>1</v>
      </c>
      <c r="F236" s="667"/>
      <c r="G236" s="21">
        <f t="shared" si="45"/>
        <v>1</v>
      </c>
      <c r="H236" s="667"/>
      <c r="I236" s="21">
        <f t="shared" si="46"/>
        <v>1</v>
      </c>
      <c r="J236" s="667"/>
      <c r="K236" s="21">
        <f t="shared" si="47"/>
        <v>1</v>
      </c>
      <c r="L236" s="667"/>
      <c r="M236" s="21">
        <f t="shared" si="48"/>
        <v>1</v>
      </c>
      <c r="N236" s="667"/>
      <c r="O236" s="21">
        <f t="shared" si="49"/>
        <v>1</v>
      </c>
      <c r="P236" s="2806" t="str">
        <f>Sheet3!E216</f>
        <v>低区</v>
      </c>
      <c r="Q236" s="21">
        <f t="shared" si="50"/>
        <v>0.98</v>
      </c>
      <c r="R236" s="663">
        <f t="shared" ca="1" si="51"/>
        <v>33946</v>
      </c>
      <c r="S236" s="316">
        <f t="shared" ca="1" si="52"/>
        <v>296</v>
      </c>
    </row>
    <row r="237" spans="1:19">
      <c r="A237" s="665" t="str">
        <f>Sheet3!C217</f>
        <v>3-1-302</v>
      </c>
      <c r="B237" s="665">
        <f>Sheet3!D217</f>
        <v>89.82</v>
      </c>
      <c r="C237" s="21">
        <f t="shared" si="43"/>
        <v>1</v>
      </c>
      <c r="D237" s="667" t="str">
        <f>Sheet3!F217</f>
        <v>小高层</v>
      </c>
      <c r="E237" s="21">
        <f t="shared" si="44"/>
        <v>1</v>
      </c>
      <c r="F237" s="667"/>
      <c r="G237" s="21">
        <f t="shared" si="45"/>
        <v>1</v>
      </c>
      <c r="H237" s="667"/>
      <c r="I237" s="21">
        <f t="shared" si="46"/>
        <v>1</v>
      </c>
      <c r="J237" s="667"/>
      <c r="K237" s="21">
        <f t="shared" si="47"/>
        <v>1</v>
      </c>
      <c r="L237" s="667"/>
      <c r="M237" s="21">
        <f t="shared" si="48"/>
        <v>1</v>
      </c>
      <c r="N237" s="667"/>
      <c r="O237" s="21">
        <f t="shared" si="49"/>
        <v>1</v>
      </c>
      <c r="P237" s="2806" t="str">
        <f>Sheet3!E217</f>
        <v>低区</v>
      </c>
      <c r="Q237" s="21">
        <f t="shared" si="50"/>
        <v>0.98</v>
      </c>
      <c r="R237" s="663">
        <f t="shared" ca="1" si="51"/>
        <v>33946</v>
      </c>
      <c r="S237" s="316">
        <f t="shared" ca="1" si="52"/>
        <v>305</v>
      </c>
    </row>
    <row r="238" spans="1:19">
      <c r="A238" s="665" t="str">
        <f>Sheet3!C218</f>
        <v>3-1-401</v>
      </c>
      <c r="B238" s="665">
        <f>Sheet3!D218</f>
        <v>87.15</v>
      </c>
      <c r="C238" s="21">
        <f t="shared" si="43"/>
        <v>1</v>
      </c>
      <c r="D238" s="2806" t="str">
        <f>Sheet3!F218</f>
        <v>小高层</v>
      </c>
      <c r="E238" s="21">
        <f t="shared" si="44"/>
        <v>1</v>
      </c>
      <c r="F238" s="667"/>
      <c r="G238" s="21">
        <f t="shared" si="45"/>
        <v>1</v>
      </c>
      <c r="H238" s="667"/>
      <c r="I238" s="21">
        <f t="shared" si="46"/>
        <v>1</v>
      </c>
      <c r="J238" s="667"/>
      <c r="K238" s="21">
        <f t="shared" si="47"/>
        <v>1</v>
      </c>
      <c r="L238" s="667"/>
      <c r="M238" s="21">
        <f t="shared" si="48"/>
        <v>1</v>
      </c>
      <c r="N238" s="667"/>
      <c r="O238" s="21">
        <f t="shared" si="49"/>
        <v>1</v>
      </c>
      <c r="P238" s="2806" t="str">
        <f>Sheet3!E218</f>
        <v>中区</v>
      </c>
      <c r="Q238" s="21">
        <f t="shared" si="50"/>
        <v>1</v>
      </c>
      <c r="R238" s="663">
        <f t="shared" ca="1" si="51"/>
        <v>34639</v>
      </c>
      <c r="S238" s="316">
        <f t="shared" ca="1" si="52"/>
        <v>302</v>
      </c>
    </row>
    <row r="239" spans="1:19">
      <c r="A239" s="665" t="str">
        <f>Sheet3!C219</f>
        <v>3-1-402</v>
      </c>
      <c r="B239" s="665">
        <f>Sheet3!D219</f>
        <v>89.82</v>
      </c>
      <c r="C239" s="21">
        <f t="shared" si="43"/>
        <v>1</v>
      </c>
      <c r="D239" s="667" t="str">
        <f>Sheet3!F219</f>
        <v>小高层</v>
      </c>
      <c r="E239" s="21">
        <f t="shared" si="44"/>
        <v>1</v>
      </c>
      <c r="F239" s="667"/>
      <c r="G239" s="21">
        <f t="shared" si="45"/>
        <v>1</v>
      </c>
      <c r="H239" s="667"/>
      <c r="I239" s="21">
        <f t="shared" si="46"/>
        <v>1</v>
      </c>
      <c r="J239" s="667"/>
      <c r="K239" s="21">
        <f t="shared" si="47"/>
        <v>1</v>
      </c>
      <c r="L239" s="667"/>
      <c r="M239" s="21">
        <f t="shared" si="48"/>
        <v>1</v>
      </c>
      <c r="N239" s="667"/>
      <c r="O239" s="21">
        <f t="shared" si="49"/>
        <v>1</v>
      </c>
      <c r="P239" s="2806" t="str">
        <f>Sheet3!E219</f>
        <v>中区</v>
      </c>
      <c r="Q239" s="21">
        <f t="shared" si="50"/>
        <v>1</v>
      </c>
      <c r="R239" s="663">
        <f t="shared" ca="1" si="51"/>
        <v>34639</v>
      </c>
      <c r="S239" s="316">
        <f t="shared" ca="1" si="52"/>
        <v>311</v>
      </c>
    </row>
    <row r="240" spans="1:19">
      <c r="A240" s="665" t="str">
        <f>Sheet3!C220</f>
        <v>3-1-501</v>
      </c>
      <c r="B240" s="665">
        <f>Sheet3!D220</f>
        <v>87.15</v>
      </c>
      <c r="C240" s="21">
        <f t="shared" si="43"/>
        <v>1</v>
      </c>
      <c r="D240" s="2806" t="str">
        <f>Sheet3!F220</f>
        <v>小高层</v>
      </c>
      <c r="E240" s="21">
        <f t="shared" si="44"/>
        <v>1</v>
      </c>
      <c r="F240" s="667"/>
      <c r="G240" s="21">
        <f t="shared" si="45"/>
        <v>1</v>
      </c>
      <c r="H240" s="667"/>
      <c r="I240" s="21">
        <f t="shared" si="46"/>
        <v>1</v>
      </c>
      <c r="J240" s="667"/>
      <c r="K240" s="21">
        <f t="shared" si="47"/>
        <v>1</v>
      </c>
      <c r="L240" s="667"/>
      <c r="M240" s="21">
        <f t="shared" si="48"/>
        <v>1</v>
      </c>
      <c r="N240" s="667"/>
      <c r="O240" s="21">
        <f t="shared" si="49"/>
        <v>1</v>
      </c>
      <c r="P240" s="2806" t="str">
        <f>Sheet3!E220</f>
        <v>中区</v>
      </c>
      <c r="Q240" s="21">
        <f t="shared" si="50"/>
        <v>1</v>
      </c>
      <c r="R240" s="663">
        <f t="shared" ca="1" si="51"/>
        <v>34639</v>
      </c>
      <c r="S240" s="316">
        <f t="shared" ca="1" si="52"/>
        <v>302</v>
      </c>
    </row>
    <row r="241" spans="1:19">
      <c r="A241" s="665" t="str">
        <f>Sheet3!C221</f>
        <v>3-1-502</v>
      </c>
      <c r="B241" s="665">
        <f>Sheet3!D221</f>
        <v>89.82</v>
      </c>
      <c r="C241" s="21">
        <f t="shared" si="43"/>
        <v>1</v>
      </c>
      <c r="D241" s="667" t="str">
        <f>Sheet3!F221</f>
        <v>小高层</v>
      </c>
      <c r="E241" s="21">
        <f t="shared" si="44"/>
        <v>1</v>
      </c>
      <c r="F241" s="667"/>
      <c r="G241" s="21">
        <f t="shared" si="45"/>
        <v>1</v>
      </c>
      <c r="H241" s="667"/>
      <c r="I241" s="21">
        <f t="shared" si="46"/>
        <v>1</v>
      </c>
      <c r="J241" s="667"/>
      <c r="K241" s="21">
        <f t="shared" si="47"/>
        <v>1</v>
      </c>
      <c r="L241" s="667"/>
      <c r="M241" s="21">
        <f t="shared" si="48"/>
        <v>1</v>
      </c>
      <c r="N241" s="667"/>
      <c r="O241" s="21">
        <f t="shared" si="49"/>
        <v>1</v>
      </c>
      <c r="P241" s="2806" t="str">
        <f>Sheet3!E221</f>
        <v>中区</v>
      </c>
      <c r="Q241" s="21">
        <f t="shared" si="50"/>
        <v>1</v>
      </c>
      <c r="R241" s="663">
        <f t="shared" ca="1" si="51"/>
        <v>34639</v>
      </c>
      <c r="S241" s="316">
        <f t="shared" ca="1" si="52"/>
        <v>311</v>
      </c>
    </row>
    <row r="242" spans="1:19">
      <c r="A242" s="665" t="str">
        <f>Sheet3!C222</f>
        <v>3-1-601</v>
      </c>
      <c r="B242" s="665">
        <f>Sheet3!D222</f>
        <v>87.15</v>
      </c>
      <c r="C242" s="21">
        <f t="shared" si="43"/>
        <v>1</v>
      </c>
      <c r="D242" s="2806" t="str">
        <f>Sheet3!F222</f>
        <v>小高层</v>
      </c>
      <c r="E242" s="21">
        <f t="shared" si="44"/>
        <v>1</v>
      </c>
      <c r="F242" s="667"/>
      <c r="G242" s="21">
        <f t="shared" si="45"/>
        <v>1</v>
      </c>
      <c r="H242" s="667"/>
      <c r="I242" s="21">
        <f t="shared" si="46"/>
        <v>1</v>
      </c>
      <c r="J242" s="667"/>
      <c r="K242" s="21">
        <f t="shared" si="47"/>
        <v>1</v>
      </c>
      <c r="L242" s="667"/>
      <c r="M242" s="21">
        <f t="shared" si="48"/>
        <v>1</v>
      </c>
      <c r="N242" s="667"/>
      <c r="O242" s="21">
        <f t="shared" si="49"/>
        <v>1</v>
      </c>
      <c r="P242" s="2806" t="str">
        <f>Sheet3!E222</f>
        <v>中区</v>
      </c>
      <c r="Q242" s="21">
        <f t="shared" si="50"/>
        <v>1</v>
      </c>
      <c r="R242" s="663">
        <f t="shared" ca="1" si="51"/>
        <v>34639</v>
      </c>
      <c r="S242" s="316">
        <f t="shared" ca="1" si="52"/>
        <v>302</v>
      </c>
    </row>
    <row r="243" spans="1:19">
      <c r="A243" s="665" t="str">
        <f>Sheet3!C223</f>
        <v>3-1-602</v>
      </c>
      <c r="B243" s="665">
        <f>Sheet3!D223</f>
        <v>89.82</v>
      </c>
      <c r="C243" s="21">
        <f t="shared" si="43"/>
        <v>1</v>
      </c>
      <c r="D243" s="667" t="str">
        <f>Sheet3!F223</f>
        <v>小高层</v>
      </c>
      <c r="E243" s="21">
        <f t="shared" si="44"/>
        <v>1</v>
      </c>
      <c r="F243" s="667"/>
      <c r="G243" s="21">
        <f t="shared" si="45"/>
        <v>1</v>
      </c>
      <c r="H243" s="667"/>
      <c r="I243" s="21">
        <f t="shared" si="46"/>
        <v>1</v>
      </c>
      <c r="J243" s="667"/>
      <c r="K243" s="21">
        <f t="shared" si="47"/>
        <v>1</v>
      </c>
      <c r="L243" s="667"/>
      <c r="M243" s="21">
        <f t="shared" si="48"/>
        <v>1</v>
      </c>
      <c r="N243" s="667"/>
      <c r="O243" s="21">
        <f t="shared" si="49"/>
        <v>1</v>
      </c>
      <c r="P243" s="2806" t="str">
        <f>Sheet3!E223</f>
        <v>中区</v>
      </c>
      <c r="Q243" s="21">
        <f t="shared" si="50"/>
        <v>1</v>
      </c>
      <c r="R243" s="663">
        <f t="shared" ca="1" si="51"/>
        <v>34639</v>
      </c>
      <c r="S243" s="316">
        <f t="shared" ca="1" si="52"/>
        <v>311</v>
      </c>
    </row>
    <row r="244" spans="1:19">
      <c r="A244" s="665" t="str">
        <f>Sheet3!C224</f>
        <v>3-1-701</v>
      </c>
      <c r="B244" s="665">
        <f>Sheet3!D224</f>
        <v>87.15</v>
      </c>
      <c r="C244" s="21">
        <f t="shared" si="43"/>
        <v>1</v>
      </c>
      <c r="D244" s="2806" t="str">
        <f>Sheet3!F224</f>
        <v>小高层</v>
      </c>
      <c r="E244" s="21">
        <f t="shared" si="44"/>
        <v>1</v>
      </c>
      <c r="F244" s="667"/>
      <c r="G244" s="21">
        <f t="shared" si="45"/>
        <v>1</v>
      </c>
      <c r="H244" s="667"/>
      <c r="I244" s="21">
        <f t="shared" si="46"/>
        <v>1</v>
      </c>
      <c r="J244" s="667"/>
      <c r="K244" s="21">
        <f t="shared" si="47"/>
        <v>1</v>
      </c>
      <c r="L244" s="667"/>
      <c r="M244" s="21">
        <f t="shared" si="48"/>
        <v>1</v>
      </c>
      <c r="N244" s="667"/>
      <c r="O244" s="21">
        <f t="shared" si="49"/>
        <v>1</v>
      </c>
      <c r="P244" s="2806" t="str">
        <f>Sheet3!E224</f>
        <v>中区</v>
      </c>
      <c r="Q244" s="21">
        <f t="shared" si="50"/>
        <v>1</v>
      </c>
      <c r="R244" s="663">
        <f t="shared" ca="1" si="51"/>
        <v>34639</v>
      </c>
      <c r="S244" s="316">
        <f t="shared" ca="1" si="52"/>
        <v>302</v>
      </c>
    </row>
    <row r="245" spans="1:19">
      <c r="A245" s="665" t="str">
        <f>Sheet3!C225</f>
        <v>3-1-702</v>
      </c>
      <c r="B245" s="665">
        <f>Sheet3!D225</f>
        <v>89.82</v>
      </c>
      <c r="C245" s="21">
        <f t="shared" si="43"/>
        <v>1</v>
      </c>
      <c r="D245" s="667" t="str">
        <f>Sheet3!F225</f>
        <v>小高层</v>
      </c>
      <c r="E245" s="21">
        <f t="shared" si="44"/>
        <v>1</v>
      </c>
      <c r="F245" s="667"/>
      <c r="G245" s="21">
        <f t="shared" si="45"/>
        <v>1</v>
      </c>
      <c r="H245" s="667"/>
      <c r="I245" s="21">
        <f t="shared" si="46"/>
        <v>1</v>
      </c>
      <c r="J245" s="667"/>
      <c r="K245" s="21">
        <f t="shared" si="47"/>
        <v>1</v>
      </c>
      <c r="L245" s="667"/>
      <c r="M245" s="21">
        <f t="shared" si="48"/>
        <v>1</v>
      </c>
      <c r="N245" s="667"/>
      <c r="O245" s="21">
        <f t="shared" si="49"/>
        <v>1</v>
      </c>
      <c r="P245" s="2806" t="str">
        <f>Sheet3!E225</f>
        <v>中区</v>
      </c>
      <c r="Q245" s="21">
        <f t="shared" si="50"/>
        <v>1</v>
      </c>
      <c r="R245" s="663">
        <f t="shared" ca="1" si="51"/>
        <v>34639</v>
      </c>
      <c r="S245" s="316">
        <f t="shared" ca="1" si="52"/>
        <v>311</v>
      </c>
    </row>
    <row r="246" spans="1:19">
      <c r="A246" s="665" t="str">
        <f>Sheet3!C226</f>
        <v>3-1-801</v>
      </c>
      <c r="B246" s="665">
        <f>Sheet3!D226</f>
        <v>87.15</v>
      </c>
      <c r="C246" s="21">
        <f t="shared" si="43"/>
        <v>1</v>
      </c>
      <c r="D246" s="2806" t="str">
        <f>Sheet3!F226</f>
        <v>小高层</v>
      </c>
      <c r="E246" s="21">
        <f t="shared" si="44"/>
        <v>1</v>
      </c>
      <c r="F246" s="667"/>
      <c r="G246" s="21">
        <f t="shared" si="45"/>
        <v>1</v>
      </c>
      <c r="H246" s="667"/>
      <c r="I246" s="21">
        <f t="shared" si="46"/>
        <v>1</v>
      </c>
      <c r="J246" s="667"/>
      <c r="K246" s="21">
        <f t="shared" si="47"/>
        <v>1</v>
      </c>
      <c r="L246" s="667"/>
      <c r="M246" s="21">
        <f t="shared" si="48"/>
        <v>1</v>
      </c>
      <c r="N246" s="667"/>
      <c r="O246" s="21">
        <f t="shared" si="49"/>
        <v>1</v>
      </c>
      <c r="P246" s="2806" t="str">
        <f>Sheet3!E226</f>
        <v>高区</v>
      </c>
      <c r="Q246" s="21">
        <f t="shared" si="50"/>
        <v>1.02</v>
      </c>
      <c r="R246" s="663">
        <f t="shared" ca="1" si="51"/>
        <v>35332</v>
      </c>
      <c r="S246" s="316">
        <f t="shared" ca="1" si="52"/>
        <v>308</v>
      </c>
    </row>
    <row r="247" spans="1:19">
      <c r="A247" s="665" t="str">
        <f>Sheet3!C227</f>
        <v>3-1-802</v>
      </c>
      <c r="B247" s="665">
        <f>Sheet3!D227</f>
        <v>89.82</v>
      </c>
      <c r="C247" s="21">
        <f t="shared" si="43"/>
        <v>1</v>
      </c>
      <c r="D247" s="667" t="str">
        <f>Sheet3!F227</f>
        <v>小高层</v>
      </c>
      <c r="E247" s="21">
        <f t="shared" si="44"/>
        <v>1</v>
      </c>
      <c r="F247" s="667"/>
      <c r="G247" s="21">
        <f t="shared" si="45"/>
        <v>1</v>
      </c>
      <c r="H247" s="667"/>
      <c r="I247" s="21">
        <f t="shared" si="46"/>
        <v>1</v>
      </c>
      <c r="J247" s="667"/>
      <c r="K247" s="21">
        <f t="shared" si="47"/>
        <v>1</v>
      </c>
      <c r="L247" s="667"/>
      <c r="M247" s="21">
        <f t="shared" si="48"/>
        <v>1</v>
      </c>
      <c r="N247" s="667"/>
      <c r="O247" s="21">
        <f t="shared" si="49"/>
        <v>1</v>
      </c>
      <c r="P247" s="2806" t="str">
        <f>Sheet3!E227</f>
        <v>高区</v>
      </c>
      <c r="Q247" s="21">
        <f t="shared" si="50"/>
        <v>1.02</v>
      </c>
      <c r="R247" s="663">
        <f t="shared" ca="1" si="51"/>
        <v>35332</v>
      </c>
      <c r="S247" s="316">
        <f t="shared" ca="1" si="52"/>
        <v>317</v>
      </c>
    </row>
    <row r="248" spans="1:19">
      <c r="A248" s="665" t="str">
        <f>Sheet3!C228</f>
        <v>3-1-901</v>
      </c>
      <c r="B248" s="665">
        <f>Sheet3!D228</f>
        <v>87.15</v>
      </c>
      <c r="C248" s="21">
        <f t="shared" si="43"/>
        <v>1</v>
      </c>
      <c r="D248" s="2806" t="str">
        <f>Sheet3!F228</f>
        <v>小高层</v>
      </c>
      <c r="E248" s="21">
        <f t="shared" si="44"/>
        <v>1</v>
      </c>
      <c r="F248" s="667"/>
      <c r="G248" s="21">
        <f t="shared" si="45"/>
        <v>1</v>
      </c>
      <c r="H248" s="667"/>
      <c r="I248" s="21">
        <f t="shared" si="46"/>
        <v>1</v>
      </c>
      <c r="J248" s="667"/>
      <c r="K248" s="21">
        <f t="shared" si="47"/>
        <v>1</v>
      </c>
      <c r="L248" s="667"/>
      <c r="M248" s="21">
        <f t="shared" si="48"/>
        <v>1</v>
      </c>
      <c r="N248" s="667"/>
      <c r="O248" s="21">
        <f t="shared" si="49"/>
        <v>1</v>
      </c>
      <c r="P248" s="2806" t="str">
        <f>Sheet3!E228</f>
        <v>高区</v>
      </c>
      <c r="Q248" s="21">
        <f t="shared" si="50"/>
        <v>1.02</v>
      </c>
      <c r="R248" s="663">
        <f t="shared" ca="1" si="51"/>
        <v>35332</v>
      </c>
      <c r="S248" s="316">
        <f t="shared" ca="1" si="52"/>
        <v>308</v>
      </c>
    </row>
    <row r="249" spans="1:19">
      <c r="A249" s="665" t="str">
        <f>Sheet3!C229</f>
        <v>3-1-902</v>
      </c>
      <c r="B249" s="665">
        <f>Sheet3!D229</f>
        <v>89.82</v>
      </c>
      <c r="C249" s="21">
        <f t="shared" si="43"/>
        <v>1</v>
      </c>
      <c r="D249" s="667" t="str">
        <f>Sheet3!F229</f>
        <v>小高层</v>
      </c>
      <c r="E249" s="21">
        <f t="shared" si="44"/>
        <v>1</v>
      </c>
      <c r="F249" s="667"/>
      <c r="G249" s="21">
        <f t="shared" si="45"/>
        <v>1</v>
      </c>
      <c r="H249" s="667"/>
      <c r="I249" s="21">
        <f t="shared" si="46"/>
        <v>1</v>
      </c>
      <c r="J249" s="667"/>
      <c r="K249" s="21">
        <f t="shared" si="47"/>
        <v>1</v>
      </c>
      <c r="L249" s="667"/>
      <c r="M249" s="21">
        <f t="shared" si="48"/>
        <v>1</v>
      </c>
      <c r="N249" s="667"/>
      <c r="O249" s="21">
        <f t="shared" si="49"/>
        <v>1</v>
      </c>
      <c r="P249" s="2806" t="str">
        <f>Sheet3!E229</f>
        <v>高区</v>
      </c>
      <c r="Q249" s="21">
        <f t="shared" si="50"/>
        <v>1.02</v>
      </c>
      <c r="R249" s="663">
        <f t="shared" ca="1" si="51"/>
        <v>35332</v>
      </c>
      <c r="S249" s="316">
        <f t="shared" ca="1" si="52"/>
        <v>317</v>
      </c>
    </row>
    <row r="250" spans="1:19">
      <c r="A250" s="665" t="str">
        <f>Sheet3!C230</f>
        <v>3-1-1001</v>
      </c>
      <c r="B250" s="665">
        <f>Sheet3!D230</f>
        <v>87.15</v>
      </c>
      <c r="C250" s="21">
        <f t="shared" si="43"/>
        <v>1</v>
      </c>
      <c r="D250" s="2806" t="str">
        <f>Sheet3!F230</f>
        <v>小高层</v>
      </c>
      <c r="E250" s="21">
        <f t="shared" si="44"/>
        <v>1</v>
      </c>
      <c r="F250" s="667"/>
      <c r="G250" s="21">
        <f t="shared" si="45"/>
        <v>1</v>
      </c>
      <c r="H250" s="667"/>
      <c r="I250" s="21">
        <f t="shared" si="46"/>
        <v>1</v>
      </c>
      <c r="J250" s="667"/>
      <c r="K250" s="21">
        <f t="shared" si="47"/>
        <v>1</v>
      </c>
      <c r="L250" s="667"/>
      <c r="M250" s="21">
        <f t="shared" si="48"/>
        <v>1</v>
      </c>
      <c r="N250" s="667"/>
      <c r="O250" s="21">
        <f t="shared" si="49"/>
        <v>1</v>
      </c>
      <c r="P250" s="2806" t="str">
        <f>Sheet3!E230</f>
        <v>高区</v>
      </c>
      <c r="Q250" s="21">
        <f t="shared" si="50"/>
        <v>1.02</v>
      </c>
      <c r="R250" s="663">
        <f t="shared" ca="1" si="51"/>
        <v>35332</v>
      </c>
      <c r="S250" s="316">
        <f t="shared" ca="1" si="52"/>
        <v>308</v>
      </c>
    </row>
    <row r="251" spans="1:19">
      <c r="A251" s="665" t="str">
        <f>Sheet3!C231</f>
        <v>3-1-1002</v>
      </c>
      <c r="B251" s="665">
        <f>Sheet3!D231</f>
        <v>89.82</v>
      </c>
      <c r="C251" s="21">
        <f t="shared" si="43"/>
        <v>1</v>
      </c>
      <c r="D251" s="667" t="str">
        <f>Sheet3!F231</f>
        <v>小高层</v>
      </c>
      <c r="E251" s="21">
        <f t="shared" si="44"/>
        <v>1</v>
      </c>
      <c r="F251" s="667"/>
      <c r="G251" s="21">
        <f t="shared" si="45"/>
        <v>1</v>
      </c>
      <c r="H251" s="667"/>
      <c r="I251" s="21">
        <f t="shared" si="46"/>
        <v>1</v>
      </c>
      <c r="J251" s="667"/>
      <c r="K251" s="21">
        <f t="shared" si="47"/>
        <v>1</v>
      </c>
      <c r="L251" s="667"/>
      <c r="M251" s="21">
        <f t="shared" si="48"/>
        <v>1</v>
      </c>
      <c r="N251" s="667"/>
      <c r="O251" s="21">
        <f t="shared" si="49"/>
        <v>1</v>
      </c>
      <c r="P251" s="2806" t="str">
        <f>Sheet3!E231</f>
        <v>高区</v>
      </c>
      <c r="Q251" s="21">
        <f t="shared" si="50"/>
        <v>1.02</v>
      </c>
      <c r="R251" s="663">
        <f t="shared" ca="1" si="51"/>
        <v>35332</v>
      </c>
      <c r="S251" s="316">
        <f t="shared" ca="1" si="52"/>
        <v>317</v>
      </c>
    </row>
    <row r="252" spans="1:19">
      <c r="A252" s="665" t="str">
        <f>Sheet3!C232</f>
        <v>3-1-1101</v>
      </c>
      <c r="B252" s="665">
        <f>Sheet3!D232</f>
        <v>87.15</v>
      </c>
      <c r="C252" s="21">
        <f t="shared" si="43"/>
        <v>1</v>
      </c>
      <c r="D252" s="2806" t="str">
        <f>Sheet3!F232</f>
        <v>小高层</v>
      </c>
      <c r="E252" s="21">
        <f t="shared" si="44"/>
        <v>1</v>
      </c>
      <c r="F252" s="667"/>
      <c r="G252" s="21">
        <f t="shared" si="45"/>
        <v>1</v>
      </c>
      <c r="H252" s="667"/>
      <c r="I252" s="21">
        <f t="shared" si="46"/>
        <v>1</v>
      </c>
      <c r="J252" s="667"/>
      <c r="K252" s="21">
        <f t="shared" si="47"/>
        <v>1</v>
      </c>
      <c r="L252" s="667"/>
      <c r="M252" s="21">
        <f t="shared" si="48"/>
        <v>1</v>
      </c>
      <c r="N252" s="667"/>
      <c r="O252" s="21">
        <f t="shared" si="49"/>
        <v>1</v>
      </c>
      <c r="P252" s="2806" t="str">
        <f>Sheet3!E232</f>
        <v>高区</v>
      </c>
      <c r="Q252" s="21">
        <f t="shared" si="50"/>
        <v>1.02</v>
      </c>
      <c r="R252" s="663">
        <f t="shared" ca="1" si="51"/>
        <v>35332</v>
      </c>
      <c r="S252" s="316">
        <f t="shared" ca="1" si="52"/>
        <v>308</v>
      </c>
    </row>
    <row r="253" spans="1:19">
      <c r="A253" s="665" t="str">
        <f>Sheet3!C233</f>
        <v>3-1-1102</v>
      </c>
      <c r="B253" s="665">
        <f>Sheet3!D233</f>
        <v>89.82</v>
      </c>
      <c r="C253" s="21">
        <f t="shared" si="43"/>
        <v>1</v>
      </c>
      <c r="D253" s="667" t="str">
        <f>Sheet3!F233</f>
        <v>小高层</v>
      </c>
      <c r="E253" s="21">
        <f t="shared" si="44"/>
        <v>1</v>
      </c>
      <c r="F253" s="667"/>
      <c r="G253" s="21">
        <f t="shared" si="45"/>
        <v>1</v>
      </c>
      <c r="H253" s="667"/>
      <c r="I253" s="21">
        <f t="shared" si="46"/>
        <v>1</v>
      </c>
      <c r="J253" s="667"/>
      <c r="K253" s="21">
        <f t="shared" si="47"/>
        <v>1</v>
      </c>
      <c r="L253" s="667"/>
      <c r="M253" s="21">
        <f t="shared" si="48"/>
        <v>1</v>
      </c>
      <c r="N253" s="667"/>
      <c r="O253" s="21">
        <f t="shared" si="49"/>
        <v>1</v>
      </c>
      <c r="P253" s="2806" t="str">
        <f>Sheet3!E233</f>
        <v>高区</v>
      </c>
      <c r="Q253" s="21">
        <f t="shared" si="50"/>
        <v>1.02</v>
      </c>
      <c r="R253" s="663">
        <f t="shared" ca="1" si="51"/>
        <v>35332</v>
      </c>
      <c r="S253" s="316">
        <f t="shared" ca="1" si="52"/>
        <v>317</v>
      </c>
    </row>
    <row r="254" spans="1:19">
      <c r="A254" s="665" t="str">
        <f>Sheet3!C234</f>
        <v>3-2-101</v>
      </c>
      <c r="B254" s="665">
        <f>Sheet3!D234</f>
        <v>89.82</v>
      </c>
      <c r="C254" s="21">
        <f t="shared" si="43"/>
        <v>1</v>
      </c>
      <c r="D254" s="2806" t="str">
        <f>Sheet3!F234</f>
        <v>小高层</v>
      </c>
      <c r="E254" s="21">
        <f t="shared" si="44"/>
        <v>1</v>
      </c>
      <c r="F254" s="667"/>
      <c r="G254" s="21">
        <f t="shared" si="45"/>
        <v>1</v>
      </c>
      <c r="H254" s="667"/>
      <c r="I254" s="21">
        <f t="shared" si="46"/>
        <v>1</v>
      </c>
      <c r="J254" s="667"/>
      <c r="K254" s="21">
        <f t="shared" si="47"/>
        <v>1</v>
      </c>
      <c r="L254" s="667"/>
      <c r="M254" s="21">
        <f t="shared" si="48"/>
        <v>1</v>
      </c>
      <c r="N254" s="667"/>
      <c r="O254" s="21">
        <f t="shared" si="49"/>
        <v>1</v>
      </c>
      <c r="P254" s="2806" t="str">
        <f>Sheet3!E234</f>
        <v>低区</v>
      </c>
      <c r="Q254" s="21">
        <f t="shared" si="50"/>
        <v>0.98</v>
      </c>
      <c r="R254" s="663">
        <f t="shared" ca="1" si="51"/>
        <v>33946</v>
      </c>
      <c r="S254" s="316">
        <f t="shared" ca="1" si="52"/>
        <v>305</v>
      </c>
    </row>
    <row r="255" spans="1:19">
      <c r="A255" s="665" t="str">
        <f>Sheet3!C235</f>
        <v>3-2-102</v>
      </c>
      <c r="B255" s="665">
        <f>Sheet3!D235</f>
        <v>73.41</v>
      </c>
      <c r="C255" s="21">
        <f t="shared" si="43"/>
        <v>1</v>
      </c>
      <c r="D255" s="667" t="str">
        <f>Sheet3!F235</f>
        <v>小高层</v>
      </c>
      <c r="E255" s="21">
        <f t="shared" si="44"/>
        <v>1</v>
      </c>
      <c r="F255" s="667"/>
      <c r="G255" s="21">
        <f t="shared" si="45"/>
        <v>1</v>
      </c>
      <c r="H255" s="667"/>
      <c r="I255" s="21">
        <f t="shared" si="46"/>
        <v>1</v>
      </c>
      <c r="J255" s="667"/>
      <c r="K255" s="21">
        <f t="shared" si="47"/>
        <v>1</v>
      </c>
      <c r="L255" s="667"/>
      <c r="M255" s="21">
        <f t="shared" si="48"/>
        <v>1</v>
      </c>
      <c r="N255" s="667"/>
      <c r="O255" s="21">
        <f t="shared" si="49"/>
        <v>1</v>
      </c>
      <c r="P255" s="2806" t="str">
        <f>Sheet3!E235</f>
        <v>低区</v>
      </c>
      <c r="Q255" s="21">
        <f t="shared" si="50"/>
        <v>0.98</v>
      </c>
      <c r="R255" s="663">
        <f t="shared" ca="1" si="51"/>
        <v>33946</v>
      </c>
      <c r="S255" s="316">
        <f t="shared" ca="1" si="52"/>
        <v>249</v>
      </c>
    </row>
    <row r="256" spans="1:19">
      <c r="A256" s="665" t="str">
        <f>Sheet3!C236</f>
        <v>3-2-201</v>
      </c>
      <c r="B256" s="665">
        <f>Sheet3!D236</f>
        <v>89.82</v>
      </c>
      <c r="C256" s="21">
        <f t="shared" si="43"/>
        <v>1</v>
      </c>
      <c r="D256" s="2806" t="str">
        <f>Sheet3!F236</f>
        <v>小高层</v>
      </c>
      <c r="E256" s="21">
        <f t="shared" si="44"/>
        <v>1</v>
      </c>
      <c r="F256" s="667"/>
      <c r="G256" s="21">
        <f t="shared" si="45"/>
        <v>1</v>
      </c>
      <c r="H256" s="667"/>
      <c r="I256" s="21">
        <f t="shared" si="46"/>
        <v>1</v>
      </c>
      <c r="J256" s="667"/>
      <c r="K256" s="21">
        <f t="shared" si="47"/>
        <v>1</v>
      </c>
      <c r="L256" s="667"/>
      <c r="M256" s="21">
        <f t="shared" si="48"/>
        <v>1</v>
      </c>
      <c r="N256" s="667"/>
      <c r="O256" s="21">
        <f t="shared" si="49"/>
        <v>1</v>
      </c>
      <c r="P256" s="2806" t="str">
        <f>Sheet3!E236</f>
        <v>低区</v>
      </c>
      <c r="Q256" s="21">
        <f t="shared" si="50"/>
        <v>0.98</v>
      </c>
      <c r="R256" s="663">
        <f t="shared" ca="1" si="51"/>
        <v>33946</v>
      </c>
      <c r="S256" s="316">
        <f t="shared" ca="1" si="52"/>
        <v>305</v>
      </c>
    </row>
    <row r="257" spans="1:19">
      <c r="A257" s="665" t="str">
        <f>Sheet3!C237</f>
        <v>3-2-202</v>
      </c>
      <c r="B257" s="665">
        <f>Sheet3!D237</f>
        <v>89.82</v>
      </c>
      <c r="C257" s="21">
        <f t="shared" si="43"/>
        <v>1</v>
      </c>
      <c r="D257" s="667" t="str">
        <f>Sheet3!F237</f>
        <v>小高层</v>
      </c>
      <c r="E257" s="21">
        <f t="shared" si="44"/>
        <v>1</v>
      </c>
      <c r="F257" s="667"/>
      <c r="G257" s="21">
        <f t="shared" si="45"/>
        <v>1</v>
      </c>
      <c r="H257" s="667"/>
      <c r="I257" s="21">
        <f t="shared" si="46"/>
        <v>1</v>
      </c>
      <c r="J257" s="667"/>
      <c r="K257" s="21">
        <f t="shared" si="47"/>
        <v>1</v>
      </c>
      <c r="L257" s="667"/>
      <c r="M257" s="21">
        <f t="shared" si="48"/>
        <v>1</v>
      </c>
      <c r="N257" s="667"/>
      <c r="O257" s="21">
        <f t="shared" si="49"/>
        <v>1</v>
      </c>
      <c r="P257" s="2806" t="str">
        <f>Sheet3!E237</f>
        <v>低区</v>
      </c>
      <c r="Q257" s="21">
        <f t="shared" si="50"/>
        <v>0.98</v>
      </c>
      <c r="R257" s="663">
        <f t="shared" ca="1" si="51"/>
        <v>33946</v>
      </c>
      <c r="S257" s="316">
        <f t="shared" ca="1" si="52"/>
        <v>305</v>
      </c>
    </row>
    <row r="258" spans="1:19">
      <c r="A258" s="665" t="str">
        <f>Sheet3!C238</f>
        <v>3-2-301</v>
      </c>
      <c r="B258" s="665">
        <f>Sheet3!D238</f>
        <v>89.82</v>
      </c>
      <c r="C258" s="21">
        <f t="shared" si="43"/>
        <v>1</v>
      </c>
      <c r="D258" s="2806" t="str">
        <f>Sheet3!F238</f>
        <v>小高层</v>
      </c>
      <c r="E258" s="21">
        <f t="shared" si="44"/>
        <v>1</v>
      </c>
      <c r="F258" s="667"/>
      <c r="G258" s="21">
        <f t="shared" si="45"/>
        <v>1</v>
      </c>
      <c r="H258" s="667"/>
      <c r="I258" s="21">
        <f t="shared" si="46"/>
        <v>1</v>
      </c>
      <c r="J258" s="667"/>
      <c r="K258" s="21">
        <f t="shared" si="47"/>
        <v>1</v>
      </c>
      <c r="L258" s="667"/>
      <c r="M258" s="21">
        <f t="shared" si="48"/>
        <v>1</v>
      </c>
      <c r="N258" s="667"/>
      <c r="O258" s="21">
        <f t="shared" si="49"/>
        <v>1</v>
      </c>
      <c r="P258" s="2806" t="str">
        <f>Sheet3!E238</f>
        <v>低区</v>
      </c>
      <c r="Q258" s="21">
        <f t="shared" si="50"/>
        <v>0.98</v>
      </c>
      <c r="R258" s="663">
        <f t="shared" ca="1" si="51"/>
        <v>33946</v>
      </c>
      <c r="S258" s="316">
        <f t="shared" ca="1" si="52"/>
        <v>305</v>
      </c>
    </row>
    <row r="259" spans="1:19">
      <c r="A259" s="665" t="str">
        <f>Sheet3!C239</f>
        <v>3-2-302</v>
      </c>
      <c r="B259" s="665">
        <f>Sheet3!D239</f>
        <v>89.82</v>
      </c>
      <c r="C259" s="21">
        <f t="shared" si="43"/>
        <v>1</v>
      </c>
      <c r="D259" s="667" t="str">
        <f>Sheet3!F239</f>
        <v>小高层</v>
      </c>
      <c r="E259" s="21">
        <f t="shared" si="44"/>
        <v>1</v>
      </c>
      <c r="F259" s="667"/>
      <c r="G259" s="21">
        <f t="shared" si="45"/>
        <v>1</v>
      </c>
      <c r="H259" s="667"/>
      <c r="I259" s="21">
        <f t="shared" si="46"/>
        <v>1</v>
      </c>
      <c r="J259" s="667"/>
      <c r="K259" s="21">
        <f t="shared" si="47"/>
        <v>1</v>
      </c>
      <c r="L259" s="667"/>
      <c r="M259" s="21">
        <f t="shared" si="48"/>
        <v>1</v>
      </c>
      <c r="N259" s="667"/>
      <c r="O259" s="21">
        <f t="shared" si="49"/>
        <v>1</v>
      </c>
      <c r="P259" s="2806" t="str">
        <f>Sheet3!E239</f>
        <v>低区</v>
      </c>
      <c r="Q259" s="21">
        <f t="shared" si="50"/>
        <v>0.98</v>
      </c>
      <c r="R259" s="663">
        <f t="shared" ca="1" si="51"/>
        <v>33946</v>
      </c>
      <c r="S259" s="316">
        <f t="shared" ca="1" si="52"/>
        <v>305</v>
      </c>
    </row>
    <row r="260" spans="1:19">
      <c r="A260" s="665" t="str">
        <f>Sheet3!C240</f>
        <v>3-2-401</v>
      </c>
      <c r="B260" s="665">
        <f>Sheet3!D240</f>
        <v>89.82</v>
      </c>
      <c r="C260" s="21">
        <f t="shared" si="43"/>
        <v>1</v>
      </c>
      <c r="D260" s="2806" t="str">
        <f>Sheet3!F240</f>
        <v>小高层</v>
      </c>
      <c r="E260" s="21">
        <f t="shared" si="44"/>
        <v>1</v>
      </c>
      <c r="F260" s="667"/>
      <c r="G260" s="21">
        <f t="shared" si="45"/>
        <v>1</v>
      </c>
      <c r="H260" s="667"/>
      <c r="I260" s="21">
        <f t="shared" si="46"/>
        <v>1</v>
      </c>
      <c r="J260" s="667"/>
      <c r="K260" s="21">
        <f t="shared" si="47"/>
        <v>1</v>
      </c>
      <c r="L260" s="667"/>
      <c r="M260" s="21">
        <f t="shared" si="48"/>
        <v>1</v>
      </c>
      <c r="N260" s="667"/>
      <c r="O260" s="21">
        <f t="shared" si="49"/>
        <v>1</v>
      </c>
      <c r="P260" s="2806" t="str">
        <f>Sheet3!E240</f>
        <v>中区</v>
      </c>
      <c r="Q260" s="21">
        <f t="shared" si="50"/>
        <v>1</v>
      </c>
      <c r="R260" s="663">
        <f t="shared" ca="1" si="51"/>
        <v>34639</v>
      </c>
      <c r="S260" s="316">
        <f t="shared" ca="1" si="52"/>
        <v>311</v>
      </c>
    </row>
    <row r="261" spans="1:19">
      <c r="A261" s="665" t="str">
        <f>Sheet3!C241</f>
        <v>3-2-402</v>
      </c>
      <c r="B261" s="665">
        <f>Sheet3!D241</f>
        <v>89.82</v>
      </c>
      <c r="C261" s="21">
        <f t="shared" si="43"/>
        <v>1</v>
      </c>
      <c r="D261" s="667" t="str">
        <f>Sheet3!F241</f>
        <v>小高层</v>
      </c>
      <c r="E261" s="21">
        <f t="shared" si="44"/>
        <v>1</v>
      </c>
      <c r="F261" s="667"/>
      <c r="G261" s="21">
        <f t="shared" si="45"/>
        <v>1</v>
      </c>
      <c r="H261" s="667"/>
      <c r="I261" s="21">
        <f t="shared" si="46"/>
        <v>1</v>
      </c>
      <c r="J261" s="667"/>
      <c r="K261" s="21">
        <f t="shared" si="47"/>
        <v>1</v>
      </c>
      <c r="L261" s="667"/>
      <c r="M261" s="21">
        <f t="shared" si="48"/>
        <v>1</v>
      </c>
      <c r="N261" s="667"/>
      <c r="O261" s="21">
        <f t="shared" si="49"/>
        <v>1</v>
      </c>
      <c r="P261" s="2806" t="str">
        <f>Sheet3!E241</f>
        <v>中区</v>
      </c>
      <c r="Q261" s="21">
        <f t="shared" si="50"/>
        <v>1</v>
      </c>
      <c r="R261" s="663">
        <f t="shared" ca="1" si="51"/>
        <v>34639</v>
      </c>
      <c r="S261" s="316">
        <f t="shared" ca="1" si="52"/>
        <v>311</v>
      </c>
    </row>
    <row r="262" spans="1:19">
      <c r="A262" s="665" t="str">
        <f>Sheet3!C242</f>
        <v>3-2-501</v>
      </c>
      <c r="B262" s="665">
        <f>Sheet3!D242</f>
        <v>89.82</v>
      </c>
      <c r="C262" s="21">
        <f t="shared" si="43"/>
        <v>1</v>
      </c>
      <c r="D262" s="2806" t="str">
        <f>Sheet3!F242</f>
        <v>小高层</v>
      </c>
      <c r="E262" s="21">
        <f t="shared" si="44"/>
        <v>1</v>
      </c>
      <c r="F262" s="667"/>
      <c r="G262" s="21">
        <f t="shared" si="45"/>
        <v>1</v>
      </c>
      <c r="H262" s="667"/>
      <c r="I262" s="21">
        <f t="shared" si="46"/>
        <v>1</v>
      </c>
      <c r="J262" s="667"/>
      <c r="K262" s="21">
        <f t="shared" si="47"/>
        <v>1</v>
      </c>
      <c r="L262" s="667"/>
      <c r="M262" s="21">
        <f t="shared" si="48"/>
        <v>1</v>
      </c>
      <c r="N262" s="667"/>
      <c r="O262" s="21">
        <f t="shared" si="49"/>
        <v>1</v>
      </c>
      <c r="P262" s="2806" t="str">
        <f>Sheet3!E242</f>
        <v>中区</v>
      </c>
      <c r="Q262" s="21">
        <f t="shared" si="50"/>
        <v>1</v>
      </c>
      <c r="R262" s="663">
        <f t="shared" ca="1" si="51"/>
        <v>34639</v>
      </c>
      <c r="S262" s="316">
        <f t="shared" ca="1" si="52"/>
        <v>311</v>
      </c>
    </row>
    <row r="263" spans="1:19">
      <c r="A263" s="665" t="str">
        <f>Sheet3!C243</f>
        <v>3-2-502</v>
      </c>
      <c r="B263" s="665">
        <f>Sheet3!D243</f>
        <v>89.82</v>
      </c>
      <c r="C263" s="21">
        <f t="shared" si="43"/>
        <v>1</v>
      </c>
      <c r="D263" s="667" t="str">
        <f>Sheet3!F243</f>
        <v>小高层</v>
      </c>
      <c r="E263" s="21">
        <f t="shared" si="44"/>
        <v>1</v>
      </c>
      <c r="F263" s="667"/>
      <c r="G263" s="21">
        <f t="shared" si="45"/>
        <v>1</v>
      </c>
      <c r="H263" s="667"/>
      <c r="I263" s="21">
        <f t="shared" si="46"/>
        <v>1</v>
      </c>
      <c r="J263" s="667"/>
      <c r="K263" s="21">
        <f t="shared" si="47"/>
        <v>1</v>
      </c>
      <c r="L263" s="667"/>
      <c r="M263" s="21">
        <f t="shared" si="48"/>
        <v>1</v>
      </c>
      <c r="N263" s="667"/>
      <c r="O263" s="21">
        <f t="shared" si="49"/>
        <v>1</v>
      </c>
      <c r="P263" s="2806" t="str">
        <f>Sheet3!E243</f>
        <v>中区</v>
      </c>
      <c r="Q263" s="21">
        <f t="shared" si="50"/>
        <v>1</v>
      </c>
      <c r="R263" s="663">
        <f t="shared" ca="1" si="51"/>
        <v>34639</v>
      </c>
      <c r="S263" s="316">
        <f t="shared" ca="1" si="52"/>
        <v>311</v>
      </c>
    </row>
    <row r="264" spans="1:19">
      <c r="A264" s="665" t="str">
        <f>Sheet3!C244</f>
        <v>3-2-601</v>
      </c>
      <c r="B264" s="665">
        <f>Sheet3!D244</f>
        <v>89.82</v>
      </c>
      <c r="C264" s="21">
        <f t="shared" si="43"/>
        <v>1</v>
      </c>
      <c r="D264" s="2806" t="str">
        <f>Sheet3!F244</f>
        <v>小高层</v>
      </c>
      <c r="E264" s="21">
        <f t="shared" si="44"/>
        <v>1</v>
      </c>
      <c r="F264" s="667"/>
      <c r="G264" s="21">
        <f t="shared" si="45"/>
        <v>1</v>
      </c>
      <c r="H264" s="667"/>
      <c r="I264" s="21">
        <f t="shared" si="46"/>
        <v>1</v>
      </c>
      <c r="J264" s="667"/>
      <c r="K264" s="21">
        <f t="shared" si="47"/>
        <v>1</v>
      </c>
      <c r="L264" s="667"/>
      <c r="M264" s="21">
        <f t="shared" si="48"/>
        <v>1</v>
      </c>
      <c r="N264" s="667"/>
      <c r="O264" s="21">
        <f t="shared" si="49"/>
        <v>1</v>
      </c>
      <c r="P264" s="2806" t="str">
        <f>Sheet3!E244</f>
        <v>中区</v>
      </c>
      <c r="Q264" s="21">
        <f t="shared" si="50"/>
        <v>1</v>
      </c>
      <c r="R264" s="663">
        <f t="shared" ca="1" si="51"/>
        <v>34639</v>
      </c>
      <c r="S264" s="316">
        <f t="shared" ca="1" si="52"/>
        <v>311</v>
      </c>
    </row>
    <row r="265" spans="1:19">
      <c r="A265" s="665" t="str">
        <f>Sheet3!C245</f>
        <v>3-2-602</v>
      </c>
      <c r="B265" s="665">
        <f>Sheet3!D245</f>
        <v>89.82</v>
      </c>
      <c r="C265" s="21">
        <f t="shared" si="43"/>
        <v>1</v>
      </c>
      <c r="D265" s="667" t="str">
        <f>Sheet3!F245</f>
        <v>小高层</v>
      </c>
      <c r="E265" s="21">
        <f t="shared" si="44"/>
        <v>1</v>
      </c>
      <c r="F265" s="667"/>
      <c r="G265" s="21">
        <f t="shared" si="45"/>
        <v>1</v>
      </c>
      <c r="H265" s="667"/>
      <c r="I265" s="21">
        <f t="shared" si="46"/>
        <v>1</v>
      </c>
      <c r="J265" s="667"/>
      <c r="K265" s="21">
        <f t="shared" si="47"/>
        <v>1</v>
      </c>
      <c r="L265" s="667"/>
      <c r="M265" s="21">
        <f t="shared" si="48"/>
        <v>1</v>
      </c>
      <c r="N265" s="667"/>
      <c r="O265" s="21">
        <f t="shared" si="49"/>
        <v>1</v>
      </c>
      <c r="P265" s="2806" t="str">
        <f>Sheet3!E245</f>
        <v>中区</v>
      </c>
      <c r="Q265" s="21">
        <f t="shared" si="50"/>
        <v>1</v>
      </c>
      <c r="R265" s="663">
        <f t="shared" ca="1" si="51"/>
        <v>34639</v>
      </c>
      <c r="S265" s="316">
        <f t="shared" ca="1" si="52"/>
        <v>311</v>
      </c>
    </row>
    <row r="266" spans="1:19">
      <c r="A266" s="665" t="str">
        <f>Sheet3!C246</f>
        <v>3-2-701</v>
      </c>
      <c r="B266" s="665">
        <f>Sheet3!D246</f>
        <v>89.82</v>
      </c>
      <c r="C266" s="21">
        <f t="shared" si="43"/>
        <v>1</v>
      </c>
      <c r="D266" s="2806" t="str">
        <f>Sheet3!F246</f>
        <v>小高层</v>
      </c>
      <c r="E266" s="21">
        <f t="shared" si="44"/>
        <v>1</v>
      </c>
      <c r="F266" s="667"/>
      <c r="G266" s="21">
        <f t="shared" si="45"/>
        <v>1</v>
      </c>
      <c r="H266" s="667"/>
      <c r="I266" s="21">
        <f t="shared" si="46"/>
        <v>1</v>
      </c>
      <c r="J266" s="667"/>
      <c r="K266" s="21">
        <f t="shared" si="47"/>
        <v>1</v>
      </c>
      <c r="L266" s="667"/>
      <c r="M266" s="21">
        <f t="shared" si="48"/>
        <v>1</v>
      </c>
      <c r="N266" s="667"/>
      <c r="O266" s="21">
        <f t="shared" si="49"/>
        <v>1</v>
      </c>
      <c r="P266" s="2806" t="str">
        <f>Sheet3!E246</f>
        <v>中区</v>
      </c>
      <c r="Q266" s="21">
        <f t="shared" si="50"/>
        <v>1</v>
      </c>
      <c r="R266" s="663">
        <f t="shared" ca="1" si="51"/>
        <v>34639</v>
      </c>
      <c r="S266" s="316">
        <f t="shared" ca="1" si="52"/>
        <v>311</v>
      </c>
    </row>
    <row r="267" spans="1:19">
      <c r="A267" s="665" t="str">
        <f>Sheet3!C247</f>
        <v>3-2-702</v>
      </c>
      <c r="B267" s="665">
        <f>Sheet3!D247</f>
        <v>89.82</v>
      </c>
      <c r="C267" s="21">
        <f t="shared" si="43"/>
        <v>1</v>
      </c>
      <c r="D267" s="667" t="str">
        <f>Sheet3!F247</f>
        <v>小高层</v>
      </c>
      <c r="E267" s="21">
        <f t="shared" si="44"/>
        <v>1</v>
      </c>
      <c r="F267" s="667"/>
      <c r="G267" s="21">
        <f t="shared" si="45"/>
        <v>1</v>
      </c>
      <c r="H267" s="667"/>
      <c r="I267" s="21">
        <f t="shared" si="46"/>
        <v>1</v>
      </c>
      <c r="J267" s="667"/>
      <c r="K267" s="21">
        <f t="shared" si="47"/>
        <v>1</v>
      </c>
      <c r="L267" s="667"/>
      <c r="M267" s="21">
        <f t="shared" si="48"/>
        <v>1</v>
      </c>
      <c r="N267" s="667"/>
      <c r="O267" s="21">
        <f t="shared" si="49"/>
        <v>1</v>
      </c>
      <c r="P267" s="2806" t="str">
        <f>Sheet3!E247</f>
        <v>中区</v>
      </c>
      <c r="Q267" s="21">
        <f t="shared" si="50"/>
        <v>1</v>
      </c>
      <c r="R267" s="663">
        <f t="shared" ca="1" si="51"/>
        <v>34639</v>
      </c>
      <c r="S267" s="316">
        <f t="shared" ca="1" si="52"/>
        <v>311</v>
      </c>
    </row>
    <row r="268" spans="1:19">
      <c r="A268" s="665" t="str">
        <f>Sheet3!C248</f>
        <v>3-2-801</v>
      </c>
      <c r="B268" s="665">
        <f>Sheet3!D248</f>
        <v>89.82</v>
      </c>
      <c r="C268" s="21">
        <f t="shared" si="43"/>
        <v>1</v>
      </c>
      <c r="D268" s="2806" t="str">
        <f>Sheet3!F248</f>
        <v>小高层</v>
      </c>
      <c r="E268" s="21">
        <f t="shared" si="44"/>
        <v>1</v>
      </c>
      <c r="F268" s="667"/>
      <c r="G268" s="21">
        <f t="shared" si="45"/>
        <v>1</v>
      </c>
      <c r="H268" s="667"/>
      <c r="I268" s="21">
        <f t="shared" si="46"/>
        <v>1</v>
      </c>
      <c r="J268" s="667"/>
      <c r="K268" s="21">
        <f t="shared" si="47"/>
        <v>1</v>
      </c>
      <c r="L268" s="667"/>
      <c r="M268" s="21">
        <f t="shared" si="48"/>
        <v>1</v>
      </c>
      <c r="N268" s="667"/>
      <c r="O268" s="21">
        <f t="shared" si="49"/>
        <v>1</v>
      </c>
      <c r="P268" s="2806" t="str">
        <f>Sheet3!E248</f>
        <v>高区</v>
      </c>
      <c r="Q268" s="21">
        <f t="shared" si="50"/>
        <v>1.02</v>
      </c>
      <c r="R268" s="663">
        <f t="shared" ca="1" si="51"/>
        <v>35332</v>
      </c>
      <c r="S268" s="316">
        <f t="shared" ca="1" si="52"/>
        <v>317</v>
      </c>
    </row>
    <row r="269" spans="1:19">
      <c r="A269" s="665" t="str">
        <f>Sheet3!C249</f>
        <v>3-2-802</v>
      </c>
      <c r="B269" s="665">
        <f>Sheet3!D249</f>
        <v>89.82</v>
      </c>
      <c r="C269" s="21">
        <f t="shared" si="43"/>
        <v>1</v>
      </c>
      <c r="D269" s="667" t="str">
        <f>Sheet3!F249</f>
        <v>小高层</v>
      </c>
      <c r="E269" s="21">
        <f t="shared" si="44"/>
        <v>1</v>
      </c>
      <c r="F269" s="667"/>
      <c r="G269" s="21">
        <f t="shared" si="45"/>
        <v>1</v>
      </c>
      <c r="H269" s="667"/>
      <c r="I269" s="21">
        <f t="shared" si="46"/>
        <v>1</v>
      </c>
      <c r="J269" s="667"/>
      <c r="K269" s="21">
        <f t="shared" si="47"/>
        <v>1</v>
      </c>
      <c r="L269" s="667"/>
      <c r="M269" s="21">
        <f t="shared" si="48"/>
        <v>1</v>
      </c>
      <c r="N269" s="667"/>
      <c r="O269" s="21">
        <f t="shared" si="49"/>
        <v>1</v>
      </c>
      <c r="P269" s="2806" t="str">
        <f>Sheet3!E249</f>
        <v>高区</v>
      </c>
      <c r="Q269" s="21">
        <f t="shared" si="50"/>
        <v>1.02</v>
      </c>
      <c r="R269" s="663">
        <f t="shared" ca="1" si="51"/>
        <v>35332</v>
      </c>
      <c r="S269" s="316">
        <f t="shared" ca="1" si="52"/>
        <v>317</v>
      </c>
    </row>
    <row r="270" spans="1:19">
      <c r="A270" s="665" t="str">
        <f>Sheet3!C250</f>
        <v>3-2-901</v>
      </c>
      <c r="B270" s="665">
        <f>Sheet3!D250</f>
        <v>89.82</v>
      </c>
      <c r="C270" s="21">
        <f t="shared" si="43"/>
        <v>1</v>
      </c>
      <c r="D270" s="2806" t="str">
        <f>Sheet3!F250</f>
        <v>小高层</v>
      </c>
      <c r="E270" s="21">
        <f t="shared" si="44"/>
        <v>1</v>
      </c>
      <c r="F270" s="667"/>
      <c r="G270" s="21">
        <f t="shared" si="45"/>
        <v>1</v>
      </c>
      <c r="H270" s="667"/>
      <c r="I270" s="21">
        <f t="shared" si="46"/>
        <v>1</v>
      </c>
      <c r="J270" s="667"/>
      <c r="K270" s="21">
        <f t="shared" si="47"/>
        <v>1</v>
      </c>
      <c r="L270" s="667"/>
      <c r="M270" s="21">
        <f t="shared" si="48"/>
        <v>1</v>
      </c>
      <c r="N270" s="667"/>
      <c r="O270" s="21">
        <f t="shared" si="49"/>
        <v>1</v>
      </c>
      <c r="P270" s="2806" t="str">
        <f>Sheet3!E250</f>
        <v>高区</v>
      </c>
      <c r="Q270" s="21">
        <f t="shared" si="50"/>
        <v>1.02</v>
      </c>
      <c r="R270" s="663">
        <f t="shared" ca="1" si="51"/>
        <v>35332</v>
      </c>
      <c r="S270" s="316">
        <f t="shared" ca="1" si="52"/>
        <v>317</v>
      </c>
    </row>
    <row r="271" spans="1:19">
      <c r="A271" s="665" t="str">
        <f>Sheet3!C251</f>
        <v>3-2-902</v>
      </c>
      <c r="B271" s="665">
        <f>Sheet3!D251</f>
        <v>89.82</v>
      </c>
      <c r="C271" s="21">
        <f t="shared" si="43"/>
        <v>1</v>
      </c>
      <c r="D271" s="667" t="str">
        <f>Sheet3!F251</f>
        <v>小高层</v>
      </c>
      <c r="E271" s="21">
        <f t="shared" si="44"/>
        <v>1</v>
      </c>
      <c r="F271" s="667"/>
      <c r="G271" s="21">
        <f t="shared" si="45"/>
        <v>1</v>
      </c>
      <c r="H271" s="667"/>
      <c r="I271" s="21">
        <f t="shared" si="46"/>
        <v>1</v>
      </c>
      <c r="J271" s="667"/>
      <c r="K271" s="21">
        <f t="shared" si="47"/>
        <v>1</v>
      </c>
      <c r="L271" s="667"/>
      <c r="M271" s="21">
        <f t="shared" si="48"/>
        <v>1</v>
      </c>
      <c r="N271" s="667"/>
      <c r="O271" s="21">
        <f t="shared" si="49"/>
        <v>1</v>
      </c>
      <c r="P271" s="2806" t="str">
        <f>Sheet3!E251</f>
        <v>高区</v>
      </c>
      <c r="Q271" s="21">
        <f t="shared" si="50"/>
        <v>1.02</v>
      </c>
      <c r="R271" s="663">
        <f t="shared" ca="1" si="51"/>
        <v>35332</v>
      </c>
      <c r="S271" s="316">
        <f t="shared" ca="1" si="52"/>
        <v>317</v>
      </c>
    </row>
    <row r="272" spans="1:19">
      <c r="A272" s="665" t="str">
        <f>Sheet3!C252</f>
        <v>3-2-1001</v>
      </c>
      <c r="B272" s="665">
        <f>Sheet3!D252</f>
        <v>89.82</v>
      </c>
      <c r="C272" s="21">
        <f t="shared" si="43"/>
        <v>1</v>
      </c>
      <c r="D272" s="2806" t="str">
        <f>Sheet3!F252</f>
        <v>小高层</v>
      </c>
      <c r="E272" s="21">
        <f t="shared" si="44"/>
        <v>1</v>
      </c>
      <c r="F272" s="667"/>
      <c r="G272" s="21">
        <f t="shared" si="45"/>
        <v>1</v>
      </c>
      <c r="H272" s="667"/>
      <c r="I272" s="21">
        <f t="shared" si="46"/>
        <v>1</v>
      </c>
      <c r="J272" s="667"/>
      <c r="K272" s="21">
        <f t="shared" si="47"/>
        <v>1</v>
      </c>
      <c r="L272" s="667"/>
      <c r="M272" s="21">
        <f t="shared" si="48"/>
        <v>1</v>
      </c>
      <c r="N272" s="667"/>
      <c r="O272" s="21">
        <f t="shared" si="49"/>
        <v>1</v>
      </c>
      <c r="P272" s="2806" t="str">
        <f>Sheet3!E252</f>
        <v>高区</v>
      </c>
      <c r="Q272" s="21">
        <f t="shared" si="50"/>
        <v>1.02</v>
      </c>
      <c r="R272" s="663">
        <f t="shared" ca="1" si="51"/>
        <v>35332</v>
      </c>
      <c r="S272" s="316">
        <f t="shared" ca="1" si="52"/>
        <v>317</v>
      </c>
    </row>
    <row r="273" spans="1:19">
      <c r="A273" s="665" t="str">
        <f>Sheet3!C253</f>
        <v>3-2-1002</v>
      </c>
      <c r="B273" s="665">
        <f>Sheet3!D253</f>
        <v>89.82</v>
      </c>
      <c r="C273" s="21">
        <f t="shared" si="43"/>
        <v>1</v>
      </c>
      <c r="D273" s="667" t="str">
        <f>Sheet3!F253</f>
        <v>小高层</v>
      </c>
      <c r="E273" s="21">
        <f t="shared" si="44"/>
        <v>1</v>
      </c>
      <c r="F273" s="667"/>
      <c r="G273" s="21">
        <f t="shared" si="45"/>
        <v>1</v>
      </c>
      <c r="H273" s="667"/>
      <c r="I273" s="21">
        <f t="shared" si="46"/>
        <v>1</v>
      </c>
      <c r="J273" s="667"/>
      <c r="K273" s="21">
        <f t="shared" si="47"/>
        <v>1</v>
      </c>
      <c r="L273" s="667"/>
      <c r="M273" s="21">
        <f t="shared" si="48"/>
        <v>1</v>
      </c>
      <c r="N273" s="667"/>
      <c r="O273" s="21">
        <f t="shared" si="49"/>
        <v>1</v>
      </c>
      <c r="P273" s="2806" t="str">
        <f>Sheet3!E253</f>
        <v>高区</v>
      </c>
      <c r="Q273" s="21">
        <f t="shared" si="50"/>
        <v>1.02</v>
      </c>
      <c r="R273" s="663">
        <f t="shared" ca="1" si="51"/>
        <v>35332</v>
      </c>
      <c r="S273" s="316">
        <f t="shared" ca="1" si="52"/>
        <v>317</v>
      </c>
    </row>
    <row r="274" spans="1:19">
      <c r="A274" s="665" t="str">
        <f>Sheet3!C254</f>
        <v>3-2-1101</v>
      </c>
      <c r="B274" s="665">
        <f>Sheet3!D254</f>
        <v>89.82</v>
      </c>
      <c r="C274" s="21">
        <f t="shared" si="43"/>
        <v>1</v>
      </c>
      <c r="D274" s="2806" t="str">
        <f>Sheet3!F254</f>
        <v>小高层</v>
      </c>
      <c r="E274" s="21">
        <f t="shared" si="44"/>
        <v>1</v>
      </c>
      <c r="F274" s="667"/>
      <c r="G274" s="21">
        <f t="shared" si="45"/>
        <v>1</v>
      </c>
      <c r="H274" s="667"/>
      <c r="I274" s="21">
        <f t="shared" si="46"/>
        <v>1</v>
      </c>
      <c r="J274" s="667"/>
      <c r="K274" s="21">
        <f t="shared" si="47"/>
        <v>1</v>
      </c>
      <c r="L274" s="667"/>
      <c r="M274" s="21">
        <f t="shared" si="48"/>
        <v>1</v>
      </c>
      <c r="N274" s="667"/>
      <c r="O274" s="21">
        <f t="shared" si="49"/>
        <v>1</v>
      </c>
      <c r="P274" s="2806" t="str">
        <f>Sheet3!E254</f>
        <v>高区</v>
      </c>
      <c r="Q274" s="21">
        <f t="shared" si="50"/>
        <v>1.02</v>
      </c>
      <c r="R274" s="663">
        <f t="shared" ca="1" si="51"/>
        <v>35332</v>
      </c>
      <c r="S274" s="316">
        <f t="shared" ca="1" si="52"/>
        <v>317</v>
      </c>
    </row>
    <row r="275" spans="1:19">
      <c r="A275" s="665" t="str">
        <f>Sheet3!C255</f>
        <v>3-2-1102</v>
      </c>
      <c r="B275" s="665">
        <f>Sheet3!D255</f>
        <v>89.82</v>
      </c>
      <c r="C275" s="21">
        <f t="shared" si="43"/>
        <v>1</v>
      </c>
      <c r="D275" s="667" t="str">
        <f>Sheet3!F255</f>
        <v>小高层</v>
      </c>
      <c r="E275" s="21">
        <f t="shared" si="44"/>
        <v>1</v>
      </c>
      <c r="F275" s="667"/>
      <c r="G275" s="21">
        <f t="shared" si="45"/>
        <v>1</v>
      </c>
      <c r="H275" s="667"/>
      <c r="I275" s="21">
        <f t="shared" si="46"/>
        <v>1</v>
      </c>
      <c r="J275" s="667"/>
      <c r="K275" s="21">
        <f t="shared" si="47"/>
        <v>1</v>
      </c>
      <c r="L275" s="667"/>
      <c r="M275" s="21">
        <f t="shared" si="48"/>
        <v>1</v>
      </c>
      <c r="N275" s="667"/>
      <c r="O275" s="21">
        <f t="shared" si="49"/>
        <v>1</v>
      </c>
      <c r="P275" s="2806" t="str">
        <f>Sheet3!E255</f>
        <v>高区</v>
      </c>
      <c r="Q275" s="21">
        <f t="shared" si="50"/>
        <v>1.02</v>
      </c>
      <c r="R275" s="663">
        <f t="shared" ca="1" si="51"/>
        <v>35332</v>
      </c>
      <c r="S275" s="316">
        <f t="shared" ca="1" si="52"/>
        <v>317</v>
      </c>
    </row>
    <row r="276" spans="1:19">
      <c r="A276" s="665" t="str">
        <f>Sheet3!C256</f>
        <v>3-3-101</v>
      </c>
      <c r="B276" s="665">
        <f>Sheet3!D256</f>
        <v>73.41</v>
      </c>
      <c r="C276" s="21">
        <f t="shared" si="43"/>
        <v>1</v>
      </c>
      <c r="D276" s="2806" t="str">
        <f>Sheet3!F256</f>
        <v>小高层</v>
      </c>
      <c r="E276" s="21">
        <f t="shared" si="44"/>
        <v>1</v>
      </c>
      <c r="F276" s="667"/>
      <c r="G276" s="21">
        <f t="shared" si="45"/>
        <v>1</v>
      </c>
      <c r="H276" s="667"/>
      <c r="I276" s="21">
        <f t="shared" si="46"/>
        <v>1</v>
      </c>
      <c r="J276" s="667"/>
      <c r="K276" s="21">
        <f t="shared" si="47"/>
        <v>1</v>
      </c>
      <c r="L276" s="667"/>
      <c r="M276" s="21">
        <f t="shared" si="48"/>
        <v>1</v>
      </c>
      <c r="N276" s="667"/>
      <c r="O276" s="21">
        <f t="shared" si="49"/>
        <v>1</v>
      </c>
      <c r="P276" s="2806" t="str">
        <f>Sheet3!E256</f>
        <v>低区</v>
      </c>
      <c r="Q276" s="21">
        <f t="shared" si="50"/>
        <v>0.98</v>
      </c>
      <c r="R276" s="663">
        <f t="shared" ca="1" si="51"/>
        <v>33946</v>
      </c>
      <c r="S276" s="316">
        <f t="shared" ca="1" si="52"/>
        <v>249</v>
      </c>
    </row>
    <row r="277" spans="1:19">
      <c r="A277" s="665" t="str">
        <f>Sheet3!C257</f>
        <v>3-3-102</v>
      </c>
      <c r="B277" s="665">
        <f>Sheet3!D257</f>
        <v>89.82</v>
      </c>
      <c r="C277" s="21">
        <f t="shared" si="43"/>
        <v>1</v>
      </c>
      <c r="D277" s="667" t="str">
        <f>Sheet3!F257</f>
        <v>小高层</v>
      </c>
      <c r="E277" s="21">
        <f t="shared" si="44"/>
        <v>1</v>
      </c>
      <c r="F277" s="667"/>
      <c r="G277" s="21">
        <f t="shared" si="45"/>
        <v>1</v>
      </c>
      <c r="H277" s="667"/>
      <c r="I277" s="21">
        <f t="shared" si="46"/>
        <v>1</v>
      </c>
      <c r="J277" s="667"/>
      <c r="K277" s="21">
        <f t="shared" si="47"/>
        <v>1</v>
      </c>
      <c r="L277" s="667"/>
      <c r="M277" s="21">
        <f t="shared" si="48"/>
        <v>1</v>
      </c>
      <c r="N277" s="667"/>
      <c r="O277" s="21">
        <f t="shared" si="49"/>
        <v>1</v>
      </c>
      <c r="P277" s="2806" t="str">
        <f>Sheet3!E257</f>
        <v>低区</v>
      </c>
      <c r="Q277" s="21">
        <f t="shared" si="50"/>
        <v>0.98</v>
      </c>
      <c r="R277" s="663">
        <f t="shared" ca="1" si="51"/>
        <v>33946</v>
      </c>
      <c r="S277" s="316">
        <f t="shared" ca="1" si="52"/>
        <v>305</v>
      </c>
    </row>
    <row r="278" spans="1:19">
      <c r="A278" s="665" t="str">
        <f>Sheet3!C258</f>
        <v>3-3-201</v>
      </c>
      <c r="B278" s="665">
        <f>Sheet3!D258</f>
        <v>89.82</v>
      </c>
      <c r="C278" s="21">
        <f t="shared" si="43"/>
        <v>1</v>
      </c>
      <c r="D278" s="2806" t="str">
        <f>Sheet3!F258</f>
        <v>小高层</v>
      </c>
      <c r="E278" s="21">
        <f t="shared" si="44"/>
        <v>1</v>
      </c>
      <c r="F278" s="667"/>
      <c r="G278" s="21">
        <f t="shared" si="45"/>
        <v>1</v>
      </c>
      <c r="H278" s="667"/>
      <c r="I278" s="21">
        <f t="shared" si="46"/>
        <v>1</v>
      </c>
      <c r="J278" s="667"/>
      <c r="K278" s="21">
        <f t="shared" si="47"/>
        <v>1</v>
      </c>
      <c r="L278" s="667"/>
      <c r="M278" s="21">
        <f t="shared" si="48"/>
        <v>1</v>
      </c>
      <c r="N278" s="667"/>
      <c r="O278" s="21">
        <f t="shared" si="49"/>
        <v>1</v>
      </c>
      <c r="P278" s="2806" t="str">
        <f>Sheet3!E258</f>
        <v>低区</v>
      </c>
      <c r="Q278" s="21">
        <f t="shared" si="50"/>
        <v>0.98</v>
      </c>
      <c r="R278" s="663">
        <f t="shared" ca="1" si="51"/>
        <v>33946</v>
      </c>
      <c r="S278" s="316">
        <f t="shared" ca="1" si="52"/>
        <v>305</v>
      </c>
    </row>
    <row r="279" spans="1:19">
      <c r="A279" s="665" t="str">
        <f>Sheet3!C259</f>
        <v>3-3-202</v>
      </c>
      <c r="B279" s="665">
        <f>Sheet3!D259</f>
        <v>89.82</v>
      </c>
      <c r="C279" s="21">
        <f t="shared" si="43"/>
        <v>1</v>
      </c>
      <c r="D279" s="667" t="str">
        <f>Sheet3!F259</f>
        <v>小高层</v>
      </c>
      <c r="E279" s="21">
        <f t="shared" si="44"/>
        <v>1</v>
      </c>
      <c r="F279" s="667"/>
      <c r="G279" s="21">
        <f t="shared" si="45"/>
        <v>1</v>
      </c>
      <c r="H279" s="667"/>
      <c r="I279" s="21">
        <f t="shared" si="46"/>
        <v>1</v>
      </c>
      <c r="J279" s="667"/>
      <c r="K279" s="21">
        <f t="shared" si="47"/>
        <v>1</v>
      </c>
      <c r="L279" s="667"/>
      <c r="M279" s="21">
        <f t="shared" si="48"/>
        <v>1</v>
      </c>
      <c r="N279" s="667"/>
      <c r="O279" s="21">
        <f t="shared" si="49"/>
        <v>1</v>
      </c>
      <c r="P279" s="2806" t="str">
        <f>Sheet3!E259</f>
        <v>低区</v>
      </c>
      <c r="Q279" s="21">
        <f t="shared" si="50"/>
        <v>0.98</v>
      </c>
      <c r="R279" s="663">
        <f t="shared" ca="1" si="51"/>
        <v>33946</v>
      </c>
      <c r="S279" s="316">
        <f t="shared" ca="1" si="52"/>
        <v>305</v>
      </c>
    </row>
    <row r="280" spans="1:19">
      <c r="A280" s="665" t="str">
        <f>Sheet3!C260</f>
        <v>3-3-301</v>
      </c>
      <c r="B280" s="665">
        <f>Sheet3!D260</f>
        <v>89.82</v>
      </c>
      <c r="C280" s="21">
        <f t="shared" si="43"/>
        <v>1</v>
      </c>
      <c r="D280" s="2806" t="str">
        <f>Sheet3!F260</f>
        <v>小高层</v>
      </c>
      <c r="E280" s="21">
        <f t="shared" si="44"/>
        <v>1</v>
      </c>
      <c r="F280" s="667"/>
      <c r="G280" s="21">
        <f t="shared" si="45"/>
        <v>1</v>
      </c>
      <c r="H280" s="667"/>
      <c r="I280" s="21">
        <f t="shared" si="46"/>
        <v>1</v>
      </c>
      <c r="J280" s="667"/>
      <c r="K280" s="21">
        <f t="shared" si="47"/>
        <v>1</v>
      </c>
      <c r="L280" s="667"/>
      <c r="M280" s="21">
        <f t="shared" si="48"/>
        <v>1</v>
      </c>
      <c r="N280" s="667"/>
      <c r="O280" s="21">
        <f t="shared" si="49"/>
        <v>1</v>
      </c>
      <c r="P280" s="2806" t="str">
        <f>Sheet3!E260</f>
        <v>低区</v>
      </c>
      <c r="Q280" s="21">
        <f t="shared" si="50"/>
        <v>0.98</v>
      </c>
      <c r="R280" s="663">
        <f t="shared" ca="1" si="51"/>
        <v>33946</v>
      </c>
      <c r="S280" s="316">
        <f t="shared" ca="1" si="52"/>
        <v>305</v>
      </c>
    </row>
    <row r="281" spans="1:19">
      <c r="A281" s="665" t="str">
        <f>Sheet3!C261</f>
        <v>3-3-302</v>
      </c>
      <c r="B281" s="665">
        <f>Sheet3!D261</f>
        <v>89.82</v>
      </c>
      <c r="C281" s="21">
        <f t="shared" si="43"/>
        <v>1</v>
      </c>
      <c r="D281" s="667" t="str">
        <f>Sheet3!F261</f>
        <v>小高层</v>
      </c>
      <c r="E281" s="21">
        <f t="shared" si="44"/>
        <v>1</v>
      </c>
      <c r="F281" s="667"/>
      <c r="G281" s="21">
        <f t="shared" si="45"/>
        <v>1</v>
      </c>
      <c r="H281" s="667"/>
      <c r="I281" s="21">
        <f t="shared" si="46"/>
        <v>1</v>
      </c>
      <c r="J281" s="667"/>
      <c r="K281" s="21">
        <f t="shared" si="47"/>
        <v>1</v>
      </c>
      <c r="L281" s="667"/>
      <c r="M281" s="21">
        <f t="shared" si="48"/>
        <v>1</v>
      </c>
      <c r="N281" s="667"/>
      <c r="O281" s="21">
        <f t="shared" si="49"/>
        <v>1</v>
      </c>
      <c r="P281" s="2806" t="str">
        <f>Sheet3!E261</f>
        <v>低区</v>
      </c>
      <c r="Q281" s="21">
        <f t="shared" si="50"/>
        <v>0.98</v>
      </c>
      <c r="R281" s="663">
        <f t="shared" ca="1" si="51"/>
        <v>33946</v>
      </c>
      <c r="S281" s="316">
        <f t="shared" ca="1" si="52"/>
        <v>305</v>
      </c>
    </row>
    <row r="282" spans="1:19">
      <c r="A282" s="665" t="str">
        <f>Sheet3!C262</f>
        <v>3-3-401</v>
      </c>
      <c r="B282" s="665">
        <f>Sheet3!D262</f>
        <v>89.82</v>
      </c>
      <c r="C282" s="21">
        <f t="shared" ref="C282:C345" si="53">IF(B282="",1,(LOOKUP(B282,$3:$3,$4:$4)-LOOKUP($B$24,$3:$3,$4:$4)+100)/100)</f>
        <v>1</v>
      </c>
      <c r="D282" s="2806" t="str">
        <f>Sheet3!F262</f>
        <v>小高层</v>
      </c>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2806" t="str">
        <f>Sheet3!E262</f>
        <v>中区</v>
      </c>
      <c r="Q282" s="21">
        <f t="shared" ref="Q282:Q345" si="60">(SUMIF($17:$17,P282,$18:$18)-SUMIF($17:$17,$P$24,$18:$18)+100)/100</f>
        <v>1</v>
      </c>
      <c r="R282" s="663">
        <f t="shared" ref="R282:R345" ca="1" si="61">IF(B282="",0,ROUND($R$24*C282*E282*G282*I282*K282*M282*O282*Q282,0))</f>
        <v>34639</v>
      </c>
      <c r="S282" s="316">
        <f t="shared" ca="1" si="52"/>
        <v>311</v>
      </c>
    </row>
    <row r="283" spans="1:19">
      <c r="A283" s="665" t="str">
        <f>Sheet3!C263</f>
        <v>3-3-402</v>
      </c>
      <c r="B283" s="665">
        <f>Sheet3!D263</f>
        <v>89.82</v>
      </c>
      <c r="C283" s="21">
        <f t="shared" si="53"/>
        <v>1</v>
      </c>
      <c r="D283" s="667" t="str">
        <f>Sheet3!F263</f>
        <v>小高层</v>
      </c>
      <c r="E283" s="21">
        <f t="shared" si="54"/>
        <v>1</v>
      </c>
      <c r="F283" s="667"/>
      <c r="G283" s="21">
        <f t="shared" si="55"/>
        <v>1</v>
      </c>
      <c r="H283" s="667"/>
      <c r="I283" s="21">
        <f t="shared" si="56"/>
        <v>1</v>
      </c>
      <c r="J283" s="667"/>
      <c r="K283" s="21">
        <f t="shared" si="57"/>
        <v>1</v>
      </c>
      <c r="L283" s="667"/>
      <c r="M283" s="21">
        <f t="shared" si="58"/>
        <v>1</v>
      </c>
      <c r="N283" s="667"/>
      <c r="O283" s="21">
        <f t="shared" si="59"/>
        <v>1</v>
      </c>
      <c r="P283" s="2806" t="str">
        <f>Sheet3!E263</f>
        <v>中区</v>
      </c>
      <c r="Q283" s="21">
        <f t="shared" si="60"/>
        <v>1</v>
      </c>
      <c r="R283" s="663">
        <f t="shared" ca="1" si="61"/>
        <v>34639</v>
      </c>
      <c r="S283" s="316">
        <f t="shared" ca="1" si="52"/>
        <v>311</v>
      </c>
    </row>
    <row r="284" spans="1:19">
      <c r="A284" s="665" t="str">
        <f>Sheet3!C264</f>
        <v>3-3-501</v>
      </c>
      <c r="B284" s="665">
        <f>Sheet3!D264</f>
        <v>89.82</v>
      </c>
      <c r="C284" s="21">
        <f t="shared" si="53"/>
        <v>1</v>
      </c>
      <c r="D284" s="2806" t="str">
        <f>Sheet3!F264</f>
        <v>小高层</v>
      </c>
      <c r="E284" s="21">
        <f t="shared" si="54"/>
        <v>1</v>
      </c>
      <c r="F284" s="667"/>
      <c r="G284" s="21">
        <f t="shared" si="55"/>
        <v>1</v>
      </c>
      <c r="H284" s="667"/>
      <c r="I284" s="21">
        <f t="shared" si="56"/>
        <v>1</v>
      </c>
      <c r="J284" s="667"/>
      <c r="K284" s="21">
        <f t="shared" si="57"/>
        <v>1</v>
      </c>
      <c r="L284" s="667"/>
      <c r="M284" s="21">
        <f t="shared" si="58"/>
        <v>1</v>
      </c>
      <c r="N284" s="667"/>
      <c r="O284" s="21">
        <f t="shared" si="59"/>
        <v>1</v>
      </c>
      <c r="P284" s="2806" t="str">
        <f>Sheet3!E264</f>
        <v>中区</v>
      </c>
      <c r="Q284" s="21">
        <f t="shared" si="60"/>
        <v>1</v>
      </c>
      <c r="R284" s="663">
        <f t="shared" ca="1" si="61"/>
        <v>34639</v>
      </c>
      <c r="S284" s="316">
        <f t="shared" ca="1" si="52"/>
        <v>311</v>
      </c>
    </row>
    <row r="285" spans="1:19">
      <c r="A285" s="665" t="str">
        <f>Sheet3!C265</f>
        <v>3-3-502</v>
      </c>
      <c r="B285" s="665">
        <f>Sheet3!D265</f>
        <v>89.82</v>
      </c>
      <c r="C285" s="21">
        <f t="shared" si="53"/>
        <v>1</v>
      </c>
      <c r="D285" s="667" t="str">
        <f>Sheet3!F265</f>
        <v>小高层</v>
      </c>
      <c r="E285" s="21">
        <f t="shared" si="54"/>
        <v>1</v>
      </c>
      <c r="F285" s="667"/>
      <c r="G285" s="21">
        <f t="shared" si="55"/>
        <v>1</v>
      </c>
      <c r="H285" s="667"/>
      <c r="I285" s="21">
        <f t="shared" si="56"/>
        <v>1</v>
      </c>
      <c r="J285" s="667"/>
      <c r="K285" s="21">
        <f t="shared" si="57"/>
        <v>1</v>
      </c>
      <c r="L285" s="667"/>
      <c r="M285" s="21">
        <f t="shared" si="58"/>
        <v>1</v>
      </c>
      <c r="N285" s="667"/>
      <c r="O285" s="21">
        <f t="shared" si="59"/>
        <v>1</v>
      </c>
      <c r="P285" s="2806" t="str">
        <f>Sheet3!E265</f>
        <v>中区</v>
      </c>
      <c r="Q285" s="21">
        <f t="shared" si="60"/>
        <v>1</v>
      </c>
      <c r="R285" s="663">
        <f t="shared" ca="1" si="61"/>
        <v>34639</v>
      </c>
      <c r="S285" s="316">
        <f t="shared" ca="1" si="52"/>
        <v>311</v>
      </c>
    </row>
    <row r="286" spans="1:19">
      <c r="A286" s="665" t="str">
        <f>Sheet3!C266</f>
        <v>3-3-601</v>
      </c>
      <c r="B286" s="665">
        <f>Sheet3!D266</f>
        <v>89.82</v>
      </c>
      <c r="C286" s="21">
        <f t="shared" si="53"/>
        <v>1</v>
      </c>
      <c r="D286" s="2806" t="str">
        <f>Sheet3!F266</f>
        <v>小高层</v>
      </c>
      <c r="E286" s="21">
        <f t="shared" si="54"/>
        <v>1</v>
      </c>
      <c r="F286" s="667"/>
      <c r="G286" s="21">
        <f t="shared" si="55"/>
        <v>1</v>
      </c>
      <c r="H286" s="667"/>
      <c r="I286" s="21">
        <f t="shared" si="56"/>
        <v>1</v>
      </c>
      <c r="J286" s="667"/>
      <c r="K286" s="21">
        <f t="shared" si="57"/>
        <v>1</v>
      </c>
      <c r="L286" s="667"/>
      <c r="M286" s="21">
        <f t="shared" si="58"/>
        <v>1</v>
      </c>
      <c r="N286" s="667"/>
      <c r="O286" s="21">
        <f t="shared" si="59"/>
        <v>1</v>
      </c>
      <c r="P286" s="2806" t="str">
        <f>Sheet3!E266</f>
        <v>中区</v>
      </c>
      <c r="Q286" s="21">
        <f t="shared" si="60"/>
        <v>1</v>
      </c>
      <c r="R286" s="663">
        <f t="shared" ca="1" si="61"/>
        <v>34639</v>
      </c>
      <c r="S286" s="316">
        <f t="shared" ca="1" si="52"/>
        <v>311</v>
      </c>
    </row>
    <row r="287" spans="1:19">
      <c r="A287" s="665" t="str">
        <f>Sheet3!C267</f>
        <v>3-3-602</v>
      </c>
      <c r="B287" s="665">
        <f>Sheet3!D267</f>
        <v>89.82</v>
      </c>
      <c r="C287" s="21">
        <f t="shared" si="53"/>
        <v>1</v>
      </c>
      <c r="D287" s="667" t="str">
        <f>Sheet3!F267</f>
        <v>小高层</v>
      </c>
      <c r="E287" s="21">
        <f t="shared" si="54"/>
        <v>1</v>
      </c>
      <c r="F287" s="667"/>
      <c r="G287" s="21">
        <f t="shared" si="55"/>
        <v>1</v>
      </c>
      <c r="H287" s="667"/>
      <c r="I287" s="21">
        <f t="shared" si="56"/>
        <v>1</v>
      </c>
      <c r="J287" s="667"/>
      <c r="K287" s="21">
        <f t="shared" si="57"/>
        <v>1</v>
      </c>
      <c r="L287" s="667"/>
      <c r="M287" s="21">
        <f t="shared" si="58"/>
        <v>1</v>
      </c>
      <c r="N287" s="667"/>
      <c r="O287" s="21">
        <f t="shared" si="59"/>
        <v>1</v>
      </c>
      <c r="P287" s="2806" t="str">
        <f>Sheet3!E267</f>
        <v>中区</v>
      </c>
      <c r="Q287" s="21">
        <f t="shared" si="60"/>
        <v>1</v>
      </c>
      <c r="R287" s="663">
        <f t="shared" ca="1" si="61"/>
        <v>34639</v>
      </c>
      <c r="S287" s="316">
        <f t="shared" ref="S287:S320" ca="1" si="62">ROUND(R287*B287/10000,0)</f>
        <v>311</v>
      </c>
    </row>
    <row r="288" spans="1:19">
      <c r="A288" s="665" t="str">
        <f>Sheet3!C268</f>
        <v>3-3-701</v>
      </c>
      <c r="B288" s="665">
        <f>Sheet3!D268</f>
        <v>89.82</v>
      </c>
      <c r="C288" s="21">
        <f t="shared" si="53"/>
        <v>1</v>
      </c>
      <c r="D288" s="2806" t="str">
        <f>Sheet3!F268</f>
        <v>小高层</v>
      </c>
      <c r="E288" s="21">
        <f t="shared" si="54"/>
        <v>1</v>
      </c>
      <c r="F288" s="667"/>
      <c r="G288" s="21">
        <f t="shared" si="55"/>
        <v>1</v>
      </c>
      <c r="H288" s="667"/>
      <c r="I288" s="21">
        <f t="shared" si="56"/>
        <v>1</v>
      </c>
      <c r="J288" s="667"/>
      <c r="K288" s="21">
        <f t="shared" si="57"/>
        <v>1</v>
      </c>
      <c r="L288" s="667"/>
      <c r="M288" s="21">
        <f t="shared" si="58"/>
        <v>1</v>
      </c>
      <c r="N288" s="667"/>
      <c r="O288" s="21">
        <f t="shared" si="59"/>
        <v>1</v>
      </c>
      <c r="P288" s="2806" t="str">
        <f>Sheet3!E268</f>
        <v>中区</v>
      </c>
      <c r="Q288" s="21">
        <f t="shared" si="60"/>
        <v>1</v>
      </c>
      <c r="R288" s="663">
        <f t="shared" ca="1" si="61"/>
        <v>34639</v>
      </c>
      <c r="S288" s="316">
        <f t="shared" ca="1" si="62"/>
        <v>311</v>
      </c>
    </row>
    <row r="289" spans="1:19">
      <c r="A289" s="665" t="str">
        <f>Sheet3!C269</f>
        <v>3-3-702</v>
      </c>
      <c r="B289" s="665">
        <f>Sheet3!D269</f>
        <v>89.82</v>
      </c>
      <c r="C289" s="21">
        <f t="shared" si="53"/>
        <v>1</v>
      </c>
      <c r="D289" s="667" t="str">
        <f>Sheet3!F269</f>
        <v>小高层</v>
      </c>
      <c r="E289" s="21">
        <f t="shared" si="54"/>
        <v>1</v>
      </c>
      <c r="F289" s="667"/>
      <c r="G289" s="21">
        <f t="shared" si="55"/>
        <v>1</v>
      </c>
      <c r="H289" s="667"/>
      <c r="I289" s="21">
        <f t="shared" si="56"/>
        <v>1</v>
      </c>
      <c r="J289" s="667"/>
      <c r="K289" s="21">
        <f t="shared" si="57"/>
        <v>1</v>
      </c>
      <c r="L289" s="667"/>
      <c r="M289" s="21">
        <f t="shared" si="58"/>
        <v>1</v>
      </c>
      <c r="N289" s="667"/>
      <c r="O289" s="21">
        <f t="shared" si="59"/>
        <v>1</v>
      </c>
      <c r="P289" s="2806" t="str">
        <f>Sheet3!E269</f>
        <v>中区</v>
      </c>
      <c r="Q289" s="21">
        <f t="shared" si="60"/>
        <v>1</v>
      </c>
      <c r="R289" s="663">
        <f t="shared" ca="1" si="61"/>
        <v>34639</v>
      </c>
      <c r="S289" s="316">
        <f t="shared" ca="1" si="62"/>
        <v>311</v>
      </c>
    </row>
    <row r="290" spans="1:19">
      <c r="A290" s="665" t="str">
        <f>Sheet3!C270</f>
        <v>3-3-801</v>
      </c>
      <c r="B290" s="665">
        <f>Sheet3!D270</f>
        <v>89.82</v>
      </c>
      <c r="C290" s="21">
        <f t="shared" si="53"/>
        <v>1</v>
      </c>
      <c r="D290" s="2806" t="str">
        <f>Sheet3!F270</f>
        <v>小高层</v>
      </c>
      <c r="E290" s="21">
        <f t="shared" si="54"/>
        <v>1</v>
      </c>
      <c r="F290" s="667"/>
      <c r="G290" s="21">
        <f t="shared" si="55"/>
        <v>1</v>
      </c>
      <c r="H290" s="667"/>
      <c r="I290" s="21">
        <f t="shared" si="56"/>
        <v>1</v>
      </c>
      <c r="J290" s="667"/>
      <c r="K290" s="21">
        <f t="shared" si="57"/>
        <v>1</v>
      </c>
      <c r="L290" s="667"/>
      <c r="M290" s="21">
        <f t="shared" si="58"/>
        <v>1</v>
      </c>
      <c r="N290" s="667"/>
      <c r="O290" s="21">
        <f t="shared" si="59"/>
        <v>1</v>
      </c>
      <c r="P290" s="2806" t="str">
        <f>Sheet3!E270</f>
        <v>高区</v>
      </c>
      <c r="Q290" s="21">
        <f t="shared" si="60"/>
        <v>1.02</v>
      </c>
      <c r="R290" s="663">
        <f t="shared" ca="1" si="61"/>
        <v>35332</v>
      </c>
      <c r="S290" s="316">
        <f t="shared" ca="1" si="62"/>
        <v>317</v>
      </c>
    </row>
    <row r="291" spans="1:19">
      <c r="A291" s="665" t="str">
        <f>Sheet3!C271</f>
        <v>3-3-802</v>
      </c>
      <c r="B291" s="665">
        <f>Sheet3!D271</f>
        <v>89.82</v>
      </c>
      <c r="C291" s="21">
        <f t="shared" si="53"/>
        <v>1</v>
      </c>
      <c r="D291" s="667" t="str">
        <f>Sheet3!F271</f>
        <v>小高层</v>
      </c>
      <c r="E291" s="21">
        <f t="shared" si="54"/>
        <v>1</v>
      </c>
      <c r="F291" s="667"/>
      <c r="G291" s="21">
        <f t="shared" si="55"/>
        <v>1</v>
      </c>
      <c r="H291" s="667"/>
      <c r="I291" s="21">
        <f t="shared" si="56"/>
        <v>1</v>
      </c>
      <c r="J291" s="667"/>
      <c r="K291" s="21">
        <f t="shared" si="57"/>
        <v>1</v>
      </c>
      <c r="L291" s="667"/>
      <c r="M291" s="21">
        <f t="shared" si="58"/>
        <v>1</v>
      </c>
      <c r="N291" s="667"/>
      <c r="O291" s="21">
        <f t="shared" si="59"/>
        <v>1</v>
      </c>
      <c r="P291" s="2806" t="str">
        <f>Sheet3!E271</f>
        <v>高区</v>
      </c>
      <c r="Q291" s="21">
        <f t="shared" si="60"/>
        <v>1.02</v>
      </c>
      <c r="R291" s="663">
        <f t="shared" ca="1" si="61"/>
        <v>35332</v>
      </c>
      <c r="S291" s="316">
        <f t="shared" ca="1" si="62"/>
        <v>317</v>
      </c>
    </row>
    <row r="292" spans="1:19">
      <c r="A292" s="665" t="str">
        <f>Sheet3!C272</f>
        <v>3-3-901</v>
      </c>
      <c r="B292" s="665">
        <f>Sheet3!D272</f>
        <v>89.82</v>
      </c>
      <c r="C292" s="21">
        <f t="shared" si="53"/>
        <v>1</v>
      </c>
      <c r="D292" s="2806" t="str">
        <f>Sheet3!F272</f>
        <v>小高层</v>
      </c>
      <c r="E292" s="21">
        <f t="shared" si="54"/>
        <v>1</v>
      </c>
      <c r="F292" s="667"/>
      <c r="G292" s="21">
        <f t="shared" si="55"/>
        <v>1</v>
      </c>
      <c r="H292" s="667"/>
      <c r="I292" s="21">
        <f t="shared" si="56"/>
        <v>1</v>
      </c>
      <c r="J292" s="667"/>
      <c r="K292" s="21">
        <f t="shared" si="57"/>
        <v>1</v>
      </c>
      <c r="L292" s="667"/>
      <c r="M292" s="21">
        <f t="shared" si="58"/>
        <v>1</v>
      </c>
      <c r="N292" s="667"/>
      <c r="O292" s="21">
        <f t="shared" si="59"/>
        <v>1</v>
      </c>
      <c r="P292" s="2806" t="str">
        <f>Sheet3!E272</f>
        <v>高区</v>
      </c>
      <c r="Q292" s="21">
        <f t="shared" si="60"/>
        <v>1.02</v>
      </c>
      <c r="R292" s="663">
        <f t="shared" ca="1" si="61"/>
        <v>35332</v>
      </c>
      <c r="S292" s="316">
        <f t="shared" ca="1" si="62"/>
        <v>317</v>
      </c>
    </row>
    <row r="293" spans="1:19">
      <c r="A293" s="665" t="str">
        <f>Sheet3!C273</f>
        <v>3-3-902</v>
      </c>
      <c r="B293" s="665">
        <f>Sheet3!D273</f>
        <v>89.82</v>
      </c>
      <c r="C293" s="21">
        <f t="shared" si="53"/>
        <v>1</v>
      </c>
      <c r="D293" s="667" t="str">
        <f>Sheet3!F273</f>
        <v>小高层</v>
      </c>
      <c r="E293" s="21">
        <f t="shared" si="54"/>
        <v>1</v>
      </c>
      <c r="F293" s="667"/>
      <c r="G293" s="21">
        <f t="shared" si="55"/>
        <v>1</v>
      </c>
      <c r="H293" s="667"/>
      <c r="I293" s="21">
        <f t="shared" si="56"/>
        <v>1</v>
      </c>
      <c r="J293" s="667"/>
      <c r="K293" s="21">
        <f t="shared" si="57"/>
        <v>1</v>
      </c>
      <c r="L293" s="667"/>
      <c r="M293" s="21">
        <f t="shared" si="58"/>
        <v>1</v>
      </c>
      <c r="N293" s="667"/>
      <c r="O293" s="21">
        <f t="shared" si="59"/>
        <v>1</v>
      </c>
      <c r="P293" s="2806" t="str">
        <f>Sheet3!E273</f>
        <v>高区</v>
      </c>
      <c r="Q293" s="21">
        <f t="shared" si="60"/>
        <v>1.02</v>
      </c>
      <c r="R293" s="663">
        <f t="shared" ca="1" si="61"/>
        <v>35332</v>
      </c>
      <c r="S293" s="316">
        <f t="shared" ca="1" si="62"/>
        <v>317</v>
      </c>
    </row>
    <row r="294" spans="1:19">
      <c r="A294" s="665" t="str">
        <f>Sheet3!C274</f>
        <v>3-3-1001</v>
      </c>
      <c r="B294" s="665">
        <f>Sheet3!D274</f>
        <v>89.82</v>
      </c>
      <c r="C294" s="21">
        <f t="shared" si="53"/>
        <v>1</v>
      </c>
      <c r="D294" s="2806" t="str">
        <f>Sheet3!F274</f>
        <v>小高层</v>
      </c>
      <c r="E294" s="21">
        <f t="shared" si="54"/>
        <v>1</v>
      </c>
      <c r="F294" s="667"/>
      <c r="G294" s="21">
        <f t="shared" si="55"/>
        <v>1</v>
      </c>
      <c r="H294" s="667"/>
      <c r="I294" s="21">
        <f t="shared" si="56"/>
        <v>1</v>
      </c>
      <c r="J294" s="667"/>
      <c r="K294" s="21">
        <f t="shared" si="57"/>
        <v>1</v>
      </c>
      <c r="L294" s="667"/>
      <c r="M294" s="21">
        <f t="shared" si="58"/>
        <v>1</v>
      </c>
      <c r="N294" s="667"/>
      <c r="O294" s="21">
        <f t="shared" si="59"/>
        <v>1</v>
      </c>
      <c r="P294" s="2806" t="str">
        <f>Sheet3!E274</f>
        <v>高区</v>
      </c>
      <c r="Q294" s="21">
        <f t="shared" si="60"/>
        <v>1.02</v>
      </c>
      <c r="R294" s="663">
        <f t="shared" ca="1" si="61"/>
        <v>35332</v>
      </c>
      <c r="S294" s="316">
        <f t="shared" ca="1" si="62"/>
        <v>317</v>
      </c>
    </row>
    <row r="295" spans="1:19">
      <c r="A295" s="665" t="str">
        <f>Sheet3!C275</f>
        <v>3-3-1002</v>
      </c>
      <c r="B295" s="665">
        <f>Sheet3!D275</f>
        <v>89.82</v>
      </c>
      <c r="C295" s="21">
        <f t="shared" si="53"/>
        <v>1</v>
      </c>
      <c r="D295" s="667" t="str">
        <f>Sheet3!F275</f>
        <v>小高层</v>
      </c>
      <c r="E295" s="21">
        <f t="shared" si="54"/>
        <v>1</v>
      </c>
      <c r="F295" s="667"/>
      <c r="G295" s="21">
        <f t="shared" si="55"/>
        <v>1</v>
      </c>
      <c r="H295" s="667"/>
      <c r="I295" s="21">
        <f t="shared" si="56"/>
        <v>1</v>
      </c>
      <c r="J295" s="667"/>
      <c r="K295" s="21">
        <f t="shared" si="57"/>
        <v>1</v>
      </c>
      <c r="L295" s="667"/>
      <c r="M295" s="21">
        <f t="shared" si="58"/>
        <v>1</v>
      </c>
      <c r="N295" s="667"/>
      <c r="O295" s="21">
        <f t="shared" si="59"/>
        <v>1</v>
      </c>
      <c r="P295" s="2806" t="str">
        <f>Sheet3!E275</f>
        <v>高区</v>
      </c>
      <c r="Q295" s="21">
        <f t="shared" si="60"/>
        <v>1.02</v>
      </c>
      <c r="R295" s="663">
        <f t="shared" ca="1" si="61"/>
        <v>35332</v>
      </c>
      <c r="S295" s="316">
        <f t="shared" ca="1" si="62"/>
        <v>317</v>
      </c>
    </row>
    <row r="296" spans="1:19">
      <c r="A296" s="665" t="str">
        <f>Sheet3!C276</f>
        <v>3-3-1101</v>
      </c>
      <c r="B296" s="665">
        <f>Sheet3!D276</f>
        <v>89.82</v>
      </c>
      <c r="C296" s="21">
        <f t="shared" si="53"/>
        <v>1</v>
      </c>
      <c r="D296" s="2806" t="str">
        <f>Sheet3!F276</f>
        <v>小高层</v>
      </c>
      <c r="E296" s="21">
        <f t="shared" si="54"/>
        <v>1</v>
      </c>
      <c r="F296" s="667"/>
      <c r="G296" s="21">
        <f t="shared" si="55"/>
        <v>1</v>
      </c>
      <c r="H296" s="667"/>
      <c r="I296" s="21">
        <f t="shared" si="56"/>
        <v>1</v>
      </c>
      <c r="J296" s="667"/>
      <c r="K296" s="21">
        <f t="shared" si="57"/>
        <v>1</v>
      </c>
      <c r="L296" s="667"/>
      <c r="M296" s="21">
        <f t="shared" si="58"/>
        <v>1</v>
      </c>
      <c r="N296" s="667"/>
      <c r="O296" s="21">
        <f t="shared" si="59"/>
        <v>1</v>
      </c>
      <c r="P296" s="2806" t="str">
        <f>Sheet3!E276</f>
        <v>高区</v>
      </c>
      <c r="Q296" s="21">
        <f t="shared" si="60"/>
        <v>1.02</v>
      </c>
      <c r="R296" s="663">
        <f t="shared" ca="1" si="61"/>
        <v>35332</v>
      </c>
      <c r="S296" s="316">
        <f t="shared" ca="1" si="62"/>
        <v>317</v>
      </c>
    </row>
    <row r="297" spans="1:19">
      <c r="A297" s="665" t="str">
        <f>Sheet3!C277</f>
        <v>3-3-1102</v>
      </c>
      <c r="B297" s="665">
        <f>Sheet3!D277</f>
        <v>89.82</v>
      </c>
      <c r="C297" s="21">
        <f t="shared" si="53"/>
        <v>1</v>
      </c>
      <c r="D297" s="667" t="str">
        <f>Sheet3!F277</f>
        <v>小高层</v>
      </c>
      <c r="E297" s="21">
        <f t="shared" si="54"/>
        <v>1</v>
      </c>
      <c r="F297" s="667"/>
      <c r="G297" s="21">
        <f t="shared" si="55"/>
        <v>1</v>
      </c>
      <c r="H297" s="667"/>
      <c r="I297" s="21">
        <f t="shared" si="56"/>
        <v>1</v>
      </c>
      <c r="J297" s="667"/>
      <c r="K297" s="21">
        <f t="shared" si="57"/>
        <v>1</v>
      </c>
      <c r="L297" s="667"/>
      <c r="M297" s="21">
        <f t="shared" si="58"/>
        <v>1</v>
      </c>
      <c r="N297" s="667"/>
      <c r="O297" s="21">
        <f t="shared" si="59"/>
        <v>1</v>
      </c>
      <c r="P297" s="2806" t="str">
        <f>Sheet3!E277</f>
        <v>高区</v>
      </c>
      <c r="Q297" s="21">
        <f t="shared" si="60"/>
        <v>1.02</v>
      </c>
      <c r="R297" s="663">
        <f t="shared" ca="1" si="61"/>
        <v>35332</v>
      </c>
      <c r="S297" s="316">
        <f t="shared" ca="1" si="62"/>
        <v>317</v>
      </c>
    </row>
    <row r="298" spans="1:19">
      <c r="A298" s="665" t="str">
        <f>Sheet3!C278</f>
        <v>3-4-101</v>
      </c>
      <c r="B298" s="665">
        <f>Sheet3!D278</f>
        <v>73.41</v>
      </c>
      <c r="C298" s="21">
        <f t="shared" si="53"/>
        <v>1</v>
      </c>
      <c r="D298" s="2806" t="str">
        <f>Sheet3!F278</f>
        <v>小高层</v>
      </c>
      <c r="E298" s="21">
        <f t="shared" si="54"/>
        <v>1</v>
      </c>
      <c r="F298" s="667"/>
      <c r="G298" s="21">
        <f t="shared" si="55"/>
        <v>1</v>
      </c>
      <c r="H298" s="667"/>
      <c r="I298" s="21">
        <f t="shared" si="56"/>
        <v>1</v>
      </c>
      <c r="J298" s="667"/>
      <c r="K298" s="21">
        <f t="shared" si="57"/>
        <v>1</v>
      </c>
      <c r="L298" s="667"/>
      <c r="M298" s="21">
        <f t="shared" si="58"/>
        <v>1</v>
      </c>
      <c r="N298" s="667"/>
      <c r="O298" s="21">
        <f t="shared" si="59"/>
        <v>1</v>
      </c>
      <c r="P298" s="2806" t="str">
        <f>Sheet3!E278</f>
        <v>低区</v>
      </c>
      <c r="Q298" s="21">
        <f t="shared" si="60"/>
        <v>0.98</v>
      </c>
      <c r="R298" s="663">
        <f t="shared" ca="1" si="61"/>
        <v>33946</v>
      </c>
      <c r="S298" s="316">
        <f t="shared" ca="1" si="62"/>
        <v>249</v>
      </c>
    </row>
    <row r="299" spans="1:19">
      <c r="A299" s="665" t="str">
        <f>Sheet3!C279</f>
        <v>3-4-102</v>
      </c>
      <c r="B299" s="665">
        <f>Sheet3!D279</f>
        <v>174.31</v>
      </c>
      <c r="C299" s="21">
        <f t="shared" si="53"/>
        <v>0.98</v>
      </c>
      <c r="D299" s="667" t="str">
        <f>Sheet3!F279</f>
        <v>小高层</v>
      </c>
      <c r="E299" s="21">
        <f t="shared" si="54"/>
        <v>1</v>
      </c>
      <c r="F299" s="667"/>
      <c r="G299" s="21">
        <f t="shared" si="55"/>
        <v>1</v>
      </c>
      <c r="H299" s="667"/>
      <c r="I299" s="21">
        <f t="shared" si="56"/>
        <v>1</v>
      </c>
      <c r="J299" s="667"/>
      <c r="K299" s="21">
        <f t="shared" si="57"/>
        <v>1</v>
      </c>
      <c r="L299" s="667"/>
      <c r="M299" s="21">
        <f t="shared" si="58"/>
        <v>1</v>
      </c>
      <c r="N299" s="667"/>
      <c r="O299" s="21">
        <f t="shared" si="59"/>
        <v>1</v>
      </c>
      <c r="P299" s="2806" t="str">
        <f>Sheet3!E279</f>
        <v>低区</v>
      </c>
      <c r="Q299" s="21">
        <f t="shared" si="60"/>
        <v>0.98</v>
      </c>
      <c r="R299" s="663">
        <f t="shared" ca="1" si="61"/>
        <v>33267</v>
      </c>
      <c r="S299" s="316">
        <f t="shared" ca="1" si="62"/>
        <v>580</v>
      </c>
    </row>
    <row r="300" spans="1:19">
      <c r="A300" s="665" t="str">
        <f>Sheet3!C280</f>
        <v>3-4-201</v>
      </c>
      <c r="B300" s="665">
        <f>Sheet3!D280</f>
        <v>89.82</v>
      </c>
      <c r="C300" s="21">
        <f t="shared" si="53"/>
        <v>1</v>
      </c>
      <c r="D300" s="2806" t="str">
        <f>Sheet3!F280</f>
        <v>小高层</v>
      </c>
      <c r="E300" s="21">
        <f t="shared" si="54"/>
        <v>1</v>
      </c>
      <c r="F300" s="667"/>
      <c r="G300" s="21">
        <f t="shared" si="55"/>
        <v>1</v>
      </c>
      <c r="H300" s="667"/>
      <c r="I300" s="21">
        <f t="shared" si="56"/>
        <v>1</v>
      </c>
      <c r="J300" s="667"/>
      <c r="K300" s="21">
        <f t="shared" si="57"/>
        <v>1</v>
      </c>
      <c r="L300" s="667"/>
      <c r="M300" s="21">
        <f t="shared" si="58"/>
        <v>1</v>
      </c>
      <c r="N300" s="667"/>
      <c r="O300" s="21">
        <f t="shared" si="59"/>
        <v>1</v>
      </c>
      <c r="P300" s="2806" t="str">
        <f>Sheet3!E280</f>
        <v>低区</v>
      </c>
      <c r="Q300" s="21">
        <f t="shared" si="60"/>
        <v>0.98</v>
      </c>
      <c r="R300" s="663">
        <f t="shared" ca="1" si="61"/>
        <v>33946</v>
      </c>
      <c r="S300" s="316">
        <f t="shared" ca="1" si="62"/>
        <v>305</v>
      </c>
    </row>
    <row r="301" spans="1:19">
      <c r="A301" s="665" t="str">
        <f>Sheet3!C281</f>
        <v>3-4-301</v>
      </c>
      <c r="B301" s="665">
        <f>Sheet3!D281</f>
        <v>89.82</v>
      </c>
      <c r="C301" s="21">
        <f t="shared" si="53"/>
        <v>1</v>
      </c>
      <c r="D301" s="667" t="str">
        <f>Sheet3!F281</f>
        <v>小高层</v>
      </c>
      <c r="E301" s="21">
        <f t="shared" si="54"/>
        <v>1</v>
      </c>
      <c r="F301" s="667"/>
      <c r="G301" s="21">
        <f t="shared" si="55"/>
        <v>1</v>
      </c>
      <c r="H301" s="667"/>
      <c r="I301" s="21">
        <f t="shared" si="56"/>
        <v>1</v>
      </c>
      <c r="J301" s="667"/>
      <c r="K301" s="21">
        <f t="shared" si="57"/>
        <v>1</v>
      </c>
      <c r="L301" s="667"/>
      <c r="M301" s="21">
        <f t="shared" si="58"/>
        <v>1</v>
      </c>
      <c r="N301" s="667"/>
      <c r="O301" s="21">
        <f t="shared" si="59"/>
        <v>1</v>
      </c>
      <c r="P301" s="2806" t="str">
        <f>Sheet3!E281</f>
        <v>低区</v>
      </c>
      <c r="Q301" s="21">
        <f t="shared" si="60"/>
        <v>0.98</v>
      </c>
      <c r="R301" s="663">
        <f t="shared" ca="1" si="61"/>
        <v>33946</v>
      </c>
      <c r="S301" s="316">
        <f t="shared" ca="1" si="62"/>
        <v>305</v>
      </c>
    </row>
    <row r="302" spans="1:19">
      <c r="A302" s="665" t="str">
        <f>Sheet3!C282</f>
        <v>3-4-302</v>
      </c>
      <c r="B302" s="665">
        <f>Sheet3!D282</f>
        <v>87.15</v>
      </c>
      <c r="C302" s="21">
        <f t="shared" si="53"/>
        <v>1</v>
      </c>
      <c r="D302" s="2806" t="str">
        <f>Sheet3!F282</f>
        <v>小高层</v>
      </c>
      <c r="E302" s="21">
        <f t="shared" si="54"/>
        <v>1</v>
      </c>
      <c r="F302" s="667"/>
      <c r="G302" s="21">
        <f t="shared" si="55"/>
        <v>1</v>
      </c>
      <c r="H302" s="667"/>
      <c r="I302" s="21">
        <f t="shared" si="56"/>
        <v>1</v>
      </c>
      <c r="J302" s="667"/>
      <c r="K302" s="21">
        <f t="shared" si="57"/>
        <v>1</v>
      </c>
      <c r="L302" s="667"/>
      <c r="M302" s="21">
        <f t="shared" si="58"/>
        <v>1</v>
      </c>
      <c r="N302" s="667"/>
      <c r="O302" s="21">
        <f t="shared" si="59"/>
        <v>1</v>
      </c>
      <c r="P302" s="2806" t="str">
        <f>Sheet3!E282</f>
        <v>低区</v>
      </c>
      <c r="Q302" s="21">
        <f t="shared" si="60"/>
        <v>0.98</v>
      </c>
      <c r="R302" s="663">
        <f t="shared" ca="1" si="61"/>
        <v>33946</v>
      </c>
      <c r="S302" s="316">
        <f t="shared" ca="1" si="62"/>
        <v>296</v>
      </c>
    </row>
    <row r="303" spans="1:19">
      <c r="A303" s="665" t="str">
        <f>Sheet3!C283</f>
        <v>3-4-401</v>
      </c>
      <c r="B303" s="665">
        <f>Sheet3!D283</f>
        <v>89.82</v>
      </c>
      <c r="C303" s="21">
        <f t="shared" si="53"/>
        <v>1</v>
      </c>
      <c r="D303" s="667" t="str">
        <f>Sheet3!F283</f>
        <v>小高层</v>
      </c>
      <c r="E303" s="21">
        <f t="shared" si="54"/>
        <v>1</v>
      </c>
      <c r="F303" s="667"/>
      <c r="G303" s="21">
        <f t="shared" si="55"/>
        <v>1</v>
      </c>
      <c r="H303" s="667"/>
      <c r="I303" s="21">
        <f t="shared" si="56"/>
        <v>1</v>
      </c>
      <c r="J303" s="667"/>
      <c r="K303" s="21">
        <f t="shared" si="57"/>
        <v>1</v>
      </c>
      <c r="L303" s="667"/>
      <c r="M303" s="21">
        <f t="shared" si="58"/>
        <v>1</v>
      </c>
      <c r="N303" s="667"/>
      <c r="O303" s="21">
        <f t="shared" si="59"/>
        <v>1</v>
      </c>
      <c r="P303" s="2806" t="str">
        <f>Sheet3!E283</f>
        <v>中区</v>
      </c>
      <c r="Q303" s="21">
        <f t="shared" si="60"/>
        <v>1</v>
      </c>
      <c r="R303" s="663">
        <f t="shared" ca="1" si="61"/>
        <v>34639</v>
      </c>
      <c r="S303" s="316">
        <f t="shared" ca="1" si="62"/>
        <v>311</v>
      </c>
    </row>
    <row r="304" spans="1:19">
      <c r="A304" s="665" t="str">
        <f>Sheet3!C284</f>
        <v>3-4-402</v>
      </c>
      <c r="B304" s="665">
        <f>Sheet3!D284</f>
        <v>87.15</v>
      </c>
      <c r="C304" s="21">
        <f t="shared" si="53"/>
        <v>1</v>
      </c>
      <c r="D304" s="2806" t="str">
        <f>Sheet3!F284</f>
        <v>小高层</v>
      </c>
      <c r="E304" s="21">
        <f t="shared" si="54"/>
        <v>1</v>
      </c>
      <c r="F304" s="667"/>
      <c r="G304" s="21">
        <f t="shared" si="55"/>
        <v>1</v>
      </c>
      <c r="H304" s="667"/>
      <c r="I304" s="21">
        <f t="shared" si="56"/>
        <v>1</v>
      </c>
      <c r="J304" s="667"/>
      <c r="K304" s="21">
        <f t="shared" si="57"/>
        <v>1</v>
      </c>
      <c r="L304" s="667"/>
      <c r="M304" s="21">
        <f t="shared" si="58"/>
        <v>1</v>
      </c>
      <c r="N304" s="667"/>
      <c r="O304" s="21">
        <f t="shared" si="59"/>
        <v>1</v>
      </c>
      <c r="P304" s="2806" t="str">
        <f>Sheet3!E284</f>
        <v>中区</v>
      </c>
      <c r="Q304" s="21">
        <f t="shared" si="60"/>
        <v>1</v>
      </c>
      <c r="R304" s="663">
        <f t="shared" ca="1" si="61"/>
        <v>34639</v>
      </c>
      <c r="S304" s="316">
        <f t="shared" ca="1" si="62"/>
        <v>302</v>
      </c>
    </row>
    <row r="305" spans="1:19">
      <c r="A305" s="665" t="str">
        <f>Sheet3!C285</f>
        <v>3-4-501</v>
      </c>
      <c r="B305" s="665">
        <f>Sheet3!D285</f>
        <v>89.82</v>
      </c>
      <c r="C305" s="21">
        <f t="shared" si="53"/>
        <v>1</v>
      </c>
      <c r="D305" s="667" t="str">
        <f>Sheet3!F285</f>
        <v>小高层</v>
      </c>
      <c r="E305" s="21">
        <f t="shared" si="54"/>
        <v>1</v>
      </c>
      <c r="F305" s="667"/>
      <c r="G305" s="21">
        <f t="shared" si="55"/>
        <v>1</v>
      </c>
      <c r="H305" s="667"/>
      <c r="I305" s="21">
        <f t="shared" si="56"/>
        <v>1</v>
      </c>
      <c r="J305" s="667"/>
      <c r="K305" s="21">
        <f t="shared" si="57"/>
        <v>1</v>
      </c>
      <c r="L305" s="667"/>
      <c r="M305" s="21">
        <f t="shared" si="58"/>
        <v>1</v>
      </c>
      <c r="N305" s="667"/>
      <c r="O305" s="21">
        <f t="shared" si="59"/>
        <v>1</v>
      </c>
      <c r="P305" s="2806" t="str">
        <f>Sheet3!E285</f>
        <v>中区</v>
      </c>
      <c r="Q305" s="21">
        <f t="shared" si="60"/>
        <v>1</v>
      </c>
      <c r="R305" s="663">
        <f t="shared" ca="1" si="61"/>
        <v>34639</v>
      </c>
      <c r="S305" s="316">
        <f t="shared" ca="1" si="62"/>
        <v>311</v>
      </c>
    </row>
    <row r="306" spans="1:19">
      <c r="A306" s="665" t="str">
        <f>Sheet3!C286</f>
        <v>3-4-502</v>
      </c>
      <c r="B306" s="665">
        <f>Sheet3!D286</f>
        <v>87.15</v>
      </c>
      <c r="C306" s="21">
        <f t="shared" si="53"/>
        <v>1</v>
      </c>
      <c r="D306" s="2806" t="str">
        <f>Sheet3!F286</f>
        <v>小高层</v>
      </c>
      <c r="E306" s="21">
        <f t="shared" si="54"/>
        <v>1</v>
      </c>
      <c r="F306" s="667"/>
      <c r="G306" s="21">
        <f t="shared" si="55"/>
        <v>1</v>
      </c>
      <c r="H306" s="667"/>
      <c r="I306" s="21">
        <f t="shared" si="56"/>
        <v>1</v>
      </c>
      <c r="J306" s="667"/>
      <c r="K306" s="21">
        <f t="shared" si="57"/>
        <v>1</v>
      </c>
      <c r="L306" s="667"/>
      <c r="M306" s="21">
        <f t="shared" si="58"/>
        <v>1</v>
      </c>
      <c r="N306" s="667"/>
      <c r="O306" s="21">
        <f t="shared" si="59"/>
        <v>1</v>
      </c>
      <c r="P306" s="2806" t="str">
        <f>Sheet3!E286</f>
        <v>中区</v>
      </c>
      <c r="Q306" s="21">
        <f t="shared" si="60"/>
        <v>1</v>
      </c>
      <c r="R306" s="663">
        <f t="shared" ca="1" si="61"/>
        <v>34639</v>
      </c>
      <c r="S306" s="316">
        <f t="shared" ca="1" si="62"/>
        <v>302</v>
      </c>
    </row>
    <row r="307" spans="1:19">
      <c r="A307" s="665" t="str">
        <f>Sheet3!C287</f>
        <v>3-4-601</v>
      </c>
      <c r="B307" s="665">
        <f>Sheet3!D287</f>
        <v>89.82</v>
      </c>
      <c r="C307" s="21">
        <f t="shared" si="53"/>
        <v>1</v>
      </c>
      <c r="D307" s="667" t="str">
        <f>Sheet3!F287</f>
        <v>小高层</v>
      </c>
      <c r="E307" s="21">
        <f t="shared" si="54"/>
        <v>1</v>
      </c>
      <c r="F307" s="667"/>
      <c r="G307" s="21">
        <f t="shared" si="55"/>
        <v>1</v>
      </c>
      <c r="H307" s="667"/>
      <c r="I307" s="21">
        <f t="shared" si="56"/>
        <v>1</v>
      </c>
      <c r="J307" s="667"/>
      <c r="K307" s="21">
        <f t="shared" si="57"/>
        <v>1</v>
      </c>
      <c r="L307" s="667"/>
      <c r="M307" s="21">
        <f t="shared" si="58"/>
        <v>1</v>
      </c>
      <c r="N307" s="667"/>
      <c r="O307" s="21">
        <f t="shared" si="59"/>
        <v>1</v>
      </c>
      <c r="P307" s="2806" t="str">
        <f>Sheet3!E287</f>
        <v>中区</v>
      </c>
      <c r="Q307" s="21">
        <f t="shared" si="60"/>
        <v>1</v>
      </c>
      <c r="R307" s="663">
        <f t="shared" ca="1" si="61"/>
        <v>34639</v>
      </c>
      <c r="S307" s="316">
        <f t="shared" ca="1" si="62"/>
        <v>311</v>
      </c>
    </row>
    <row r="308" spans="1:19">
      <c r="A308" s="665" t="str">
        <f>Sheet3!C288</f>
        <v>3-4-602</v>
      </c>
      <c r="B308" s="665">
        <f>Sheet3!D288</f>
        <v>87.15</v>
      </c>
      <c r="C308" s="21">
        <f t="shared" si="53"/>
        <v>1</v>
      </c>
      <c r="D308" s="2806" t="str">
        <f>Sheet3!F288</f>
        <v>小高层</v>
      </c>
      <c r="E308" s="21">
        <f t="shared" si="54"/>
        <v>1</v>
      </c>
      <c r="F308" s="667"/>
      <c r="G308" s="21">
        <f t="shared" si="55"/>
        <v>1</v>
      </c>
      <c r="H308" s="667"/>
      <c r="I308" s="21">
        <f t="shared" si="56"/>
        <v>1</v>
      </c>
      <c r="J308" s="667"/>
      <c r="K308" s="21">
        <f t="shared" si="57"/>
        <v>1</v>
      </c>
      <c r="L308" s="667"/>
      <c r="M308" s="21">
        <f t="shared" si="58"/>
        <v>1</v>
      </c>
      <c r="N308" s="667"/>
      <c r="O308" s="21">
        <f t="shared" si="59"/>
        <v>1</v>
      </c>
      <c r="P308" s="2806" t="str">
        <f>Sheet3!E288</f>
        <v>中区</v>
      </c>
      <c r="Q308" s="21">
        <f t="shared" si="60"/>
        <v>1</v>
      </c>
      <c r="R308" s="663">
        <f t="shared" ca="1" si="61"/>
        <v>34639</v>
      </c>
      <c r="S308" s="316">
        <f t="shared" ca="1" si="62"/>
        <v>302</v>
      </c>
    </row>
    <row r="309" spans="1:19">
      <c r="A309" s="665" t="str">
        <f>Sheet3!C289</f>
        <v>3-4-701</v>
      </c>
      <c r="B309" s="665">
        <f>Sheet3!D289</f>
        <v>89.82</v>
      </c>
      <c r="C309" s="21">
        <f t="shared" si="53"/>
        <v>1</v>
      </c>
      <c r="D309" s="667" t="str">
        <f>Sheet3!F289</f>
        <v>小高层</v>
      </c>
      <c r="E309" s="21">
        <f t="shared" si="54"/>
        <v>1</v>
      </c>
      <c r="F309" s="667"/>
      <c r="G309" s="21">
        <f t="shared" si="55"/>
        <v>1</v>
      </c>
      <c r="H309" s="667"/>
      <c r="I309" s="21">
        <f t="shared" si="56"/>
        <v>1</v>
      </c>
      <c r="J309" s="667"/>
      <c r="K309" s="21">
        <f t="shared" si="57"/>
        <v>1</v>
      </c>
      <c r="L309" s="667"/>
      <c r="M309" s="21">
        <f t="shared" si="58"/>
        <v>1</v>
      </c>
      <c r="N309" s="667"/>
      <c r="O309" s="21">
        <f t="shared" si="59"/>
        <v>1</v>
      </c>
      <c r="P309" s="2806" t="str">
        <f>Sheet3!E289</f>
        <v>中区</v>
      </c>
      <c r="Q309" s="21">
        <f t="shared" si="60"/>
        <v>1</v>
      </c>
      <c r="R309" s="663">
        <f t="shared" ca="1" si="61"/>
        <v>34639</v>
      </c>
      <c r="S309" s="316">
        <f t="shared" ca="1" si="62"/>
        <v>311</v>
      </c>
    </row>
    <row r="310" spans="1:19">
      <c r="A310" s="665" t="str">
        <f>Sheet3!C290</f>
        <v>3-4-702</v>
      </c>
      <c r="B310" s="665">
        <f>Sheet3!D290</f>
        <v>87.15</v>
      </c>
      <c r="C310" s="21">
        <f t="shared" si="53"/>
        <v>1</v>
      </c>
      <c r="D310" s="2806" t="str">
        <f>Sheet3!F290</f>
        <v>小高层</v>
      </c>
      <c r="E310" s="21">
        <f t="shared" si="54"/>
        <v>1</v>
      </c>
      <c r="F310" s="667"/>
      <c r="G310" s="21">
        <f t="shared" si="55"/>
        <v>1</v>
      </c>
      <c r="H310" s="667"/>
      <c r="I310" s="21">
        <f t="shared" si="56"/>
        <v>1</v>
      </c>
      <c r="J310" s="667"/>
      <c r="K310" s="21">
        <f t="shared" si="57"/>
        <v>1</v>
      </c>
      <c r="L310" s="667"/>
      <c r="M310" s="21">
        <f t="shared" si="58"/>
        <v>1</v>
      </c>
      <c r="N310" s="667"/>
      <c r="O310" s="21">
        <f t="shared" si="59"/>
        <v>1</v>
      </c>
      <c r="P310" s="2806" t="str">
        <f>Sheet3!E290</f>
        <v>中区</v>
      </c>
      <c r="Q310" s="21">
        <f t="shared" si="60"/>
        <v>1</v>
      </c>
      <c r="R310" s="663">
        <f t="shared" ca="1" si="61"/>
        <v>34639</v>
      </c>
      <c r="S310" s="316">
        <f t="shared" ca="1" si="62"/>
        <v>302</v>
      </c>
    </row>
    <row r="311" spans="1:19">
      <c r="A311" s="665" t="str">
        <f>Sheet3!C291</f>
        <v>3-4-801</v>
      </c>
      <c r="B311" s="665">
        <f>Sheet3!D291</f>
        <v>89.82</v>
      </c>
      <c r="C311" s="21">
        <f t="shared" si="53"/>
        <v>1</v>
      </c>
      <c r="D311" s="667" t="str">
        <f>Sheet3!F291</f>
        <v>小高层</v>
      </c>
      <c r="E311" s="21">
        <f t="shared" si="54"/>
        <v>1</v>
      </c>
      <c r="F311" s="667"/>
      <c r="G311" s="21">
        <f t="shared" si="55"/>
        <v>1</v>
      </c>
      <c r="H311" s="667"/>
      <c r="I311" s="21">
        <f t="shared" si="56"/>
        <v>1</v>
      </c>
      <c r="J311" s="667"/>
      <c r="K311" s="21">
        <f t="shared" si="57"/>
        <v>1</v>
      </c>
      <c r="L311" s="667"/>
      <c r="M311" s="21">
        <f t="shared" si="58"/>
        <v>1</v>
      </c>
      <c r="N311" s="667"/>
      <c r="O311" s="21">
        <f t="shared" si="59"/>
        <v>1</v>
      </c>
      <c r="P311" s="2806" t="str">
        <f>Sheet3!E291</f>
        <v>高区</v>
      </c>
      <c r="Q311" s="21">
        <f t="shared" si="60"/>
        <v>1.02</v>
      </c>
      <c r="R311" s="663">
        <f t="shared" ca="1" si="61"/>
        <v>35332</v>
      </c>
      <c r="S311" s="316">
        <f t="shared" ca="1" si="62"/>
        <v>317</v>
      </c>
    </row>
    <row r="312" spans="1:19">
      <c r="A312" s="665" t="str">
        <f>Sheet3!C292</f>
        <v>3-4-802</v>
      </c>
      <c r="B312" s="665">
        <f>Sheet3!D292</f>
        <v>87.15</v>
      </c>
      <c r="C312" s="21">
        <f t="shared" si="53"/>
        <v>1</v>
      </c>
      <c r="D312" s="2806" t="str">
        <f>Sheet3!F292</f>
        <v>小高层</v>
      </c>
      <c r="E312" s="21">
        <f t="shared" si="54"/>
        <v>1</v>
      </c>
      <c r="F312" s="667"/>
      <c r="G312" s="21">
        <f t="shared" si="55"/>
        <v>1</v>
      </c>
      <c r="H312" s="667"/>
      <c r="I312" s="21">
        <f t="shared" si="56"/>
        <v>1</v>
      </c>
      <c r="J312" s="667"/>
      <c r="K312" s="21">
        <f t="shared" si="57"/>
        <v>1</v>
      </c>
      <c r="L312" s="667"/>
      <c r="M312" s="21">
        <f t="shared" si="58"/>
        <v>1</v>
      </c>
      <c r="N312" s="667"/>
      <c r="O312" s="21">
        <f t="shared" si="59"/>
        <v>1</v>
      </c>
      <c r="P312" s="2806" t="str">
        <f>Sheet3!E292</f>
        <v>高区</v>
      </c>
      <c r="Q312" s="21">
        <f t="shared" si="60"/>
        <v>1.02</v>
      </c>
      <c r="R312" s="663">
        <f t="shared" ca="1" si="61"/>
        <v>35332</v>
      </c>
      <c r="S312" s="316">
        <f t="shared" ca="1" si="62"/>
        <v>308</v>
      </c>
    </row>
    <row r="313" spans="1:19">
      <c r="A313" s="665" t="str">
        <f>Sheet3!C293</f>
        <v>3-4-901</v>
      </c>
      <c r="B313" s="665">
        <f>Sheet3!D293</f>
        <v>89.82</v>
      </c>
      <c r="C313" s="21">
        <f t="shared" si="53"/>
        <v>1</v>
      </c>
      <c r="D313" s="667" t="str">
        <f>Sheet3!F293</f>
        <v>小高层</v>
      </c>
      <c r="E313" s="21">
        <f t="shared" si="54"/>
        <v>1</v>
      </c>
      <c r="F313" s="667"/>
      <c r="G313" s="21">
        <f t="shared" si="55"/>
        <v>1</v>
      </c>
      <c r="H313" s="667"/>
      <c r="I313" s="21">
        <f t="shared" si="56"/>
        <v>1</v>
      </c>
      <c r="J313" s="667"/>
      <c r="K313" s="21">
        <f t="shared" si="57"/>
        <v>1</v>
      </c>
      <c r="L313" s="667"/>
      <c r="M313" s="21">
        <f t="shared" si="58"/>
        <v>1</v>
      </c>
      <c r="N313" s="667"/>
      <c r="O313" s="21">
        <f t="shared" si="59"/>
        <v>1</v>
      </c>
      <c r="P313" s="2806" t="str">
        <f>Sheet3!E293</f>
        <v>高区</v>
      </c>
      <c r="Q313" s="21">
        <f t="shared" si="60"/>
        <v>1.02</v>
      </c>
      <c r="R313" s="663">
        <f t="shared" ca="1" si="61"/>
        <v>35332</v>
      </c>
      <c r="S313" s="316">
        <f t="shared" ca="1" si="62"/>
        <v>317</v>
      </c>
    </row>
    <row r="314" spans="1:19">
      <c r="A314" s="665" t="str">
        <f>Sheet3!C294</f>
        <v>3-4-902</v>
      </c>
      <c r="B314" s="665">
        <f>Sheet3!D294</f>
        <v>87.15</v>
      </c>
      <c r="C314" s="21">
        <f t="shared" si="53"/>
        <v>1</v>
      </c>
      <c r="D314" s="2806" t="str">
        <f>Sheet3!F294</f>
        <v>小高层</v>
      </c>
      <c r="E314" s="21">
        <f t="shared" si="54"/>
        <v>1</v>
      </c>
      <c r="F314" s="667"/>
      <c r="G314" s="21">
        <f t="shared" si="55"/>
        <v>1</v>
      </c>
      <c r="H314" s="667"/>
      <c r="I314" s="21">
        <f t="shared" si="56"/>
        <v>1</v>
      </c>
      <c r="J314" s="667"/>
      <c r="K314" s="21">
        <f t="shared" si="57"/>
        <v>1</v>
      </c>
      <c r="L314" s="667"/>
      <c r="M314" s="21">
        <f t="shared" si="58"/>
        <v>1</v>
      </c>
      <c r="N314" s="667"/>
      <c r="O314" s="21">
        <f t="shared" si="59"/>
        <v>1</v>
      </c>
      <c r="P314" s="2806" t="str">
        <f>Sheet3!E294</f>
        <v>高区</v>
      </c>
      <c r="Q314" s="21">
        <f t="shared" si="60"/>
        <v>1.02</v>
      </c>
      <c r="R314" s="663">
        <f t="shared" ca="1" si="61"/>
        <v>35332</v>
      </c>
      <c r="S314" s="316">
        <f t="shared" ca="1" si="62"/>
        <v>308</v>
      </c>
    </row>
    <row r="315" spans="1:19">
      <c r="A315" s="665" t="str">
        <f>Sheet3!C295</f>
        <v>3-4-1001</v>
      </c>
      <c r="B315" s="665">
        <f>Sheet3!D295</f>
        <v>89.82</v>
      </c>
      <c r="C315" s="21">
        <f t="shared" si="53"/>
        <v>1</v>
      </c>
      <c r="D315" s="667" t="str">
        <f>Sheet3!F295</f>
        <v>小高层</v>
      </c>
      <c r="E315" s="21">
        <f t="shared" si="54"/>
        <v>1</v>
      </c>
      <c r="F315" s="667"/>
      <c r="G315" s="21">
        <f t="shared" si="55"/>
        <v>1</v>
      </c>
      <c r="H315" s="667"/>
      <c r="I315" s="21">
        <f t="shared" si="56"/>
        <v>1</v>
      </c>
      <c r="J315" s="667"/>
      <c r="K315" s="21">
        <f t="shared" si="57"/>
        <v>1</v>
      </c>
      <c r="L315" s="667"/>
      <c r="M315" s="21">
        <f t="shared" si="58"/>
        <v>1</v>
      </c>
      <c r="N315" s="667"/>
      <c r="O315" s="21">
        <f t="shared" si="59"/>
        <v>1</v>
      </c>
      <c r="P315" s="2806" t="str">
        <f>Sheet3!E295</f>
        <v>高区</v>
      </c>
      <c r="Q315" s="21">
        <f t="shared" si="60"/>
        <v>1.02</v>
      </c>
      <c r="R315" s="663">
        <f t="shared" ca="1" si="61"/>
        <v>35332</v>
      </c>
      <c r="S315" s="316">
        <f t="shared" ca="1" si="62"/>
        <v>317</v>
      </c>
    </row>
    <row r="316" spans="1:19">
      <c r="A316" s="665" t="str">
        <f>Sheet3!C296</f>
        <v>3-4-1002</v>
      </c>
      <c r="B316" s="665">
        <f>Sheet3!D296</f>
        <v>87.15</v>
      </c>
      <c r="C316" s="21">
        <f t="shared" si="53"/>
        <v>1</v>
      </c>
      <c r="D316" s="2806" t="str">
        <f>Sheet3!F296</f>
        <v>小高层</v>
      </c>
      <c r="E316" s="21">
        <f t="shared" si="54"/>
        <v>1</v>
      </c>
      <c r="F316" s="667"/>
      <c r="G316" s="21">
        <f t="shared" si="55"/>
        <v>1</v>
      </c>
      <c r="H316" s="667"/>
      <c r="I316" s="21">
        <f t="shared" si="56"/>
        <v>1</v>
      </c>
      <c r="J316" s="667"/>
      <c r="K316" s="21">
        <f t="shared" si="57"/>
        <v>1</v>
      </c>
      <c r="L316" s="667"/>
      <c r="M316" s="21">
        <f t="shared" si="58"/>
        <v>1</v>
      </c>
      <c r="N316" s="667"/>
      <c r="O316" s="21">
        <f t="shared" si="59"/>
        <v>1</v>
      </c>
      <c r="P316" s="2806" t="str">
        <f>Sheet3!E296</f>
        <v>高区</v>
      </c>
      <c r="Q316" s="21">
        <f t="shared" si="60"/>
        <v>1.02</v>
      </c>
      <c r="R316" s="663">
        <f t="shared" ca="1" si="61"/>
        <v>35332</v>
      </c>
      <c r="S316" s="316">
        <f t="shared" ca="1" si="62"/>
        <v>308</v>
      </c>
    </row>
    <row r="317" spans="1:19">
      <c r="A317" s="665" t="str">
        <f>Sheet3!C297</f>
        <v>3-4-1101</v>
      </c>
      <c r="B317" s="665">
        <f>Sheet3!D297</f>
        <v>89.82</v>
      </c>
      <c r="C317" s="21">
        <f t="shared" si="53"/>
        <v>1</v>
      </c>
      <c r="D317" s="667" t="str">
        <f>Sheet3!F297</f>
        <v>小高层</v>
      </c>
      <c r="E317" s="21">
        <f t="shared" si="54"/>
        <v>1</v>
      </c>
      <c r="F317" s="667"/>
      <c r="G317" s="21">
        <f t="shared" si="55"/>
        <v>1</v>
      </c>
      <c r="H317" s="667"/>
      <c r="I317" s="21">
        <f t="shared" si="56"/>
        <v>1</v>
      </c>
      <c r="J317" s="667"/>
      <c r="K317" s="21">
        <f t="shared" si="57"/>
        <v>1</v>
      </c>
      <c r="L317" s="667"/>
      <c r="M317" s="21">
        <f t="shared" si="58"/>
        <v>1</v>
      </c>
      <c r="N317" s="667"/>
      <c r="O317" s="21">
        <f t="shared" si="59"/>
        <v>1</v>
      </c>
      <c r="P317" s="2806" t="str">
        <f>Sheet3!E297</f>
        <v>高区</v>
      </c>
      <c r="Q317" s="21">
        <f t="shared" si="60"/>
        <v>1.02</v>
      </c>
      <c r="R317" s="663">
        <f t="shared" ca="1" si="61"/>
        <v>35332</v>
      </c>
      <c r="S317" s="316">
        <f t="shared" ca="1" si="62"/>
        <v>317</v>
      </c>
    </row>
    <row r="318" spans="1:19">
      <c r="A318" s="665" t="str">
        <f>Sheet3!C298</f>
        <v>3-4-1102</v>
      </c>
      <c r="B318" s="665">
        <f>Sheet3!D298</f>
        <v>87.15</v>
      </c>
      <c r="C318" s="21">
        <f t="shared" si="53"/>
        <v>1</v>
      </c>
      <c r="D318" s="2806" t="str">
        <f>Sheet3!F298</f>
        <v>小高层</v>
      </c>
      <c r="E318" s="21">
        <f t="shared" si="54"/>
        <v>1</v>
      </c>
      <c r="F318" s="667"/>
      <c r="G318" s="21">
        <f t="shared" si="55"/>
        <v>1</v>
      </c>
      <c r="H318" s="667"/>
      <c r="I318" s="21">
        <f t="shared" si="56"/>
        <v>1</v>
      </c>
      <c r="J318" s="667"/>
      <c r="K318" s="21">
        <f t="shared" si="57"/>
        <v>1</v>
      </c>
      <c r="L318" s="667"/>
      <c r="M318" s="21">
        <f t="shared" si="58"/>
        <v>1</v>
      </c>
      <c r="N318" s="667"/>
      <c r="O318" s="21">
        <f t="shared" si="59"/>
        <v>1</v>
      </c>
      <c r="P318" s="2806" t="str">
        <f>Sheet3!E298</f>
        <v>高区</v>
      </c>
      <c r="Q318" s="21">
        <f t="shared" si="60"/>
        <v>1.02</v>
      </c>
      <c r="R318" s="663">
        <f t="shared" ca="1" si="61"/>
        <v>35332</v>
      </c>
      <c r="S318" s="316">
        <f t="shared" ca="1" si="62"/>
        <v>308</v>
      </c>
    </row>
    <row r="319" spans="1:19">
      <c r="A319" s="665" t="str">
        <f>Sheet3!C299</f>
        <v>19-2-501</v>
      </c>
      <c r="B319" s="665">
        <f>Sheet3!D299</f>
        <v>76.819999999999993</v>
      </c>
      <c r="C319" s="21">
        <f t="shared" si="53"/>
        <v>1</v>
      </c>
      <c r="D319" s="667" t="str">
        <f>Sheet3!F299</f>
        <v>多层</v>
      </c>
      <c r="E319" s="21">
        <f t="shared" si="54"/>
        <v>1.02</v>
      </c>
      <c r="F319" s="667"/>
      <c r="G319" s="21">
        <f t="shared" si="55"/>
        <v>1</v>
      </c>
      <c r="H319" s="667"/>
      <c r="I319" s="21">
        <f t="shared" si="56"/>
        <v>1</v>
      </c>
      <c r="J319" s="667"/>
      <c r="K319" s="21">
        <f t="shared" si="57"/>
        <v>1</v>
      </c>
      <c r="L319" s="667"/>
      <c r="M319" s="21">
        <f t="shared" si="58"/>
        <v>1</v>
      </c>
      <c r="N319" s="667"/>
      <c r="O319" s="21">
        <f t="shared" si="59"/>
        <v>1</v>
      </c>
      <c r="P319" s="2806" t="str">
        <f>Sheet3!E299</f>
        <v>高区</v>
      </c>
      <c r="Q319" s="21">
        <f t="shared" si="60"/>
        <v>1.02</v>
      </c>
      <c r="R319" s="663">
        <f t="shared" ca="1" si="61"/>
        <v>36038</v>
      </c>
      <c r="S319" s="316">
        <f t="shared" ca="1" si="62"/>
        <v>277</v>
      </c>
    </row>
    <row r="320" spans="1:19">
      <c r="A320" s="665" t="str">
        <f>Sheet3!C300</f>
        <v>19-2-502</v>
      </c>
      <c r="B320" s="665">
        <f>Sheet3!D300</f>
        <v>76.819999999999993</v>
      </c>
      <c r="C320" s="21">
        <f t="shared" si="53"/>
        <v>1</v>
      </c>
      <c r="D320" s="2806" t="str">
        <f>Sheet3!F300</f>
        <v>多层</v>
      </c>
      <c r="E320" s="21">
        <f t="shared" si="54"/>
        <v>1.02</v>
      </c>
      <c r="F320" s="667"/>
      <c r="G320" s="21">
        <f t="shared" si="55"/>
        <v>1</v>
      </c>
      <c r="H320" s="667"/>
      <c r="I320" s="21">
        <f t="shared" si="56"/>
        <v>1</v>
      </c>
      <c r="J320" s="667"/>
      <c r="K320" s="21">
        <f t="shared" si="57"/>
        <v>1</v>
      </c>
      <c r="L320" s="667"/>
      <c r="M320" s="21">
        <f t="shared" si="58"/>
        <v>1</v>
      </c>
      <c r="N320" s="667"/>
      <c r="O320" s="21">
        <f t="shared" si="59"/>
        <v>1</v>
      </c>
      <c r="P320" s="2806" t="str">
        <f>Sheet3!E300</f>
        <v>高区</v>
      </c>
      <c r="Q320" s="21">
        <f t="shared" si="60"/>
        <v>1.02</v>
      </c>
      <c r="R320" s="663">
        <f t="shared" ca="1" si="61"/>
        <v>36038</v>
      </c>
      <c r="S320" s="316">
        <f t="shared" ca="1" si="62"/>
        <v>277</v>
      </c>
    </row>
    <row r="321" spans="1:19">
      <c r="A321" s="665" t="str">
        <f>Sheet3!C301</f>
        <v>19-3-501</v>
      </c>
      <c r="B321" s="665">
        <f>Sheet3!D301</f>
        <v>76.819999999999993</v>
      </c>
      <c r="C321" s="21">
        <f t="shared" si="53"/>
        <v>1</v>
      </c>
      <c r="D321" s="667" t="str">
        <f>Sheet3!F301</f>
        <v>多层</v>
      </c>
      <c r="E321" s="21">
        <f t="shared" si="54"/>
        <v>1.02</v>
      </c>
      <c r="F321" s="667"/>
      <c r="G321" s="21">
        <f t="shared" si="55"/>
        <v>1</v>
      </c>
      <c r="H321" s="667"/>
      <c r="I321" s="21">
        <f t="shared" si="56"/>
        <v>1</v>
      </c>
      <c r="J321" s="667"/>
      <c r="K321" s="21">
        <f t="shared" si="57"/>
        <v>1</v>
      </c>
      <c r="L321" s="667"/>
      <c r="M321" s="21">
        <f t="shared" si="58"/>
        <v>1</v>
      </c>
      <c r="N321" s="667"/>
      <c r="O321" s="21">
        <f t="shared" si="59"/>
        <v>1</v>
      </c>
      <c r="P321" s="2806" t="str">
        <f>Sheet3!E301</f>
        <v>高区</v>
      </c>
      <c r="Q321" s="21">
        <f t="shared" si="60"/>
        <v>1.02</v>
      </c>
      <c r="R321" s="663">
        <f t="shared" ca="1" si="61"/>
        <v>36038</v>
      </c>
      <c r="S321" s="316">
        <f t="shared" ref="S321:S384" ca="1" si="63">ROUND(R321*B321/10000,0)</f>
        <v>277</v>
      </c>
    </row>
    <row r="322" spans="1:19">
      <c r="A322" s="665" t="str">
        <f>Sheet3!C302</f>
        <v>19-3-502</v>
      </c>
      <c r="B322" s="665">
        <f>Sheet3!D302</f>
        <v>77.38</v>
      </c>
      <c r="C322" s="21">
        <f t="shared" si="53"/>
        <v>1</v>
      </c>
      <c r="D322" s="2806" t="str">
        <f>Sheet3!F302</f>
        <v>多层</v>
      </c>
      <c r="E322" s="21">
        <f t="shared" si="54"/>
        <v>1.02</v>
      </c>
      <c r="F322" s="667"/>
      <c r="G322" s="21">
        <f t="shared" si="55"/>
        <v>1</v>
      </c>
      <c r="H322" s="667"/>
      <c r="I322" s="21">
        <f t="shared" si="56"/>
        <v>1</v>
      </c>
      <c r="J322" s="667"/>
      <c r="K322" s="21">
        <f t="shared" si="57"/>
        <v>1</v>
      </c>
      <c r="L322" s="667"/>
      <c r="M322" s="21">
        <f t="shared" si="58"/>
        <v>1</v>
      </c>
      <c r="N322" s="667"/>
      <c r="O322" s="21">
        <f t="shared" si="59"/>
        <v>1</v>
      </c>
      <c r="P322" s="2806" t="str">
        <f>Sheet3!E302</f>
        <v>高区</v>
      </c>
      <c r="Q322" s="21">
        <f t="shared" si="60"/>
        <v>1.02</v>
      </c>
      <c r="R322" s="663">
        <f t="shared" ca="1" si="61"/>
        <v>36038</v>
      </c>
      <c r="S322" s="316">
        <f t="shared" ca="1" si="63"/>
        <v>279</v>
      </c>
    </row>
    <row r="323" spans="1:19">
      <c r="A323" s="665" t="str">
        <f>Sheet3!C303</f>
        <v>14-1-402</v>
      </c>
      <c r="B323" s="665">
        <f>Sheet3!D303</f>
        <v>76.91</v>
      </c>
      <c r="C323" s="21">
        <f t="shared" si="53"/>
        <v>1</v>
      </c>
      <c r="D323" s="667" t="str">
        <f>Sheet3!F303</f>
        <v>多层</v>
      </c>
      <c r="E323" s="21">
        <f t="shared" si="54"/>
        <v>1.02</v>
      </c>
      <c r="F323" s="667"/>
      <c r="G323" s="21">
        <f t="shared" si="55"/>
        <v>1</v>
      </c>
      <c r="H323" s="667"/>
      <c r="I323" s="21">
        <f t="shared" si="56"/>
        <v>1</v>
      </c>
      <c r="J323" s="667"/>
      <c r="K323" s="21">
        <f t="shared" si="57"/>
        <v>1</v>
      </c>
      <c r="L323" s="667"/>
      <c r="M323" s="21">
        <f t="shared" si="58"/>
        <v>1</v>
      </c>
      <c r="N323" s="667"/>
      <c r="O323" s="21">
        <f t="shared" si="59"/>
        <v>1</v>
      </c>
      <c r="P323" s="2806" t="str">
        <f>Sheet3!E303</f>
        <v>中区</v>
      </c>
      <c r="Q323" s="21">
        <f t="shared" si="60"/>
        <v>1</v>
      </c>
      <c r="R323" s="663">
        <f t="shared" ca="1" si="61"/>
        <v>35332</v>
      </c>
      <c r="S323" s="316">
        <f t="shared" ca="1" si="63"/>
        <v>272</v>
      </c>
    </row>
    <row r="324" spans="1:19">
      <c r="A324" s="665" t="str">
        <f>Sheet3!C304</f>
        <v>14-2-501</v>
      </c>
      <c r="B324" s="665">
        <f>Sheet3!D304</f>
        <v>76.91</v>
      </c>
      <c r="C324" s="21">
        <f t="shared" si="53"/>
        <v>1</v>
      </c>
      <c r="D324" s="2806" t="str">
        <f>Sheet3!F304</f>
        <v>多层</v>
      </c>
      <c r="E324" s="21">
        <f t="shared" si="54"/>
        <v>1.02</v>
      </c>
      <c r="F324" s="667"/>
      <c r="G324" s="21">
        <f t="shared" si="55"/>
        <v>1</v>
      </c>
      <c r="H324" s="667"/>
      <c r="I324" s="21">
        <f t="shared" si="56"/>
        <v>1</v>
      </c>
      <c r="J324" s="667"/>
      <c r="K324" s="21">
        <f t="shared" si="57"/>
        <v>1</v>
      </c>
      <c r="L324" s="667"/>
      <c r="M324" s="21">
        <f t="shared" si="58"/>
        <v>1</v>
      </c>
      <c r="N324" s="667"/>
      <c r="O324" s="21">
        <f t="shared" si="59"/>
        <v>1</v>
      </c>
      <c r="P324" s="2806" t="str">
        <f>Sheet3!E304</f>
        <v>高区</v>
      </c>
      <c r="Q324" s="21">
        <f t="shared" si="60"/>
        <v>1.02</v>
      </c>
      <c r="R324" s="663">
        <f t="shared" ca="1" si="61"/>
        <v>36038</v>
      </c>
      <c r="S324" s="316">
        <f t="shared" ca="1" si="63"/>
        <v>277</v>
      </c>
    </row>
    <row r="325" spans="1:19">
      <c r="A325" s="665" t="str">
        <f>Sheet3!C305</f>
        <v>14-2-502</v>
      </c>
      <c r="B325" s="665">
        <f>Sheet3!D305</f>
        <v>76.91</v>
      </c>
      <c r="C325" s="21">
        <f t="shared" si="53"/>
        <v>1</v>
      </c>
      <c r="D325" s="667" t="str">
        <f>Sheet3!F305</f>
        <v>多层</v>
      </c>
      <c r="E325" s="21">
        <f t="shared" si="54"/>
        <v>1.02</v>
      </c>
      <c r="F325" s="667"/>
      <c r="G325" s="21">
        <f t="shared" si="55"/>
        <v>1</v>
      </c>
      <c r="H325" s="667"/>
      <c r="I325" s="21">
        <f t="shared" si="56"/>
        <v>1</v>
      </c>
      <c r="J325" s="667"/>
      <c r="K325" s="21">
        <f t="shared" si="57"/>
        <v>1</v>
      </c>
      <c r="L325" s="667"/>
      <c r="M325" s="21">
        <f t="shared" si="58"/>
        <v>1</v>
      </c>
      <c r="N325" s="667"/>
      <c r="O325" s="21">
        <f t="shared" si="59"/>
        <v>1</v>
      </c>
      <c r="P325" s="2806" t="str">
        <f>Sheet3!E305</f>
        <v>高区</v>
      </c>
      <c r="Q325" s="21">
        <f t="shared" si="60"/>
        <v>1.02</v>
      </c>
      <c r="R325" s="663">
        <f t="shared" ca="1" si="61"/>
        <v>36038</v>
      </c>
      <c r="S325" s="316">
        <f t="shared" ca="1" si="63"/>
        <v>277</v>
      </c>
    </row>
    <row r="326" spans="1:19">
      <c r="A326" s="665"/>
      <c r="B326" s="54"/>
      <c r="C326" s="21">
        <f t="shared" si="53"/>
        <v>1</v>
      </c>
      <c r="D326" s="667"/>
      <c r="E326" s="21">
        <f t="shared" si="54"/>
        <v>0.02</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665"/>
      <c r="B327" s="54"/>
      <c r="C327" s="21">
        <f t="shared" si="53"/>
        <v>1</v>
      </c>
      <c r="D327" s="667"/>
      <c r="E327" s="21">
        <f t="shared" si="54"/>
        <v>0.02</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665"/>
      <c r="B328" s="54"/>
      <c r="C328" s="21">
        <f t="shared" si="53"/>
        <v>1</v>
      </c>
      <c r="D328" s="667"/>
      <c r="E328" s="21">
        <f t="shared" si="54"/>
        <v>0.02</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665"/>
      <c r="B329" s="54"/>
      <c r="C329" s="21">
        <f t="shared" si="53"/>
        <v>1</v>
      </c>
      <c r="D329" s="667"/>
      <c r="E329" s="21">
        <f t="shared" si="54"/>
        <v>0.02</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665"/>
      <c r="B330" s="54"/>
      <c r="C330" s="21">
        <f t="shared" si="53"/>
        <v>1</v>
      </c>
      <c r="D330" s="667"/>
      <c r="E330" s="21">
        <f t="shared" si="54"/>
        <v>0.02</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665"/>
      <c r="B331" s="54"/>
      <c r="C331" s="21">
        <f t="shared" si="53"/>
        <v>1</v>
      </c>
      <c r="D331" s="667"/>
      <c r="E331" s="21">
        <f t="shared" si="54"/>
        <v>0.02</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665"/>
      <c r="B332" s="54"/>
      <c r="C332" s="21">
        <f t="shared" si="53"/>
        <v>1</v>
      </c>
      <c r="D332" s="667"/>
      <c r="E332" s="21">
        <f t="shared" si="54"/>
        <v>0.02</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665"/>
      <c r="B333" s="54"/>
      <c r="C333" s="21">
        <f t="shared" si="53"/>
        <v>1</v>
      </c>
      <c r="D333" s="667"/>
      <c r="E333" s="21">
        <f t="shared" si="54"/>
        <v>0.02</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665"/>
      <c r="B334" s="54"/>
      <c r="C334" s="21">
        <f t="shared" si="53"/>
        <v>1</v>
      </c>
      <c r="D334" s="667"/>
      <c r="E334" s="21">
        <f t="shared" si="54"/>
        <v>0.02</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665"/>
      <c r="B335" s="54"/>
      <c r="C335" s="21">
        <f t="shared" si="53"/>
        <v>1</v>
      </c>
      <c r="D335" s="667"/>
      <c r="E335" s="21">
        <f t="shared" si="54"/>
        <v>0.02</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665"/>
      <c r="B336" s="54"/>
      <c r="C336" s="21">
        <f t="shared" si="53"/>
        <v>1</v>
      </c>
      <c r="D336" s="667"/>
      <c r="E336" s="21">
        <f t="shared" si="54"/>
        <v>0.02</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665"/>
      <c r="B337" s="54"/>
      <c r="C337" s="21">
        <f t="shared" si="53"/>
        <v>1</v>
      </c>
      <c r="D337" s="667"/>
      <c r="E337" s="21">
        <f t="shared" si="54"/>
        <v>0.02</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665"/>
      <c r="B338" s="54"/>
      <c r="C338" s="21">
        <f t="shared" si="53"/>
        <v>1</v>
      </c>
      <c r="D338" s="667"/>
      <c r="E338" s="21">
        <f t="shared" si="54"/>
        <v>0.02</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665"/>
      <c r="B339" s="54"/>
      <c r="C339" s="21">
        <f t="shared" si="53"/>
        <v>1</v>
      </c>
      <c r="D339" s="667"/>
      <c r="E339" s="21">
        <f t="shared" si="54"/>
        <v>0.02</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665"/>
      <c r="B340" s="54"/>
      <c r="C340" s="21">
        <f t="shared" si="53"/>
        <v>1</v>
      </c>
      <c r="D340" s="667"/>
      <c r="E340" s="21">
        <f t="shared" si="54"/>
        <v>0.02</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665"/>
      <c r="B341" s="54"/>
      <c r="C341" s="21">
        <f t="shared" si="53"/>
        <v>1</v>
      </c>
      <c r="D341" s="667"/>
      <c r="E341" s="21">
        <f t="shared" si="54"/>
        <v>0.02</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665"/>
      <c r="B342" s="54"/>
      <c r="C342" s="21">
        <f t="shared" si="53"/>
        <v>1</v>
      </c>
      <c r="D342" s="667"/>
      <c r="E342" s="21">
        <f t="shared" si="54"/>
        <v>0.02</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665"/>
      <c r="B343" s="54"/>
      <c r="C343" s="21">
        <f t="shared" si="53"/>
        <v>1</v>
      </c>
      <c r="D343" s="667"/>
      <c r="E343" s="21">
        <f t="shared" si="54"/>
        <v>0.02</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665"/>
      <c r="B344" s="54"/>
      <c r="C344" s="21">
        <f t="shared" si="53"/>
        <v>1</v>
      </c>
      <c r="D344" s="667"/>
      <c r="E344" s="21">
        <f t="shared" si="54"/>
        <v>0.02</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665"/>
      <c r="B345" s="54"/>
      <c r="C345" s="21">
        <f t="shared" si="53"/>
        <v>1</v>
      </c>
      <c r="D345" s="667"/>
      <c r="E345" s="21">
        <f t="shared" si="54"/>
        <v>0.02</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665"/>
      <c r="B346" s="54"/>
      <c r="C346" s="21">
        <f t="shared" ref="C346:C409" si="64">IF(B346="",1,(LOOKUP(B346,$3:$3,$4:$4)-LOOKUP($B$24,$3:$3,$4:$4)+100)/100)</f>
        <v>1</v>
      </c>
      <c r="D346" s="667"/>
      <c r="E346" s="21">
        <f t="shared" ref="E346:E409" si="65">(SUMIF($5:$5,D346,$6:$6)-SUMIF($5:$5,$D$24,$6:$6)+100)/100</f>
        <v>0.02</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665"/>
      <c r="B347" s="54"/>
      <c r="C347" s="21">
        <f t="shared" si="64"/>
        <v>1</v>
      </c>
      <c r="D347" s="667"/>
      <c r="E347" s="21">
        <f t="shared" si="65"/>
        <v>0.02</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665"/>
      <c r="B348" s="54"/>
      <c r="C348" s="21">
        <f t="shared" si="64"/>
        <v>1</v>
      </c>
      <c r="D348" s="667"/>
      <c r="E348" s="21">
        <f t="shared" si="65"/>
        <v>0.02</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665"/>
      <c r="B349" s="54"/>
      <c r="C349" s="21">
        <f t="shared" si="64"/>
        <v>1</v>
      </c>
      <c r="D349" s="667"/>
      <c r="E349" s="21">
        <f t="shared" si="65"/>
        <v>0.02</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665"/>
      <c r="B350" s="54"/>
      <c r="C350" s="21">
        <f t="shared" si="64"/>
        <v>1</v>
      </c>
      <c r="D350" s="667"/>
      <c r="E350" s="21">
        <f t="shared" si="65"/>
        <v>0.02</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665"/>
      <c r="B351" s="54"/>
      <c r="C351" s="21">
        <f t="shared" si="64"/>
        <v>1</v>
      </c>
      <c r="D351" s="667"/>
      <c r="E351" s="21">
        <f t="shared" si="65"/>
        <v>0.02</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665"/>
      <c r="B352" s="54"/>
      <c r="C352" s="21">
        <f t="shared" si="64"/>
        <v>1</v>
      </c>
      <c r="D352" s="667"/>
      <c r="E352" s="21">
        <f t="shared" si="65"/>
        <v>0.02</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665"/>
      <c r="B353" s="54"/>
      <c r="C353" s="21">
        <f t="shared" si="64"/>
        <v>1</v>
      </c>
      <c r="D353" s="667"/>
      <c r="E353" s="21">
        <f t="shared" si="65"/>
        <v>0.02</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665"/>
      <c r="B354" s="54"/>
      <c r="C354" s="21">
        <f t="shared" si="64"/>
        <v>1</v>
      </c>
      <c r="D354" s="667"/>
      <c r="E354" s="21">
        <f t="shared" si="65"/>
        <v>0.02</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665"/>
      <c r="B355" s="54"/>
      <c r="C355" s="21">
        <f t="shared" si="64"/>
        <v>1</v>
      </c>
      <c r="D355" s="667"/>
      <c r="E355" s="21">
        <f t="shared" si="65"/>
        <v>0.02</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665"/>
      <c r="B356" s="54"/>
      <c r="C356" s="21">
        <f t="shared" si="64"/>
        <v>1</v>
      </c>
      <c r="D356" s="667"/>
      <c r="E356" s="21">
        <f t="shared" si="65"/>
        <v>0.02</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665"/>
      <c r="B357" s="54"/>
      <c r="C357" s="21">
        <f t="shared" si="64"/>
        <v>1</v>
      </c>
      <c r="D357" s="667"/>
      <c r="E357" s="21">
        <f t="shared" si="65"/>
        <v>0.02</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665"/>
      <c r="B358" s="54"/>
      <c r="C358" s="21">
        <f t="shared" si="64"/>
        <v>1</v>
      </c>
      <c r="D358" s="667"/>
      <c r="E358" s="21">
        <f t="shared" si="65"/>
        <v>0.02</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665"/>
      <c r="B359" s="54"/>
      <c r="C359" s="21">
        <f t="shared" si="64"/>
        <v>1</v>
      </c>
      <c r="D359" s="667"/>
      <c r="E359" s="21">
        <f t="shared" si="65"/>
        <v>0.02</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665"/>
      <c r="B360" s="54"/>
      <c r="C360" s="21">
        <f t="shared" si="64"/>
        <v>1</v>
      </c>
      <c r="D360" s="667"/>
      <c r="E360" s="21">
        <f t="shared" si="65"/>
        <v>0.02</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665"/>
      <c r="B361" s="54"/>
      <c r="C361" s="21">
        <f t="shared" si="64"/>
        <v>1</v>
      </c>
      <c r="D361" s="667"/>
      <c r="E361" s="21">
        <f t="shared" si="65"/>
        <v>0.02</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665"/>
      <c r="B362" s="54"/>
      <c r="C362" s="21">
        <f t="shared" si="64"/>
        <v>1</v>
      </c>
      <c r="D362" s="667"/>
      <c r="E362" s="21">
        <f t="shared" si="65"/>
        <v>0.02</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665"/>
      <c r="B363" s="54"/>
      <c r="C363" s="21">
        <f t="shared" si="64"/>
        <v>1</v>
      </c>
      <c r="D363" s="667"/>
      <c r="E363" s="21">
        <f t="shared" si="65"/>
        <v>0.02</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665"/>
      <c r="B364" s="54"/>
      <c r="C364" s="21">
        <f t="shared" si="64"/>
        <v>1</v>
      </c>
      <c r="D364" s="667"/>
      <c r="E364" s="21">
        <f t="shared" si="65"/>
        <v>0.02</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665"/>
      <c r="B365" s="54"/>
      <c r="C365" s="21">
        <f t="shared" si="64"/>
        <v>1</v>
      </c>
      <c r="D365" s="667"/>
      <c r="E365" s="21">
        <f t="shared" si="65"/>
        <v>0.02</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665"/>
      <c r="B366" s="54"/>
      <c r="C366" s="21">
        <f t="shared" si="64"/>
        <v>1</v>
      </c>
      <c r="D366" s="667"/>
      <c r="E366" s="21">
        <f t="shared" si="65"/>
        <v>0.02</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665"/>
      <c r="B367" s="54"/>
      <c r="C367" s="21">
        <f t="shared" si="64"/>
        <v>1</v>
      </c>
      <c r="D367" s="667"/>
      <c r="E367" s="21">
        <f t="shared" si="65"/>
        <v>0.02</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665"/>
      <c r="B368" s="54"/>
      <c r="C368" s="21">
        <f t="shared" si="64"/>
        <v>1</v>
      </c>
      <c r="D368" s="667"/>
      <c r="E368" s="21">
        <f t="shared" si="65"/>
        <v>0.02</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665"/>
      <c r="B369" s="54"/>
      <c r="C369" s="21">
        <f t="shared" si="64"/>
        <v>1</v>
      </c>
      <c r="D369" s="667"/>
      <c r="E369" s="21">
        <f t="shared" si="65"/>
        <v>0.02</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665"/>
      <c r="B370" s="54"/>
      <c r="C370" s="21">
        <f t="shared" si="64"/>
        <v>1</v>
      </c>
      <c r="D370" s="667"/>
      <c r="E370" s="21">
        <f t="shared" si="65"/>
        <v>0.02</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665"/>
      <c r="B371" s="54"/>
      <c r="C371" s="21">
        <f t="shared" si="64"/>
        <v>1</v>
      </c>
      <c r="D371" s="667"/>
      <c r="E371" s="21">
        <f t="shared" si="65"/>
        <v>0.02</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665"/>
      <c r="B372" s="54"/>
      <c r="C372" s="21">
        <f t="shared" si="64"/>
        <v>1</v>
      </c>
      <c r="D372" s="667"/>
      <c r="E372" s="21">
        <f t="shared" si="65"/>
        <v>0.02</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665"/>
      <c r="B373" s="54"/>
      <c r="C373" s="21">
        <f t="shared" si="64"/>
        <v>1</v>
      </c>
      <c r="D373" s="667"/>
      <c r="E373" s="21">
        <f t="shared" si="65"/>
        <v>0.02</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665"/>
      <c r="B374" s="54"/>
      <c r="C374" s="21">
        <f t="shared" si="64"/>
        <v>1</v>
      </c>
      <c r="D374" s="667"/>
      <c r="E374" s="21">
        <f t="shared" si="65"/>
        <v>0.02</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665"/>
      <c r="B375" s="54"/>
      <c r="C375" s="21">
        <f t="shared" si="64"/>
        <v>1</v>
      </c>
      <c r="D375" s="667"/>
      <c r="E375" s="21">
        <f t="shared" si="65"/>
        <v>0.02</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665"/>
      <c r="B376" s="54"/>
      <c r="C376" s="21">
        <f t="shared" si="64"/>
        <v>1</v>
      </c>
      <c r="D376" s="667"/>
      <c r="E376" s="21">
        <f t="shared" si="65"/>
        <v>0.02</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665"/>
      <c r="B377" s="54"/>
      <c r="C377" s="21">
        <f t="shared" si="64"/>
        <v>1</v>
      </c>
      <c r="D377" s="667"/>
      <c r="E377" s="21">
        <f t="shared" si="65"/>
        <v>0.02</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665"/>
      <c r="B378" s="54"/>
      <c r="C378" s="21">
        <f t="shared" si="64"/>
        <v>1</v>
      </c>
      <c r="D378" s="667"/>
      <c r="E378" s="21">
        <f t="shared" si="65"/>
        <v>0.02</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665"/>
      <c r="B379" s="54"/>
      <c r="C379" s="21">
        <f t="shared" si="64"/>
        <v>1</v>
      </c>
      <c r="D379" s="667"/>
      <c r="E379" s="21">
        <f t="shared" si="65"/>
        <v>0.02</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665"/>
      <c r="B380" s="54"/>
      <c r="C380" s="21">
        <f t="shared" si="64"/>
        <v>1</v>
      </c>
      <c r="D380" s="667"/>
      <c r="E380" s="21">
        <f t="shared" si="65"/>
        <v>0.02</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665"/>
      <c r="B381" s="54"/>
      <c r="C381" s="21">
        <f t="shared" si="64"/>
        <v>1</v>
      </c>
      <c r="D381" s="667"/>
      <c r="E381" s="21">
        <f t="shared" si="65"/>
        <v>0.02</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665"/>
      <c r="B382" s="54"/>
      <c r="C382" s="21">
        <f t="shared" si="64"/>
        <v>1</v>
      </c>
      <c r="D382" s="667"/>
      <c r="E382" s="21">
        <f t="shared" si="65"/>
        <v>0.02</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665"/>
      <c r="B383" s="54"/>
      <c r="C383" s="21">
        <f t="shared" si="64"/>
        <v>1</v>
      </c>
      <c r="D383" s="667"/>
      <c r="E383" s="21">
        <f t="shared" si="65"/>
        <v>0.02</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665"/>
      <c r="B384" s="54"/>
      <c r="C384" s="21">
        <f t="shared" si="64"/>
        <v>1</v>
      </c>
      <c r="D384" s="667"/>
      <c r="E384" s="21">
        <f t="shared" si="65"/>
        <v>0.02</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665"/>
      <c r="B385" s="54"/>
      <c r="C385" s="21">
        <f t="shared" si="64"/>
        <v>1</v>
      </c>
      <c r="D385" s="667"/>
      <c r="E385" s="21">
        <f t="shared" si="65"/>
        <v>0.02</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665"/>
      <c r="B386" s="54"/>
      <c r="C386" s="21">
        <f t="shared" si="64"/>
        <v>1</v>
      </c>
      <c r="D386" s="667"/>
      <c r="E386" s="21">
        <f t="shared" si="65"/>
        <v>0.02</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665"/>
      <c r="B387" s="54"/>
      <c r="C387" s="21">
        <f t="shared" si="64"/>
        <v>1</v>
      </c>
      <c r="D387" s="667"/>
      <c r="E387" s="21">
        <f t="shared" si="65"/>
        <v>0.02</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665"/>
      <c r="B388" s="54"/>
      <c r="C388" s="21">
        <f t="shared" si="64"/>
        <v>1</v>
      </c>
      <c r="D388" s="667"/>
      <c r="E388" s="21">
        <f t="shared" si="65"/>
        <v>0.02</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665"/>
      <c r="B389" s="54"/>
      <c r="C389" s="21">
        <f t="shared" si="64"/>
        <v>1</v>
      </c>
      <c r="D389" s="667"/>
      <c r="E389" s="21">
        <f t="shared" si="65"/>
        <v>0.02</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0.02</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0.02</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0.02</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0.02</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0.02</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0.02</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0.02</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0.02</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0.02</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0.02</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0.02</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0.02</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0.02</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0.02</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0.02</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0.02</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0.02</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0.02</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0.02</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0.02</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0.02</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0.02</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0.02</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0.02</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0.02</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0.02</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0.02</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0.02</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0.02</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0.02</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0.02</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0.02</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0.02</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0.02</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0.02</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0.02</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0.02</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0.02</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0.02</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0.02</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0.02</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0.02</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0.02</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0.02</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0.02</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0.02</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0.02</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0.02</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0.02</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0.02</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0.02</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0.02</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0.02</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0.02</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0.02</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0.02</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0.02</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0.02</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0.02</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0.02</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0.02</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0.02</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0.02</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0.02</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0.02</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0.02</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0.02</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0.02</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0.02</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0.02</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0.02</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0.02</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0.02</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0.02</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0.02</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0.02</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0.02</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0.02</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0.02</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0.02</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0.02</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0.02</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0.02</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0.02</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0.02</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0.02</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0.02</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0.02</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0.02</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0.02</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0.02</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0.02</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0.02</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0.02</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0.02</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0.02</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0.02</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0.02</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0.02</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0.02</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0.02</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0.02</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0.02</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0.02</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0.02</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0.02</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0.02</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0.02</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0.02</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0.02</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0.02</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0.02</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0.02</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0.02</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0.02</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0.02</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0.02</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0.02</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0.02</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0.02</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0.02</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0.02</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0.02</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0.02</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0.02</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0.02</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0.02</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0.02</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0.02</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0.02</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0.02</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0.02</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0.02</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0.02</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0.02</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100" workbookViewId="0">
      <selection activeCell="Q119" sqref="Q119"/>
    </sheetView>
  </sheetViews>
  <sheetFormatPr defaultRowHeight="13.5"/>
  <sheetData>
    <row r="1" spans="1:1">
      <c r="A1" s="3465" t="s">
        <v>3959</v>
      </c>
    </row>
    <row r="54" spans="1:1">
      <c r="A54" s="3465" t="s">
        <v>3960</v>
      </c>
    </row>
    <row r="102" spans="1:1">
      <c r="A102" s="3465" t="s">
        <v>3961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84" t="str">
        <f>IF(项目基本情况!B9="房地产市场价值","估价结果一览表","结果表-2")</f>
        <v>结果表-2</v>
      </c>
      <c r="B1" s="3584"/>
      <c r="C1" s="3584"/>
      <c r="D1" s="3584"/>
      <c r="E1" s="3584"/>
      <c r="F1" s="3584"/>
      <c r="G1" s="3584"/>
      <c r="H1" s="3584"/>
      <c r="I1" s="3584"/>
    </row>
    <row r="2" spans="1:9" ht="30" customHeight="1" thickTop="1">
      <c r="A2" s="3585" t="s">
        <v>928</v>
      </c>
      <c r="B2" s="3585" t="s">
        <v>929</v>
      </c>
      <c r="C2" s="3585" t="s">
        <v>930</v>
      </c>
      <c r="D2" s="3585" t="str">
        <f>结果表!D116</f>
        <v>出让国有建设用地使用权价值</v>
      </c>
      <c r="E2" s="3585"/>
      <c r="F2" s="3585" t="str">
        <f>结果表!F116</f>
        <v>在建建筑物价值</v>
      </c>
      <c r="G2" s="3585"/>
      <c r="H2" s="3585" t="str">
        <f>IF(项目基本情况!B9="房地产市场价值","房地产市场价值","房地产价值")</f>
        <v>房地产价值</v>
      </c>
      <c r="I2" s="3585"/>
    </row>
    <row r="3" spans="1:9" ht="15">
      <c r="A3" s="3580"/>
      <c r="B3" s="3580"/>
      <c r="C3" s="3580"/>
      <c r="D3" s="854" t="s">
        <v>925</v>
      </c>
      <c r="E3" s="854" t="s">
        <v>931</v>
      </c>
      <c r="F3" s="854" t="s">
        <v>925</v>
      </c>
      <c r="G3" s="854" t="s">
        <v>926</v>
      </c>
      <c r="H3" s="854" t="s">
        <v>925</v>
      </c>
      <c r="I3" s="854" t="s">
        <v>926</v>
      </c>
    </row>
    <row r="4" spans="1:9" ht="15">
      <c r="A4" s="1503" t="str">
        <f>项目基本情况!S2</f>
        <v>北京市房地产</v>
      </c>
      <c r="B4" s="854">
        <f>项目基本情况!C17</f>
        <v>176.25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80" t="s">
        <v>927</v>
      </c>
      <c r="B5" s="3580"/>
      <c r="C5" s="3580"/>
      <c r="D5" s="3580" t="e">
        <f ca="1">结果表!D119</f>
        <v>#REF!</v>
      </c>
      <c r="E5" s="3580"/>
      <c r="F5" s="3580" t="e">
        <f ca="1">结果表!F119</f>
        <v>#REF!</v>
      </c>
      <c r="G5" s="3580"/>
      <c r="H5" s="3580" t="e">
        <f ca="1">结果表!H119</f>
        <v>#REF!</v>
      </c>
      <c r="I5" s="3580"/>
    </row>
    <row r="6" spans="1:9" ht="15.75">
      <c r="A6" s="3579" t="str">
        <f>结果表!A120</f>
        <v>估价师知悉的法定优先受偿款</v>
      </c>
      <c r="B6" s="3579"/>
      <c r="C6" s="3579"/>
      <c r="D6" s="3579">
        <f>结果表!D120</f>
        <v>0</v>
      </c>
      <c r="E6" s="3579"/>
      <c r="F6" s="3579"/>
      <c r="G6" s="3579"/>
      <c r="H6" s="3579"/>
      <c r="I6" s="3579"/>
    </row>
    <row r="7" spans="1:9" ht="15">
      <c r="A7" s="3580" t="s">
        <v>927</v>
      </c>
      <c r="B7" s="3580"/>
      <c r="C7" s="3580"/>
      <c r="D7" s="3581" t="str">
        <f>结果表!D121</f>
        <v>零元整</v>
      </c>
      <c r="E7" s="3582"/>
      <c r="F7" s="3582"/>
      <c r="G7" s="3582"/>
      <c r="H7" s="3582"/>
      <c r="I7" s="3583"/>
    </row>
    <row r="8" spans="1:9" ht="15.75">
      <c r="A8" s="3579" t="str">
        <f>结果表!A122</f>
        <v>房地产抵押价值</v>
      </c>
      <c r="B8" s="3579"/>
      <c r="C8" s="3579"/>
      <c r="D8" s="3579" t="e">
        <f ca="1">结果表!D122</f>
        <v>#REF!</v>
      </c>
      <c r="E8" s="3579"/>
      <c r="F8" s="3579"/>
      <c r="G8" s="3579"/>
      <c r="H8" s="3579"/>
      <c r="I8" s="3579"/>
    </row>
    <row r="9" spans="1:9" ht="15">
      <c r="A9" s="3580" t="s">
        <v>927</v>
      </c>
      <c r="B9" s="3580"/>
      <c r="C9" s="3580"/>
      <c r="D9" s="3580" t="e">
        <f ca="1">结果表!D123</f>
        <v>#REF!</v>
      </c>
      <c r="E9" s="3580"/>
      <c r="F9" s="3580"/>
      <c r="G9" s="3580"/>
      <c r="H9" s="3580"/>
      <c r="I9" s="3580"/>
    </row>
    <row r="10" spans="1:9" ht="15.75">
      <c r="A10" s="3579" t="str">
        <f>结果表!A124</f>
        <v/>
      </c>
      <c r="B10" s="3579"/>
      <c r="C10" s="3579"/>
      <c r="D10" s="3579" t="str">
        <f>结果表!D124</f>
        <v>——</v>
      </c>
      <c r="E10" s="3579"/>
      <c r="F10" s="3579"/>
      <c r="G10" s="3579"/>
      <c r="H10" s="3579"/>
      <c r="I10" s="3579"/>
    </row>
    <row r="11" spans="1:9" ht="15">
      <c r="A11" s="3580" t="s">
        <v>927</v>
      </c>
      <c r="B11" s="3580"/>
      <c r="C11" s="3580"/>
      <c r="D11" s="3580" t="e">
        <f>结果表!D125</f>
        <v>#VALUE!</v>
      </c>
      <c r="E11" s="3580"/>
      <c r="F11" s="3580"/>
      <c r="G11" s="3580"/>
      <c r="H11" s="3580"/>
      <c r="I11" s="3580"/>
    </row>
    <row r="12" spans="1:9" ht="15.75">
      <c r="A12" s="3579" t="str">
        <f>结果表!A126</f>
        <v/>
      </c>
      <c r="B12" s="3579"/>
      <c r="C12" s="3579"/>
      <c r="D12" s="3579" t="str">
        <f>结果表!D126</f>
        <v>——</v>
      </c>
      <c r="E12" s="3579"/>
      <c r="F12" s="3579"/>
      <c r="G12" s="3579"/>
      <c r="H12" s="3579"/>
      <c r="I12" s="3579"/>
    </row>
    <row r="13" spans="1:9" ht="15.75" thickBot="1">
      <c r="A13" s="3577" t="s">
        <v>927</v>
      </c>
      <c r="B13" s="3577"/>
      <c r="C13" s="3577"/>
      <c r="D13" s="3577" t="e">
        <f>结果表!D127</f>
        <v>#VALUE!</v>
      </c>
      <c r="E13" s="3577"/>
      <c r="F13" s="3577"/>
      <c r="G13" s="3577"/>
      <c r="H13" s="3577"/>
      <c r="I13" s="3577"/>
    </row>
    <row r="14" spans="1:9" ht="15" thickTop="1">
      <c r="A14" s="3578" t="s">
        <v>932</v>
      </c>
      <c r="B14" s="3578"/>
      <c r="C14" s="3578"/>
      <c r="D14" s="3578"/>
      <c r="E14" s="3578"/>
      <c r="F14" s="3578"/>
      <c r="G14" s="3578"/>
      <c r="H14" s="3578"/>
      <c r="I14" s="35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28" sqref="F28"/>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3920</v>
      </c>
      <c r="D1" s="1745"/>
      <c r="E1" s="1745"/>
      <c r="F1" s="1747" t="s">
        <v>1263</v>
      </c>
      <c r="G1" s="1559"/>
      <c r="H1" s="1748" t="str">
        <f>IF(G1="现房","——","估价对象范围")</f>
        <v>估价对象范围</v>
      </c>
      <c r="I1" s="1749"/>
    </row>
    <row r="2" spans="1:12" ht="21.75" customHeight="1" thickBot="1">
      <c r="A2" s="3718" t="str">
        <f>项目基本情况!S2</f>
        <v>北京市房地产</v>
      </c>
      <c r="B2" s="3719"/>
      <c r="C2" s="3719"/>
      <c r="D2" s="3719"/>
      <c r="E2" s="3719"/>
      <c r="F2" s="3719"/>
      <c r="G2" s="3719"/>
      <c r="H2" s="3719"/>
      <c r="I2" s="3720"/>
    </row>
    <row r="3" spans="1:12" ht="12.75">
      <c r="A3" s="3722" t="s">
        <v>1264</v>
      </c>
      <c r="B3" s="3723"/>
      <c r="C3" s="3723"/>
      <c r="D3" s="3723"/>
      <c r="E3" s="3723"/>
      <c r="F3" s="3723"/>
      <c r="G3" s="3723"/>
      <c r="H3" s="3723"/>
      <c r="I3" s="3723"/>
    </row>
    <row r="4" spans="1:12" ht="14.25">
      <c r="A4" s="1752" t="s">
        <v>1265</v>
      </c>
      <c r="B4" s="1753" t="s">
        <v>1266</v>
      </c>
      <c r="C4" s="1754" t="s">
        <v>4914</v>
      </c>
      <c r="D4" s="1754" t="s">
        <v>4909</v>
      </c>
      <c r="E4" s="3724" t="s">
        <v>1267</v>
      </c>
      <c r="F4" s="3725"/>
      <c r="G4" s="3725"/>
      <c r="H4" s="3725"/>
      <c r="I4" s="3726"/>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98" t="s">
        <v>1268</v>
      </c>
      <c r="B5" s="3685">
        <v>25</v>
      </c>
      <c r="C5" s="3701"/>
      <c r="D5" s="3721"/>
      <c r="E5" s="131" t="s">
        <v>1269</v>
      </c>
      <c r="F5" s="1755"/>
      <c r="G5" s="1755"/>
      <c r="H5" s="1755"/>
      <c r="I5" s="1371"/>
    </row>
    <row r="6" spans="1:12" ht="12.75">
      <c r="A6" s="3698"/>
      <c r="B6" s="3685"/>
      <c r="C6" s="3702"/>
      <c r="D6" s="3721"/>
      <c r="E6" s="131" t="s">
        <v>1270</v>
      </c>
      <c r="F6" s="1755"/>
      <c r="G6" s="1755"/>
      <c r="H6" s="1755"/>
      <c r="I6" s="1371"/>
    </row>
    <row r="7" spans="1:12" ht="12.75">
      <c r="A7" s="3698"/>
      <c r="B7" s="3685"/>
      <c r="C7" s="3703"/>
      <c r="D7" s="3721"/>
      <c r="E7" s="131" t="s">
        <v>1271</v>
      </c>
      <c r="F7" s="1755"/>
      <c r="G7" s="1755"/>
      <c r="H7" s="1755"/>
      <c r="I7" s="1371"/>
    </row>
    <row r="8" spans="1:12" ht="12.75">
      <c r="A8" s="3698" t="s">
        <v>1272</v>
      </c>
      <c r="B8" s="3685">
        <v>15</v>
      </c>
      <c r="C8" s="3701"/>
      <c r="D8" s="3721"/>
      <c r="E8" s="131" t="s">
        <v>1273</v>
      </c>
      <c r="F8" s="1755"/>
      <c r="G8" s="1755"/>
      <c r="H8" s="1755"/>
      <c r="I8" s="1371"/>
    </row>
    <row r="9" spans="1:12" ht="12.75">
      <c r="A9" s="3698"/>
      <c r="B9" s="3685"/>
      <c r="C9" s="3703"/>
      <c r="D9" s="3721"/>
      <c r="E9" s="131" t="s">
        <v>1274</v>
      </c>
      <c r="F9" s="1755"/>
      <c r="G9" s="1755"/>
      <c r="H9" s="1755"/>
      <c r="I9" s="1371"/>
    </row>
    <row r="10" spans="1:12" ht="12.75">
      <c r="A10" s="3698" t="s">
        <v>1275</v>
      </c>
      <c r="B10" s="3685">
        <v>15</v>
      </c>
      <c r="C10" s="3701"/>
      <c r="D10" s="3721"/>
      <c r="E10" s="131" t="s">
        <v>1276</v>
      </c>
      <c r="F10" s="1755"/>
      <c r="G10" s="1755"/>
      <c r="H10" s="1755"/>
      <c r="I10" s="1371"/>
    </row>
    <row r="11" spans="1:12" ht="12.75">
      <c r="A11" s="3698"/>
      <c r="B11" s="3685"/>
      <c r="C11" s="3703"/>
      <c r="D11" s="3721"/>
      <c r="E11" s="131" t="s">
        <v>1277</v>
      </c>
      <c r="F11" s="1755"/>
      <c r="G11" s="1755"/>
      <c r="H11" s="1755"/>
      <c r="I11" s="1371"/>
    </row>
    <row r="12" spans="1:12" ht="12.75">
      <c r="A12" s="3698" t="s">
        <v>1278</v>
      </c>
      <c r="B12" s="3685">
        <v>15</v>
      </c>
      <c r="C12" s="3701"/>
      <c r="D12" s="3721"/>
      <c r="E12" s="131" t="s">
        <v>1279</v>
      </c>
      <c r="F12" s="1755"/>
      <c r="G12" s="1755"/>
      <c r="H12" s="1755"/>
      <c r="I12" s="1371"/>
    </row>
    <row r="13" spans="1:12" ht="12.75">
      <c r="A13" s="3698"/>
      <c r="B13" s="3685"/>
      <c r="C13" s="3703"/>
      <c r="D13" s="3721"/>
      <c r="E13" s="131" t="s">
        <v>1280</v>
      </c>
      <c r="F13" s="1755"/>
      <c r="G13" s="1755"/>
      <c r="H13" s="1755"/>
      <c r="I13" s="1371"/>
    </row>
    <row r="14" spans="1:12" ht="12.75">
      <c r="A14" s="3698" t="s">
        <v>1281</v>
      </c>
      <c r="B14" s="3685">
        <v>30</v>
      </c>
      <c r="C14" s="3701">
        <v>7</v>
      </c>
      <c r="D14" s="3721">
        <v>3</v>
      </c>
      <c r="E14" s="131" t="s">
        <v>1282</v>
      </c>
      <c r="F14" s="1755"/>
      <c r="G14" s="1755"/>
      <c r="H14" s="1755"/>
      <c r="I14" s="1371"/>
    </row>
    <row r="15" spans="1:12" ht="12.75">
      <c r="A15" s="3698"/>
      <c r="B15" s="3685"/>
      <c r="C15" s="3702"/>
      <c r="D15" s="3721"/>
      <c r="E15" s="131" t="s">
        <v>1283</v>
      </c>
      <c r="F15" s="1755"/>
      <c r="G15" s="1755"/>
      <c r="H15" s="1755"/>
      <c r="I15" s="1371"/>
    </row>
    <row r="16" spans="1:12" ht="12.75">
      <c r="A16" s="3698"/>
      <c r="B16" s="3685"/>
      <c r="C16" s="3703"/>
      <c r="D16" s="3721"/>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708" t="s">
        <v>2129</v>
      </c>
      <c r="F18" s="3709"/>
      <c r="G18" s="3709"/>
      <c r="H18" s="3709"/>
      <c r="I18" s="3709"/>
      <c r="K18" s="302" t="s">
        <v>1289</v>
      </c>
      <c r="L18" s="302">
        <f>IF(C1="",'数据-汇总表'!E3,SUMIF(项目类型,C1,'数据-汇总表'!E17:E26)+SUMIF(项目类型,C1,'数据-汇总表'!I17:I26))</f>
        <v>29.05</v>
      </c>
      <c r="M18" s="302">
        <f>IF(C1="",'数据-汇总表'!E3,SUMIF(项目类型,C1,'数据-汇总表'!E17:E26))</f>
        <v>29.05</v>
      </c>
    </row>
    <row r="19" spans="1:36" ht="15">
      <c r="A19" s="1759" t="s">
        <v>1290</v>
      </c>
      <c r="B19" s="1760" t="s">
        <v>1291</v>
      </c>
      <c r="C19" s="134">
        <f ca="1">SUMIF(INDIRECT("'"&amp;C4&amp;"'"&amp;"!A:A"),'结果表-车库'!B19,INDIRECT("'"&amp;C4&amp;"'"&amp;"!B:B"))</f>
        <v>13</v>
      </c>
      <c r="D19" s="135">
        <f ca="1">SUMIF(INDIRECT("'"&amp;D4&amp;"'"&amp;"!A:A"),'结果表-车库'!B19,INDIRECT("'"&amp;D4&amp;"'"&amp;"!B:B"))</f>
        <v>8.1356000000000002</v>
      </c>
      <c r="E19" s="1759" t="s">
        <v>1292</v>
      </c>
      <c r="F19" s="1760" t="s">
        <v>1291</v>
      </c>
      <c r="G19" s="136">
        <f ca="1">ROUND(C19*$C$18+D19*$D$18,0)</f>
        <v>12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SUMIF(INDIRECT("'"&amp;C4&amp;"'"&amp;"!A:A"),'结果表-车库'!B20,INDIRECT("'"&amp;C4&amp;"'"&amp;"!B:B"))</f>
        <v>4475</v>
      </c>
      <c r="D20" s="138">
        <f ca="1">SUMIF(INDIRECT("'"&amp;D4&amp;"'"&amp;"!A:A"),'结果表-车库'!B20,INDIRECT("'"&amp;D4&amp;"'"&amp;"!B:B"))</f>
        <v>2801</v>
      </c>
      <c r="E20" s="1762"/>
      <c r="F20" s="1025" t="s">
        <v>1295</v>
      </c>
      <c r="G20" s="139">
        <f ca="1">ROUND(C20*$C$18+D20*$D$18,0)</f>
        <v>3973</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0.59791533507055417</v>
      </c>
      <c r="E22" s="129"/>
      <c r="F22" s="129"/>
      <c r="G22" s="129"/>
      <c r="H22" s="129"/>
      <c r="I22" s="129"/>
    </row>
    <row r="23" spans="1:36" ht="13.5" thickBot="1">
      <c r="A23" s="1745"/>
      <c r="B23" s="1745"/>
      <c r="C23" s="1745"/>
      <c r="D23" s="1745"/>
      <c r="E23" s="129"/>
      <c r="F23" s="129"/>
      <c r="G23" s="129"/>
      <c r="H23" s="129"/>
      <c r="I23" s="129"/>
    </row>
    <row r="24" spans="1:36" ht="14.25">
      <c r="A24" s="3692" t="s">
        <v>1299</v>
      </c>
      <c r="B24" s="1760" t="s">
        <v>1291</v>
      </c>
      <c r="C24" s="136">
        <f>IF(B30=0,0,D30)</f>
        <v>0</v>
      </c>
      <c r="D24" s="1767"/>
      <c r="E24" s="129"/>
      <c r="F24" s="129"/>
      <c r="G24" s="129"/>
      <c r="H24" s="129"/>
      <c r="I24" s="129"/>
    </row>
    <row r="25" spans="1:36" ht="14.25">
      <c r="A25" s="369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1" t="s">
        <v>1305</v>
      </c>
      <c r="B32" s="1772"/>
      <c r="C32" s="144">
        <f ca="1">IF(D32="总价",G19-C24,G20-C25)</f>
        <v>3973</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712" t="s">
        <v>1312</v>
      </c>
      <c r="B36" s="1785" t="s">
        <v>1313</v>
      </c>
      <c r="C36" s="145"/>
      <c r="D36" s="1786"/>
      <c r="E36" s="1787"/>
      <c r="F36" s="1788"/>
      <c r="G36" s="129"/>
      <c r="H36" s="129"/>
      <c r="I36" s="129"/>
    </row>
    <row r="37" spans="1:15" ht="15.75" thickBot="1">
      <c r="A37" s="3713"/>
      <c r="B37" s="1672" t="s">
        <v>1314</v>
      </c>
      <c r="C37" s="147"/>
      <c r="D37" s="1138"/>
      <c r="E37" s="1138"/>
      <c r="F37" s="1788"/>
      <c r="G37" s="129"/>
      <c r="H37" s="129"/>
      <c r="I37" s="129"/>
    </row>
    <row r="38" spans="1:15" ht="15.75" thickBot="1">
      <c r="A38" s="3714"/>
      <c r="B38" s="1789" t="s">
        <v>1315</v>
      </c>
      <c r="C38" s="674"/>
      <c r="D38" s="1790" t="s">
        <v>1316</v>
      </c>
      <c r="E38" s="1138"/>
      <c r="F38" s="1788"/>
      <c r="G38" s="129"/>
      <c r="H38" s="129"/>
      <c r="I38" s="129"/>
    </row>
    <row r="39" spans="1:15" ht="15">
      <c r="A39" s="1762" t="s">
        <v>1317</v>
      </c>
      <c r="B39" s="1791" t="s">
        <v>1301</v>
      </c>
      <c r="C39" s="1792" t="s">
        <v>1302</v>
      </c>
      <c r="D39" s="1792" t="s">
        <v>1320</v>
      </c>
      <c r="E39" s="1793" t="s">
        <v>1303</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9" t="s">
        <v>1326</v>
      </c>
      <c r="B45" s="3690"/>
      <c r="C45" s="3691"/>
      <c r="D45" s="155" t="e">
        <f ca="1">ROUND(H101*F45,0)</f>
        <v>#REF!</v>
      </c>
      <c r="E45" s="156" t="s">
        <v>1327</v>
      </c>
      <c r="F45" s="157">
        <v>1</v>
      </c>
      <c r="G45" s="158" t="s">
        <v>1328</v>
      </c>
      <c r="H45" s="129"/>
      <c r="I45" s="129"/>
      <c r="J45" s="3767" t="s">
        <v>1329</v>
      </c>
      <c r="K45" s="3767"/>
      <c r="L45" s="3767"/>
      <c r="M45" s="3767"/>
      <c r="N45" s="3767"/>
      <c r="O45" s="3767"/>
    </row>
    <row r="46" spans="1:15" ht="14.25" customHeight="1">
      <c r="A46" s="3686" t="s">
        <v>1330</v>
      </c>
      <c r="B46" s="3687"/>
      <c r="C46" s="3687"/>
      <c r="D46" s="3687"/>
      <c r="E46" s="3687"/>
      <c r="F46" s="3687"/>
      <c r="G46" s="3688"/>
      <c r="H46" s="1804"/>
      <c r="I46" s="159"/>
      <c r="J46" s="3497">
        <v>1</v>
      </c>
      <c r="K46" s="3748" t="s">
        <v>1331</v>
      </c>
      <c r="L46" s="3748"/>
      <c r="M46" s="3768"/>
      <c r="N46" s="3768"/>
      <c r="O46" s="3768"/>
    </row>
    <row r="47" spans="1:15" ht="12" customHeight="1">
      <c r="A47" s="160" t="s">
        <v>1332</v>
      </c>
      <c r="B47" s="161"/>
      <c r="C47" s="162"/>
      <c r="D47" s="1086" t="s">
        <v>1333</v>
      </c>
      <c r="E47" s="302" t="s">
        <v>1334</v>
      </c>
      <c r="F47" s="163" t="s">
        <v>1335</v>
      </c>
      <c r="G47" s="2541" t="s">
        <v>1336</v>
      </c>
      <c r="H47" s="2542"/>
      <c r="I47" s="159"/>
      <c r="J47" s="3497">
        <v>2</v>
      </c>
      <c r="K47" s="3748" t="s">
        <v>1337</v>
      </c>
      <c r="L47" s="3748"/>
      <c r="M47" s="3769">
        <f>'数据-取费表'!B2</f>
        <v>45126</v>
      </c>
      <c r="N47" s="3769"/>
      <c r="O47" s="3769"/>
    </row>
    <row r="48" spans="1:15" ht="25.5">
      <c r="A48" s="3717" t="s">
        <v>1338</v>
      </c>
      <c r="B48" s="3700"/>
      <c r="C48" s="3700"/>
      <c r="D48" s="3499" t="b">
        <f>IF(H48="情况1",0,IF(H48="情况2",D52,IF(H48="情况3",D53,IF(H48="情况4",D54))))</f>
        <v>0</v>
      </c>
      <c r="E48" s="3490" t="str">
        <f>IF(H48="情况4","(销售额-原购置价)×税（费）率","销售额×税（费）率")</f>
        <v>销售额×税（费）率</v>
      </c>
      <c r="F48" s="2543">
        <f>IF(H48="情况1","免征",'数据-取费表'!B41)</f>
        <v>0</v>
      </c>
      <c r="G48" s="2544" t="s">
        <v>1339</v>
      </c>
      <c r="H48" s="2545"/>
      <c r="I48" s="1804"/>
      <c r="J48" s="3497">
        <v>3</v>
      </c>
      <c r="K48" s="3748" t="s">
        <v>1340</v>
      </c>
      <c r="L48" s="3748"/>
      <c r="M48" s="3770" t="e">
        <f ca="1">H101</f>
        <v>#REF!</v>
      </c>
      <c r="N48" s="3770"/>
      <c r="O48" s="3770"/>
    </row>
    <row r="49" spans="1:35" ht="25.5" customHeight="1">
      <c r="A49" s="3494" t="s">
        <v>1341</v>
      </c>
      <c r="B49" s="3684" t="s">
        <v>1342</v>
      </c>
      <c r="C49" s="3684"/>
      <c r="D49" s="1588">
        <v>0</v>
      </c>
      <c r="E49" s="324" t="s">
        <v>1343</v>
      </c>
      <c r="F49" s="3483" t="s">
        <v>28</v>
      </c>
      <c r="G49" s="3754"/>
      <c r="H49" s="2305" t="s">
        <v>2132</v>
      </c>
      <c r="I49" s="2306"/>
      <c r="J49" s="3497">
        <v>4</v>
      </c>
      <c r="K49" s="3748" t="str">
        <f>IF(项目基本情况!E8="房地产抵押价值","房地产抵押价值","抵押担保权已注销时的房地产抵押价值")</f>
        <v>房地产抵押价值</v>
      </c>
      <c r="L49" s="3748"/>
      <c r="M49" s="3770" t="str">
        <f ca="1">IF(项目基本情况!E8="房地产抵押价值",H107,H109)</f>
        <v>——</v>
      </c>
      <c r="N49" s="3770"/>
      <c r="O49" s="3770"/>
    </row>
    <row r="50" spans="1:35" ht="25.5" customHeight="1">
      <c r="A50" s="2546"/>
      <c r="B50" s="3684" t="s">
        <v>1344</v>
      </c>
      <c r="C50" s="3684"/>
      <c r="D50" s="2547"/>
      <c r="E50" s="332"/>
      <c r="F50" s="3483"/>
      <c r="G50" s="3755"/>
      <c r="H50" s="2307" t="s">
        <v>2133</v>
      </c>
      <c r="I50" s="2306"/>
      <c r="J50" s="3767" t="s">
        <v>1345</v>
      </c>
      <c r="K50" s="3767"/>
      <c r="L50" s="3767"/>
      <c r="M50" s="3767"/>
      <c r="N50" s="3767"/>
      <c r="O50" s="3767"/>
    </row>
    <row r="51" spans="1:35" ht="20.45" customHeight="1">
      <c r="A51" s="2548"/>
      <c r="B51" s="3684" t="s">
        <v>1346</v>
      </c>
      <c r="C51" s="3684"/>
      <c r="D51" s="1086"/>
      <c r="E51" s="327"/>
      <c r="F51" s="3483"/>
      <c r="G51" s="3756"/>
      <c r="H51" s="2307" t="s">
        <v>2134</v>
      </c>
      <c r="I51" s="2306"/>
      <c r="J51" s="3496" t="s">
        <v>1347</v>
      </c>
      <c r="K51" s="3748" t="s">
        <v>1348</v>
      </c>
      <c r="L51" s="3748"/>
      <c r="M51" s="3496" t="s">
        <v>1349</v>
      </c>
      <c r="N51" s="3496" t="s">
        <v>1350</v>
      </c>
      <c r="O51" s="3496" t="s">
        <v>1351</v>
      </c>
    </row>
    <row r="52" spans="1:35" ht="24" customHeight="1">
      <c r="A52" s="3489" t="s">
        <v>1352</v>
      </c>
      <c r="B52" s="3684" t="s">
        <v>1353</v>
      </c>
      <c r="C52" s="3684"/>
      <c r="D52" s="1086" t="e">
        <f ca="1">ROUND(D45*'数据-取费表'!B41/(1+'数据-取费表'!C42),0)</f>
        <v>#REF!</v>
      </c>
      <c r="E52" s="3490" t="s">
        <v>1354</v>
      </c>
      <c r="F52" s="2549">
        <f>'数据-取费表'!B41</f>
        <v>0</v>
      </c>
      <c r="G52" s="2550"/>
      <c r="H52" s="2539"/>
      <c r="I52" s="1805"/>
      <c r="J52" s="3497">
        <v>1</v>
      </c>
      <c r="K52" s="3749" t="s">
        <v>1355</v>
      </c>
      <c r="L52" s="3749"/>
      <c r="M52" s="2520" t="b">
        <f>D48</f>
        <v>0</v>
      </c>
      <c r="N52" s="3497" t="str">
        <f>E48</f>
        <v>销售额×税（费）率</v>
      </c>
      <c r="O52" s="2521">
        <f>F48</f>
        <v>0</v>
      </c>
    </row>
    <row r="53" spans="1:35" ht="12" customHeight="1">
      <c r="A53" s="3489" t="s">
        <v>1356</v>
      </c>
      <c r="B53" s="3710" t="s">
        <v>2289</v>
      </c>
      <c r="C53" s="3711"/>
      <c r="D53" s="1086" t="e">
        <f ca="1">ROUND(D45*'数据-取费表'!B41/(1+'数据-取费表'!C42),0)</f>
        <v>#REF!</v>
      </c>
      <c r="E53" s="3490" t="s">
        <v>1354</v>
      </c>
      <c r="F53" s="2549">
        <f>'数据-取费表'!B41</f>
        <v>0</v>
      </c>
      <c r="G53" s="2550"/>
      <c r="H53" s="2539"/>
      <c r="I53" s="1805"/>
      <c r="J53" s="3497">
        <v>2</v>
      </c>
      <c r="K53" s="3749" t="s">
        <v>1357</v>
      </c>
      <c r="L53" s="3749"/>
      <c r="M53" s="2520" t="e">
        <f t="shared" ref="M53:O54" ca="1" si="0">D55</f>
        <v>#REF!</v>
      </c>
      <c r="N53" s="3497" t="str">
        <f t="shared" si="0"/>
        <v>销售额×税（费）率</v>
      </c>
      <c r="O53" s="2521" t="str">
        <f t="shared" si="0"/>
        <v>免征</v>
      </c>
    </row>
    <row r="54" spans="1:35" ht="12" customHeight="1">
      <c r="A54" s="3489" t="s">
        <v>1358</v>
      </c>
      <c r="B54" s="3710" t="s">
        <v>2290</v>
      </c>
      <c r="C54" s="3711"/>
      <c r="D54" s="1086" t="e">
        <f ca="1">C68</f>
        <v>#REF!</v>
      </c>
      <c r="E54" s="327" t="s">
        <v>1359</v>
      </c>
      <c r="F54" s="2549">
        <f>'数据-取费表'!B41</f>
        <v>0</v>
      </c>
      <c r="G54" s="2550"/>
      <c r="H54" s="2551"/>
      <c r="I54" s="1805"/>
      <c r="J54" s="3497">
        <v>3</v>
      </c>
      <c r="K54" s="3749" t="s">
        <v>1360</v>
      </c>
      <c r="L54" s="3749"/>
      <c r="M54" s="2520" t="e">
        <f t="shared" ca="1" si="0"/>
        <v>#REF!</v>
      </c>
      <c r="N54" s="3497" t="str">
        <f t="shared" si="0"/>
        <v>增值额×税（费）率</v>
      </c>
      <c r="O54" s="2522" t="str">
        <f t="shared" si="0"/>
        <v>免征</v>
      </c>
    </row>
    <row r="55" spans="1:35" ht="24" customHeight="1">
      <c r="A55" s="3699" t="s">
        <v>1361</v>
      </c>
      <c r="B55" s="3700"/>
      <c r="C55" s="3700"/>
      <c r="D55" s="3499" t="e">
        <f ca="1">IF(H55="个人住宅",0,ROUND(D45*I55,0))</f>
        <v>#REF!</v>
      </c>
      <c r="E55" s="3490" t="s">
        <v>1362</v>
      </c>
      <c r="F55" s="2549" t="str">
        <f>IF(H55="正常",I55,"免征")</f>
        <v>免征</v>
      </c>
      <c r="G55" s="2550"/>
      <c r="H55" s="2545"/>
      <c r="I55" s="165">
        <f>'数据-取费表'!B49</f>
        <v>5.0000000000000001E-4</v>
      </c>
      <c r="J55" s="3497">
        <f>IF(H59="非个人房产","",4)</f>
        <v>4</v>
      </c>
      <c r="K55" s="3749" t="str">
        <f>IF(H59="非个人房产","——","个人所得税")</f>
        <v>个人所得税</v>
      </c>
      <c r="L55" s="3749"/>
      <c r="M55" s="2523" t="e">
        <f ca="1">D59</f>
        <v>#REF!</v>
      </c>
      <c r="N55" s="3498" t="str">
        <f>E59</f>
        <v>差额计税</v>
      </c>
      <c r="O55" s="2524">
        <f>F59</f>
        <v>0.01</v>
      </c>
    </row>
    <row r="56" spans="1:35" ht="24.75">
      <c r="A56" s="3699" t="s">
        <v>1363</v>
      </c>
      <c r="B56" s="3700"/>
      <c r="C56" s="3700"/>
      <c r="D56" s="3499" t="e">
        <f ca="1">IF(H56="个人住宅",D57,D58)</f>
        <v>#REF!</v>
      </c>
      <c r="E56" s="3490" t="s">
        <v>1364</v>
      </c>
      <c r="F56" s="2549" t="str">
        <f>IF(H56="正常",F58,"免征")</f>
        <v>免征</v>
      </c>
      <c r="G56" s="2552" t="s">
        <v>1365</v>
      </c>
      <c r="H56" s="2553"/>
      <c r="I56" s="1806"/>
      <c r="J56" s="3497" t="str">
        <f>IF(项目基本情况!K6="上海银行",IF(J55="",4,J55+1),"")</f>
        <v/>
      </c>
      <c r="K56" s="3772" t="str">
        <f>IF(项目基本情况!K6="上海银行","其他处置费用","")</f>
        <v/>
      </c>
      <c r="L56" s="3773"/>
      <c r="M56" s="2520" t="str">
        <f>IF(项目基本情况!K6="上海银行",M69,"")</f>
        <v/>
      </c>
      <c r="N56" s="3772" t="str">
        <f>IF(项目基本情况!K6="上海银行","包含处置中涉及的律师、诉讼、拍卖、评估等费用","")</f>
        <v/>
      </c>
      <c r="O56" s="3775"/>
    </row>
    <row r="57" spans="1:35" ht="12.75">
      <c r="A57" s="3489" t="s">
        <v>1341</v>
      </c>
      <c r="B57" s="3710" t="s">
        <v>1366</v>
      </c>
      <c r="C57" s="3711"/>
      <c r="D57" s="1588">
        <v>0</v>
      </c>
      <c r="E57" s="324" t="s">
        <v>1343</v>
      </c>
      <c r="F57" s="302"/>
      <c r="G57" s="2550"/>
      <c r="H57" s="2554"/>
      <c r="I57" s="1806"/>
      <c r="J57" s="3749">
        <f>IF(AND(J55="",J56=""),4,IF(项目基本情况!K6="上海银行",'结果表-车库'!J56+1,'结果表-车库'!J55+1))</f>
        <v>5</v>
      </c>
      <c r="K57" s="3749" t="s">
        <v>1367</v>
      </c>
      <c r="L57" s="2525" t="s">
        <v>1368</v>
      </c>
      <c r="M57" s="2526"/>
      <c r="N57" s="2527">
        <f ca="1">SUMIF(M52:M56,"&lt;9e307")</f>
        <v>0</v>
      </c>
      <c r="O57" s="2528"/>
      <c r="P57" s="2685" t="e">
        <f ca="1">N57/M49</f>
        <v>#VALUE!</v>
      </c>
    </row>
    <row r="58" spans="1:35" ht="24.75">
      <c r="A58" s="3489" t="s">
        <v>1352</v>
      </c>
      <c r="B58" s="3710" t="s">
        <v>1369</v>
      </c>
      <c r="C58" s="3684"/>
      <c r="D58" s="3499" t="e">
        <f ca="1">IF(H58="转让取得",C81,C97)</f>
        <v>#REF!</v>
      </c>
      <c r="E58" s="3490" t="s">
        <v>1364</v>
      </c>
      <c r="F58" s="302" t="s">
        <v>28</v>
      </c>
      <c r="G58" s="2550"/>
      <c r="H58" s="2553"/>
      <c r="I58" s="1806"/>
      <c r="J58" s="3749"/>
      <c r="K58" s="3749"/>
      <c r="L58" s="2525" t="s">
        <v>1370</v>
      </c>
      <c r="M58" s="2529"/>
      <c r="N58" s="2530" t="str">
        <f ca="1">NUMBERSTRING(INT(N57*10000),2)&amp;"元整"</f>
        <v>零元整</v>
      </c>
      <c r="O58" s="2531"/>
    </row>
    <row r="59" spans="1:35" ht="24.75" thickBot="1">
      <c r="A59" s="3752" t="s">
        <v>1371</v>
      </c>
      <c r="B59" s="3753"/>
      <c r="C59" s="375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2135</v>
      </c>
      <c r="J59" s="3750">
        <f>J57+1</f>
        <v>6</v>
      </c>
      <c r="K59" s="3749" t="s">
        <v>1372</v>
      </c>
      <c r="L59" s="3497" t="s">
        <v>1368</v>
      </c>
      <c r="M59" s="2532"/>
      <c r="N59" s="2533" t="e">
        <f ca="1">M49-N57</f>
        <v>#VALUE!</v>
      </c>
      <c r="O59" s="2534"/>
    </row>
    <row r="60" spans="1:35" ht="12" customHeight="1">
      <c r="A60" s="1807"/>
      <c r="B60" s="1745"/>
      <c r="C60" s="1745"/>
      <c r="D60" s="1745"/>
      <c r="E60" s="1576"/>
      <c r="F60" s="1806"/>
      <c r="G60" s="1806"/>
      <c r="H60" s="1808"/>
      <c r="I60" s="129"/>
      <c r="J60" s="3751"/>
      <c r="K60" s="3749"/>
      <c r="L60" s="2525" t="s">
        <v>1370</v>
      </c>
      <c r="M60" s="2529"/>
      <c r="N60" s="2530" t="e">
        <f ca="1">NUMBERSTRING(INT(N59*10000),2)&amp;"元整"</f>
        <v>#VALUE!</v>
      </c>
      <c r="O60" s="2531"/>
    </row>
    <row r="61" spans="1:35" ht="13.5" thickBot="1">
      <c r="A61" s="3697" t="s">
        <v>1373</v>
      </c>
      <c r="B61" s="3697"/>
      <c r="C61" s="3697"/>
      <c r="D61" s="3697"/>
      <c r="E61" s="3697"/>
      <c r="F61" s="1806"/>
      <c r="G61" s="1806"/>
      <c r="H61" s="1808"/>
      <c r="I61" s="129"/>
      <c r="J61" s="3497">
        <f>J59+1</f>
        <v>7</v>
      </c>
      <c r="K61" s="3749" t="s">
        <v>1374</v>
      </c>
      <c r="L61" s="3749"/>
      <c r="M61" s="2535"/>
      <c r="N61" s="2536" t="e">
        <f ca="1">ROUND(N59*10000/'数据-汇总表'!E3,0)</f>
        <v>#VALUE!</v>
      </c>
      <c r="O61" s="2537"/>
    </row>
    <row r="62" spans="1:35" ht="12.75">
      <c r="A62" s="3715" t="s">
        <v>1375</v>
      </c>
      <c r="B62" s="3716"/>
      <c r="C62" s="3493"/>
      <c r="D62" s="3493" t="s">
        <v>1376</v>
      </c>
      <c r="E62" s="166" t="s">
        <v>1377</v>
      </c>
      <c r="F62" s="1806"/>
      <c r="G62" s="1806"/>
      <c r="H62" s="1808"/>
      <c r="I62" s="129"/>
    </row>
    <row r="63" spans="1:35" ht="12.75">
      <c r="A63" s="173" t="s">
        <v>330</v>
      </c>
      <c r="B63" s="167" t="s">
        <v>1378</v>
      </c>
      <c r="C63" s="2559" t="e">
        <f ca="1">ROUND((C64+C65)/(1+'数据-取费表'!C42),0)</f>
        <v>#REF!</v>
      </c>
      <c r="D63" s="167"/>
      <c r="E63" s="168"/>
      <c r="F63" s="1806"/>
      <c r="G63" s="1806"/>
      <c r="H63" s="1808"/>
      <c r="I63" s="129"/>
      <c r="J63" s="3774" t="s">
        <v>1379</v>
      </c>
      <c r="K63" s="3500" t="s">
        <v>1380</v>
      </c>
      <c r="L63" s="3500"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1381</v>
      </c>
      <c r="C64" s="2560" t="e">
        <f ca="1">D45</f>
        <v>#REF!</v>
      </c>
      <c r="D64" s="170" t="s">
        <v>26</v>
      </c>
      <c r="E64" s="172"/>
      <c r="F64" s="1806"/>
      <c r="G64" s="1806"/>
      <c r="H64" s="1808"/>
      <c r="I64" s="129"/>
      <c r="J64" s="3774"/>
      <c r="K64" s="3500" t="s">
        <v>1382</v>
      </c>
      <c r="L64" s="350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50"/>
      <c r="AI64" s="1751"/>
    </row>
    <row r="65" spans="1:35" ht="14.25" customHeight="1">
      <c r="A65" s="169" t="s">
        <v>326</v>
      </c>
      <c r="B65" s="170" t="s">
        <v>1384</v>
      </c>
      <c r="C65" s="2561"/>
      <c r="D65" s="170"/>
      <c r="E65" s="172"/>
      <c r="F65" s="1806"/>
      <c r="G65" s="1806"/>
      <c r="H65" s="1808"/>
      <c r="I65" s="129"/>
      <c r="J65" s="3774"/>
      <c r="K65" s="3500" t="s">
        <v>1385</v>
      </c>
      <c r="L65" s="3500" t="e">
        <f ca="1">IF(M49&gt;1000,M49*0.1%,IF(AND(M49&gt;500,M49&lt;=1000),M49*0.5%,IF(AND(M49&gt;50,M49&lt;=500),M49*1%,IF(AND(M49&gt;1,M49&lt;=50),M49*1.5%))))</f>
        <v>#VALUE!</v>
      </c>
      <c r="M65" s="302" t="e">
        <f t="shared" ca="1" si="1"/>
        <v>#VALUE!</v>
      </c>
      <c r="N65" s="2539" t="s">
        <v>1383</v>
      </c>
      <c r="Z65" s="1750"/>
      <c r="AI65" s="1751"/>
    </row>
    <row r="66" spans="1:35" ht="14.25" customHeight="1">
      <c r="A66" s="173" t="s">
        <v>327</v>
      </c>
      <c r="B66" s="174" t="s">
        <v>1386</v>
      </c>
      <c r="C66" s="2562"/>
      <c r="D66" s="174" t="s">
        <v>26</v>
      </c>
      <c r="E66" s="1336" t="s">
        <v>671</v>
      </c>
      <c r="F66" s="1806"/>
      <c r="G66" s="1806"/>
      <c r="H66" s="1808"/>
      <c r="I66" s="129"/>
      <c r="J66" s="3774"/>
      <c r="K66" s="3500" t="s">
        <v>1387</v>
      </c>
      <c r="L66" s="3500" t="e">
        <f ca="1">M49*0.5%</f>
        <v>#VALUE!</v>
      </c>
      <c r="M66" s="302" t="e">
        <f ca="1">IF(L66&gt;0.5,0.5,ROUND(L66,0))</f>
        <v>#VALUE!</v>
      </c>
      <c r="N66" s="2539" t="s">
        <v>1388</v>
      </c>
      <c r="Z66" s="1750"/>
      <c r="AI66" s="1751"/>
    </row>
    <row r="67" spans="1:35" ht="14.25" customHeight="1">
      <c r="A67" s="173" t="s">
        <v>328</v>
      </c>
      <c r="B67" s="174" t="s">
        <v>1389</v>
      </c>
      <c r="C67" s="2563" t="e">
        <f ca="1">C63-C66</f>
        <v>#REF!</v>
      </c>
      <c r="D67" s="170" t="s">
        <v>26</v>
      </c>
      <c r="E67" s="172"/>
      <c r="F67" s="1806"/>
      <c r="G67" s="1806"/>
      <c r="H67" s="1808"/>
      <c r="I67" s="129"/>
      <c r="J67" s="3774"/>
      <c r="K67" s="3500" t="s">
        <v>1390</v>
      </c>
      <c r="L67" s="350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1391</v>
      </c>
      <c r="C68" s="2564" t="e">
        <f ca="1">IF(C67&lt;=0,0,ROUND(C67*D68,0))</f>
        <v>#REF!</v>
      </c>
      <c r="D68" s="2565">
        <f>'数据-取费表'!B41</f>
        <v>0</v>
      </c>
      <c r="E68" s="178"/>
      <c r="F68" s="1806"/>
      <c r="G68" s="1806"/>
      <c r="H68" s="1808"/>
      <c r="I68" s="129"/>
      <c r="J68" s="3774"/>
      <c r="K68" s="3500" t="s">
        <v>1392</v>
      </c>
      <c r="L68" s="3500"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774"/>
      <c r="K69" s="3500" t="s">
        <v>1393</v>
      </c>
      <c r="L69" s="3500"/>
      <c r="M69" s="302" t="e">
        <f ca="1">ROUND(SUM(M63:M68),0)</f>
        <v>#VALUE!</v>
      </c>
      <c r="N69" s="2540"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36" t="s">
        <v>1394</v>
      </c>
      <c r="B70" s="3737"/>
      <c r="C70" s="3737"/>
      <c r="D70" s="3737"/>
      <c r="E70" s="3737"/>
      <c r="F70" s="3737"/>
      <c r="G70" s="3737"/>
      <c r="H70" s="3737"/>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15" t="s">
        <v>1375</v>
      </c>
      <c r="B71" s="3716"/>
      <c r="C71" s="3493"/>
      <c r="D71" s="3493" t="s">
        <v>1376</v>
      </c>
      <c r="E71" s="179" t="s">
        <v>1377</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3" t="e">
        <f ca="1">ROUND(D45/(1+'数据-取费表'!C42),0)</f>
        <v>#REF!</v>
      </c>
      <c r="D72" s="170" t="s">
        <v>26</v>
      </c>
      <c r="E72" s="3492"/>
      <c r="F72" s="3485"/>
      <c r="G72" s="3485"/>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3" t="e">
        <f ca="1">C74+C78</f>
        <v>#REF!</v>
      </c>
      <c r="D73" s="170" t="s">
        <v>26</v>
      </c>
      <c r="E73" s="3492"/>
      <c r="F73" s="3485"/>
      <c r="G73" s="3485"/>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492"/>
      <c r="F74" s="3485"/>
      <c r="G74" s="3485"/>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6"/>
      <c r="D75" s="170" t="s">
        <v>26</v>
      </c>
      <c r="E75" s="184" t="s">
        <v>1399</v>
      </c>
      <c r="F75" s="2567"/>
      <c r="G75" s="184"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9">
        <v>0.05</v>
      </c>
      <c r="E76" s="3710" t="s">
        <v>1402</v>
      </c>
      <c r="F76" s="3684"/>
      <c r="G76" s="3684"/>
      <c r="H76" s="373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0">
        <f>'数据-取费表'!B48+'数据-取费表'!B49</f>
        <v>3.0499999999999999E-2</v>
      </c>
      <c r="E77" s="3499" t="s">
        <v>1404</v>
      </c>
      <c r="F77" s="186"/>
      <c r="G77" s="1820"/>
      <c r="H77" s="3495"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1" t="e">
        <f ca="1">ROUND(D45*D78/(1+'数据-取费表'!C42),0)</f>
        <v>#REF!</v>
      </c>
      <c r="D78" s="2572">
        <f>'数据-取费表'!B43</f>
        <v>0</v>
      </c>
      <c r="E78" s="3694" t="s">
        <v>1406</v>
      </c>
      <c r="F78" s="3695"/>
      <c r="G78" s="3695"/>
      <c r="H78" s="370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3" t="e">
        <f ca="1">C72-C73</f>
        <v>#REF!</v>
      </c>
      <c r="D79" s="170" t="s">
        <v>26</v>
      </c>
      <c r="E79" s="3492"/>
      <c r="F79" s="3485"/>
      <c r="G79" s="3485"/>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3" t="e">
        <f ca="1">IF(C79&lt;=0,0,C79/C73)</f>
        <v>#REF!</v>
      </c>
      <c r="D80" s="170" t="s">
        <v>26</v>
      </c>
      <c r="E80" s="3499" t="e">
        <f ca="1">IF(C80&gt;=200%,"增值额超过扣除项目金额200%",IF(C80&gt;=100%,"增值额超过扣除项目金额100%，未超过200%",IF(C80&gt;=50%,"增值额超过扣除项目金额50%，未超过100%",IF(C80&lt;50%,"增值额未超过扣除项目金额50%"))))</f>
        <v>#REF!</v>
      </c>
      <c r="F80" s="3485"/>
      <c r="G80" s="3485"/>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36" t="s">
        <v>1410</v>
      </c>
      <c r="B83" s="3737"/>
      <c r="C83" s="3737"/>
      <c r="D83" s="3737"/>
      <c r="E83" s="3737"/>
      <c r="F83" s="3737"/>
      <c r="G83" s="3737"/>
      <c r="H83" s="373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15" t="s">
        <v>1375</v>
      </c>
      <c r="B84" s="3716"/>
      <c r="C84" s="3493"/>
      <c r="D84" s="3493"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3" t="e">
        <f ca="1">ROUND(D45/(1+'数据-取费表'!C42),0)</f>
        <v>#REF!</v>
      </c>
      <c r="D85" s="170" t="s">
        <v>26</v>
      </c>
      <c r="E85" s="3492"/>
      <c r="F85" s="3485"/>
      <c r="G85" s="3485"/>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3" t="e">
        <f ca="1">IF(H88="仅含出让金",C87+C90+C91+C92+C93+C94,C87+C91+C92+C93+C94)</f>
        <v>#REF!</v>
      </c>
      <c r="D86" s="2576"/>
      <c r="E86" s="3492"/>
      <c r="F86" s="3485"/>
      <c r="G86" s="3485"/>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1">
        <f>C88+C89</f>
        <v>0</v>
      </c>
      <c r="D87" s="2572"/>
      <c r="E87" s="3486"/>
      <c r="F87" s="3487"/>
      <c r="G87" s="3487"/>
      <c r="H87" s="3491"/>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7"/>
      <c r="D88" s="2572"/>
      <c r="E88" s="193" t="s">
        <v>1413</v>
      </c>
      <c r="F88" s="3487"/>
      <c r="G88" s="194" t="s">
        <v>1414</v>
      </c>
      <c r="H88" s="1822"/>
      <c r="I88" s="1819"/>
      <c r="J88" s="2516"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1">
        <f>ROUND(C88*D89,0)</f>
        <v>0</v>
      </c>
      <c r="D89" s="2572">
        <f>'数据-取费表'!B48+'数据-取费表'!B49</f>
        <v>3.0499999999999999E-2</v>
      </c>
      <c r="E89" s="193" t="s">
        <v>1415</v>
      </c>
      <c r="F89" s="3487"/>
      <c r="G89" s="3487"/>
      <c r="H89" s="3491"/>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7"/>
      <c r="D90" s="2572"/>
      <c r="E90" s="193" t="str">
        <f>IF(H88="-","土地取得成本中已包含该笔费用"," ")</f>
        <v xml:space="preserve"> </v>
      </c>
      <c r="F90" s="3487"/>
      <c r="G90" s="3776" t="s">
        <v>2127</v>
      </c>
      <c r="H90" s="3777"/>
      <c r="I90" s="1819"/>
      <c r="J90" s="2516"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1">
        <f>IF(H91="——",成本法!C33,I91)</f>
        <v>0</v>
      </c>
      <c r="D91" s="2572"/>
      <c r="E91" s="3694" t="s">
        <v>1419</v>
      </c>
      <c r="F91" s="3695"/>
      <c r="G91" s="369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1">
        <f>ROUND((C87+C90+C91)*D92,0)</f>
        <v>0</v>
      </c>
      <c r="D92" s="2578"/>
      <c r="E92" s="3694" t="s">
        <v>1422</v>
      </c>
      <c r="F92" s="3695"/>
      <c r="G92" s="3695"/>
      <c r="H92" s="3704"/>
      <c r="I92" s="1819"/>
      <c r="J92" s="2517"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1" t="e">
        <f ca="1">ROUND(D45*D93/(1+'数据-取费表'!C42),0)</f>
        <v>#REF!</v>
      </c>
      <c r="D93" s="2572">
        <f>'数据-取费表'!B43</f>
        <v>0</v>
      </c>
      <c r="E93" s="3694" t="s">
        <v>1406</v>
      </c>
      <c r="F93" s="3695"/>
      <c r="G93" s="3695"/>
      <c r="H93" s="370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7">
        <f>ROUND((C87+C90+C91)*D94,0)</f>
        <v>0</v>
      </c>
      <c r="D94" s="2572">
        <v>0.2</v>
      </c>
      <c r="E94" s="3705" t="s">
        <v>1426</v>
      </c>
      <c r="F94" s="3706"/>
      <c r="G94" s="3706"/>
      <c r="H94" s="370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3" t="e">
        <f ca="1">ROUND(C85-C86,0)</f>
        <v>#REF!</v>
      </c>
      <c r="D95" s="170" t="s">
        <v>26</v>
      </c>
      <c r="E95" s="3492"/>
      <c r="F95" s="3485"/>
      <c r="G95" s="3485"/>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3" t="e">
        <f ca="1">IF(C95&lt;=0,0,C95/C86)</f>
        <v>#REF!</v>
      </c>
      <c r="D96" s="170" t="s">
        <v>26</v>
      </c>
      <c r="E96" s="3499" t="e">
        <f ca="1">IF(C96&gt;=200%,"增值额超过扣除项目金额200%",IF(C96&gt;=100%,"增值额超过扣除项目金额100%，未超过200%",IF(C96&gt;=50%,"增值额超过扣除项目金额50%，未超过100%",IF(C96&lt;50%,"增值额未超过扣除项目金额50%"))))</f>
        <v>#REF!</v>
      </c>
      <c r="F96" s="3485"/>
      <c r="G96" s="3485"/>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78" t="s">
        <v>1428</v>
      </c>
      <c r="B100" s="3679"/>
      <c r="C100" s="3679"/>
      <c r="D100" s="3696"/>
      <c r="E100" s="3679" t="s">
        <v>1429</v>
      </c>
      <c r="F100" s="3679"/>
      <c r="G100" s="3679"/>
      <c r="H100" s="3696"/>
      <c r="I100" s="129"/>
    </row>
    <row r="101" spans="1:35" ht="18.75" customHeight="1">
      <c r="A101" s="3757" t="s">
        <v>1430</v>
      </c>
      <c r="B101" s="3758"/>
      <c r="C101" s="2580" t="str">
        <f>C4</f>
        <v>比较法-车位</v>
      </c>
      <c r="D101" s="2581" t="str">
        <f>D4</f>
        <v>收益法 (元)</v>
      </c>
      <c r="E101" s="3771" t="s">
        <v>1431</v>
      </c>
      <c r="F101" s="3728"/>
      <c r="G101" s="1825" t="s">
        <v>1432</v>
      </c>
      <c r="H101" s="2590" t="e">
        <f ca="1">H118</f>
        <v>#REF!</v>
      </c>
      <c r="I101" s="129"/>
    </row>
    <row r="102" spans="1:35" ht="18.75" customHeight="1">
      <c r="A102" s="3730" t="s">
        <v>1433</v>
      </c>
      <c r="B102" s="2579" t="s">
        <v>1432</v>
      </c>
      <c r="C102" s="2580">
        <f ca="1">IF(D32="楼面单价",ROUND(C19,0),C19)</f>
        <v>13</v>
      </c>
      <c r="D102" s="2581">
        <f ca="1">IF(D32="楼面单价",ROUND(D19,0),D19)</f>
        <v>8.1356000000000002</v>
      </c>
      <c r="E102" s="3771"/>
      <c r="F102" s="3728"/>
      <c r="G102" s="1825" t="s">
        <v>1434</v>
      </c>
      <c r="H102" s="2550" t="e">
        <f ca="1">I118</f>
        <v>#REF!</v>
      </c>
      <c r="I102" s="129"/>
    </row>
    <row r="103" spans="1:35" ht="42.75" customHeight="1">
      <c r="A103" s="3730"/>
      <c r="B103" s="2579" t="s">
        <v>1434</v>
      </c>
      <c r="C103" s="2582">
        <f ca="1">C20</f>
        <v>4475</v>
      </c>
      <c r="D103" s="2583">
        <f ca="1">D20</f>
        <v>2801</v>
      </c>
      <c r="E103" s="3765" t="s">
        <v>1435</v>
      </c>
      <c r="F103" s="3766"/>
      <c r="G103" s="1826" t="s">
        <v>1436</v>
      </c>
      <c r="H103" s="2590">
        <f>IF(D36="正常操作",H104+H105+H106,H105+H106)</f>
        <v>0</v>
      </c>
      <c r="I103" s="129"/>
    </row>
    <row r="104" spans="1:35" ht="18.75" customHeight="1">
      <c r="A104" s="3730" t="s">
        <v>1437</v>
      </c>
      <c r="B104" s="2584" t="s">
        <v>1432</v>
      </c>
      <c r="C104" s="2585" t="e">
        <f ca="1">H118</f>
        <v>#REF!</v>
      </c>
      <c r="D104" s="2586"/>
      <c r="E104" s="1672" t="s">
        <v>1438</v>
      </c>
      <c r="F104" s="1664"/>
      <c r="G104" s="1826" t="s">
        <v>1436</v>
      </c>
      <c r="H104" s="2591">
        <f>IF(D36="同一抵押权人同一抵押物续贷",C36&amp;"（续贷，未扣减，详见特别提示）",C36)</f>
        <v>0</v>
      </c>
      <c r="I104" s="129"/>
    </row>
    <row r="105" spans="1:35" ht="18.75" customHeight="1" thickBot="1">
      <c r="A105" s="3731"/>
      <c r="B105" s="2587" t="s">
        <v>1434</v>
      </c>
      <c r="C105" s="2588" t="e">
        <f ca="1">I118</f>
        <v>#REF!</v>
      </c>
      <c r="D105" s="2589"/>
      <c r="E105" s="1672" t="s">
        <v>1439</v>
      </c>
      <c r="F105" s="1664"/>
      <c r="G105" s="1826" t="s">
        <v>1436</v>
      </c>
      <c r="H105" s="2592">
        <f>C37</f>
        <v>0</v>
      </c>
      <c r="I105" s="129"/>
    </row>
    <row r="106" spans="1:35" ht="18.75" customHeight="1">
      <c r="A106" s="1745" t="s">
        <v>1440</v>
      </c>
      <c r="B106" s="1745"/>
      <c r="C106" s="1745"/>
      <c r="D106" s="1745"/>
      <c r="E106" s="1827" t="s">
        <v>1441</v>
      </c>
      <c r="F106" s="1664"/>
      <c r="G106" s="1826" t="s">
        <v>1436</v>
      </c>
      <c r="H106" s="2592">
        <f>C38</f>
        <v>0</v>
      </c>
      <c r="I106" s="129"/>
    </row>
    <row r="107" spans="1:35" ht="18.75" customHeight="1">
      <c r="A107" s="129"/>
      <c r="B107" s="129"/>
      <c r="C107" s="129"/>
      <c r="D107" s="129"/>
      <c r="E107" s="3727" t="str">
        <f>IF(项目基本情况!E8="已注销","——","3.房地产抵押价值")</f>
        <v>3.房地产抵押价值</v>
      </c>
      <c r="F107" s="3728"/>
      <c r="G107" s="1825" t="s">
        <v>1432</v>
      </c>
      <c r="H107" s="2590" t="e">
        <f ca="1">IF(E107="——","——",H101-H103)</f>
        <v>#REF!</v>
      </c>
      <c r="I107" s="129"/>
    </row>
    <row r="108" spans="1:35" ht="18.75" customHeight="1">
      <c r="A108" s="129"/>
      <c r="B108" s="129"/>
      <c r="C108" s="129"/>
      <c r="D108" s="129"/>
      <c r="E108" s="3727"/>
      <c r="F108" s="3728"/>
      <c r="G108" s="1825" t="s">
        <v>1434</v>
      </c>
      <c r="H108" s="2550">
        <f ca="1">IF(H107=H101,H102,ROUND(H107*10000/'数据-汇总表'!E3,0))</f>
        <v>0</v>
      </c>
      <c r="I108" s="129"/>
    </row>
    <row r="109" spans="1:35" ht="18.75" customHeight="1">
      <c r="A109" s="129"/>
      <c r="B109" s="129"/>
      <c r="C109" s="129"/>
      <c r="D109" s="129"/>
      <c r="E109" s="3727" t="str">
        <f>IF(项目基本情况!E8="已注销及未注销","4.抵押担保权已注销时的房地产抵押价值",IF(项目基本情况!E8="已注销","3.抵押担保权已注销时的房地产抵押价值","——"))</f>
        <v>——</v>
      </c>
      <c r="F109" s="3728"/>
      <c r="G109" s="1825" t="s">
        <v>1432</v>
      </c>
      <c r="H109" s="2593" t="str">
        <f>IF(E109="——","——",H101-H105-H106)</f>
        <v>——</v>
      </c>
      <c r="I109" s="129"/>
    </row>
    <row r="110" spans="1:35" ht="18.75" customHeight="1">
      <c r="A110" s="129"/>
      <c r="B110" s="129"/>
      <c r="C110" s="129"/>
      <c r="D110" s="129"/>
      <c r="E110" s="3727"/>
      <c r="F110" s="3728"/>
      <c r="G110" s="1825" t="s">
        <v>1434</v>
      </c>
      <c r="H110" s="2550" t="str">
        <f>IF(H109="——","——",ROUND(H109*10000/'数据-汇总表'!E3,0))</f>
        <v>——</v>
      </c>
      <c r="I110" s="129"/>
    </row>
    <row r="111" spans="1:35" ht="18.75" customHeight="1">
      <c r="A111" s="129"/>
      <c r="B111" s="129"/>
      <c r="C111" s="129"/>
      <c r="D111" s="129"/>
      <c r="E111" s="3759" t="str">
        <f>IF(项目基本情况!E9="抵押净值",IF(OR(项目基本情况!E8="已注销",项目基本情况!E8="房地产抵押价值"),"4.抵押净值","5.抵押净值"),"——")</f>
        <v>——</v>
      </c>
      <c r="F111" s="3729"/>
      <c r="G111" s="1825" t="s">
        <v>1432</v>
      </c>
      <c r="H111" s="2590" t="str">
        <f>IF(E111="——","——",N59)</f>
        <v>——</v>
      </c>
      <c r="I111" s="129"/>
    </row>
    <row r="112" spans="1:35" ht="18.75" customHeight="1" thickBot="1">
      <c r="A112" s="129"/>
      <c r="B112" s="129"/>
      <c r="C112" s="129"/>
      <c r="D112" s="129"/>
      <c r="E112" s="3760"/>
      <c r="F112" s="3761"/>
      <c r="G112" s="1828" t="s">
        <v>1434</v>
      </c>
      <c r="H112" s="2594" t="str">
        <f>IF(E111="——","——",N61)</f>
        <v>——</v>
      </c>
      <c r="I112" s="129"/>
    </row>
    <row r="113" spans="1:27" ht="18.75" customHeight="1">
      <c r="A113" s="129"/>
      <c r="B113" s="129"/>
      <c r="C113" s="129"/>
      <c r="D113" s="129"/>
      <c r="E113" s="3732" t="s">
        <v>1440</v>
      </c>
      <c r="F113" s="3732"/>
      <c r="G113" s="3732"/>
      <c r="H113" s="3732"/>
      <c r="I113" s="129"/>
    </row>
    <row r="114" spans="1:27" ht="3.75" customHeight="1">
      <c r="A114" s="1745"/>
      <c r="B114" s="1745"/>
      <c r="C114" s="1745"/>
      <c r="D114" s="1745"/>
      <c r="E114" s="1807"/>
      <c r="F114" s="1807"/>
      <c r="G114" s="1807"/>
      <c r="H114" s="1807"/>
      <c r="I114" s="1745"/>
    </row>
    <row r="115" spans="1:27" ht="18.75" customHeight="1">
      <c r="A115" s="3742" t="s">
        <v>1442</v>
      </c>
      <c r="B115" s="3743"/>
      <c r="C115" s="3743"/>
      <c r="D115" s="3743"/>
      <c r="E115" s="3743"/>
      <c r="F115" s="3743"/>
      <c r="G115" s="3743"/>
      <c r="H115" s="3743"/>
      <c r="I115" s="3744"/>
    </row>
    <row r="116" spans="1:27" ht="27" customHeight="1">
      <c r="A116" s="3698" t="s">
        <v>1443</v>
      </c>
      <c r="B116" s="3733" t="s">
        <v>1444</v>
      </c>
      <c r="C116" s="3733" t="s">
        <v>1445</v>
      </c>
      <c r="D116" s="3746" t="s">
        <v>1446</v>
      </c>
      <c r="E116" s="3747"/>
      <c r="F116" s="3741" t="s">
        <v>1447</v>
      </c>
      <c r="G116" s="3741"/>
      <c r="H116" s="3698" t="s">
        <v>1448</v>
      </c>
      <c r="I116" s="3698"/>
    </row>
    <row r="117" spans="1:27" ht="18.75" customHeight="1">
      <c r="A117" s="3698"/>
      <c r="B117" s="3734"/>
      <c r="C117" s="3734"/>
      <c r="D117" s="3488" t="s">
        <v>1449</v>
      </c>
      <c r="E117" s="3488" t="s">
        <v>1450</v>
      </c>
      <c r="F117" s="3488" t="s">
        <v>1449</v>
      </c>
      <c r="G117" s="3488" t="s">
        <v>1451</v>
      </c>
      <c r="H117" s="3488" t="s">
        <v>1449</v>
      </c>
      <c r="I117" s="3488" t="s">
        <v>1451</v>
      </c>
    </row>
    <row r="118" spans="1:27" ht="24.75" customHeight="1">
      <c r="A118" s="2595" t="str">
        <f>项目基本情况!S2</f>
        <v>北京市房地产</v>
      </c>
      <c r="B118" s="3488">
        <f>M18</f>
        <v>29.05</v>
      </c>
      <c r="C118" s="3488">
        <f>M19</f>
        <v>0</v>
      </c>
      <c r="D118" s="3488" t="e">
        <f ca="1">ROUND(IF(D32="总价",C34,E118*B118/10000),0)</f>
        <v>#REF!</v>
      </c>
      <c r="E118" s="3488" t="e">
        <f ca="1">ROUND(IF(C33="自定义",IF(D32="楼面单价",C34,D118*10000/B118),I118-G118),0)</f>
        <v>#REF!</v>
      </c>
      <c r="F118" s="3488" t="e">
        <f ca="1">ROUND(IF(D32="总价",C35,G118*B118/10000),0)</f>
        <v>#REF!</v>
      </c>
      <c r="G118" s="3488" t="e">
        <f ca="1">ROUND(IF(D32="楼面单价",C35,F118*10000/B118),0)</f>
        <v>#REF!</v>
      </c>
      <c r="H118" s="3488" t="e">
        <f ca="1">ROUND(IF(D32="总价",C32,I118*B118/10000),0)</f>
        <v>#REF!</v>
      </c>
      <c r="I118" s="3488" t="e">
        <f ca="1">ROUND(IF(D32="楼面单价",C32,H118*10000/B118),0)</f>
        <v>#REF!</v>
      </c>
    </row>
    <row r="119" spans="1:27" ht="18.75" customHeight="1">
      <c r="A119" s="3698" t="s">
        <v>1452</v>
      </c>
      <c r="B119" s="3698"/>
      <c r="C119" s="3698"/>
      <c r="D119" s="3738" t="e">
        <f ca="1">NUMBERSTRING(INT(D118*10000),2)&amp;"元整"</f>
        <v>#REF!</v>
      </c>
      <c r="E119" s="3740"/>
      <c r="F119" s="3738" t="e">
        <f ca="1">NUMBERSTRING(INT(F118*10000),2)&amp;"元整"</f>
        <v>#REF!</v>
      </c>
      <c r="G119" s="3740"/>
      <c r="H119" s="3738" t="e">
        <f ca="1">NUMBERSTRING(INT(H118*10000),2)&amp;"元整"</f>
        <v>#REF!</v>
      </c>
      <c r="I119" s="3740"/>
    </row>
    <row r="120" spans="1:27" ht="18.75" customHeight="1">
      <c r="A120" s="3762" t="str">
        <f>IF(项目基本情况!B9="房地产市场价值","",MID(E103,3,LEN(E103)-2))</f>
        <v>估价师知悉的法定优先受偿款</v>
      </c>
      <c r="B120" s="3763"/>
      <c r="C120" s="3764"/>
      <c r="D120" s="3762">
        <f>H103</f>
        <v>0</v>
      </c>
      <c r="E120" s="3763"/>
      <c r="F120" s="3763"/>
      <c r="G120" s="3763"/>
      <c r="H120" s="3763"/>
      <c r="I120" s="376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38" t="s">
        <v>1452</v>
      </c>
      <c r="B121" s="3739"/>
      <c r="C121" s="3740"/>
      <c r="D121" s="3738" t="str">
        <f>IF(D120=0,"零元整",NUMBERSTRING(INT(D120*10000),2)&amp;"元整")</f>
        <v>零元整</v>
      </c>
      <c r="E121" s="3739"/>
      <c r="F121" s="3739"/>
      <c r="G121" s="3739"/>
      <c r="H121" s="3739"/>
      <c r="I121" s="3740"/>
      <c r="AA121" s="725"/>
    </row>
    <row r="122" spans="1:27" ht="18.75" customHeight="1">
      <c r="A122" s="3729" t="str">
        <f>IF(项目基本情况!B9="房地产市场价值","",MID(E107,3,LEN(E107)-2))</f>
        <v>房地产抵押价值</v>
      </c>
      <c r="B122" s="3729"/>
      <c r="C122" s="3729"/>
      <c r="D122" s="3762" t="e">
        <f ca="1">H107</f>
        <v>#REF!</v>
      </c>
      <c r="E122" s="3763"/>
      <c r="F122" s="3763"/>
      <c r="G122" s="3763"/>
      <c r="H122" s="3763"/>
      <c r="I122" s="3764"/>
      <c r="AA122" s="725"/>
    </row>
    <row r="123" spans="1:27" ht="18.75" customHeight="1">
      <c r="A123" s="3698" t="s">
        <v>1452</v>
      </c>
      <c r="B123" s="3698"/>
      <c r="C123" s="3698"/>
      <c r="D123" s="3738" t="e">
        <f ca="1">NUMBERSTRING(INT(D122*10000),2)&amp;"元整"</f>
        <v>#REF!</v>
      </c>
      <c r="E123" s="3739"/>
      <c r="F123" s="3739"/>
      <c r="G123" s="3739"/>
      <c r="H123" s="3739"/>
      <c r="I123" s="3740"/>
      <c r="AA123" s="725"/>
    </row>
    <row r="124" spans="1:27" ht="18.75" customHeight="1">
      <c r="A124" s="3729" t="str">
        <f>IF(项目基本情况!B9="房地产市场价值","",MID(E109,3,LEN(E109)-2))</f>
        <v/>
      </c>
      <c r="B124" s="3729"/>
      <c r="C124" s="3729"/>
      <c r="D124" s="3762" t="str">
        <f>H109</f>
        <v>——</v>
      </c>
      <c r="E124" s="3763"/>
      <c r="F124" s="3763"/>
      <c r="G124" s="3763"/>
      <c r="H124" s="3763"/>
      <c r="I124" s="3764"/>
      <c r="AA124" s="725"/>
    </row>
    <row r="125" spans="1:27" ht="18.75" customHeight="1">
      <c r="A125" s="3698" t="s">
        <v>1452</v>
      </c>
      <c r="B125" s="3698"/>
      <c r="C125" s="3698"/>
      <c r="D125" s="3738" t="e">
        <f>NUMBERSTRING(INT(D124*10000),2)&amp;"元整"</f>
        <v>#VALUE!</v>
      </c>
      <c r="E125" s="3739"/>
      <c r="F125" s="3739"/>
      <c r="G125" s="3739"/>
      <c r="H125" s="3739"/>
      <c r="I125" s="3740"/>
      <c r="AA125" s="725"/>
    </row>
    <row r="126" spans="1:27" ht="18.75" customHeight="1">
      <c r="A126" s="3729" t="str">
        <f>IF(项目基本情况!B9="房地产市场价值","",MID(E111,3,LEN(E111)-2))</f>
        <v/>
      </c>
      <c r="B126" s="3729"/>
      <c r="C126" s="3729"/>
      <c r="D126" s="3762" t="str">
        <f>H111</f>
        <v>——</v>
      </c>
      <c r="E126" s="3763"/>
      <c r="F126" s="3763"/>
      <c r="G126" s="3763"/>
      <c r="H126" s="3763"/>
      <c r="I126" s="3764"/>
      <c r="AA126" s="725"/>
    </row>
    <row r="127" spans="1:27" ht="18.75" customHeight="1">
      <c r="A127" s="3698" t="s">
        <v>1452</v>
      </c>
      <c r="B127" s="3698"/>
      <c r="C127" s="3698"/>
      <c r="D127" s="3738" t="e">
        <f>NUMBERSTRING(INT(D126*10000),2)&amp;"元整"</f>
        <v>#VALUE!</v>
      </c>
      <c r="E127" s="3739"/>
      <c r="F127" s="3739"/>
      <c r="G127" s="3739"/>
      <c r="H127" s="3739"/>
      <c r="I127" s="3740"/>
      <c r="AA127" s="725"/>
    </row>
    <row r="128" spans="1:27" ht="21.75" customHeight="1">
      <c r="A128" s="3745" t="s">
        <v>1453</v>
      </c>
      <c r="B128" s="3745"/>
      <c r="C128" s="3745"/>
      <c r="D128" s="3745"/>
      <c r="E128" s="3745"/>
      <c r="F128" s="3745"/>
      <c r="G128" s="3745"/>
      <c r="H128" s="3745"/>
      <c r="I128" s="374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6" priority="10" stopIfTrue="1" operator="equal">
      <formula>25</formula>
    </cfRule>
  </conditionalFormatting>
  <conditionalFormatting sqref="C8:C9">
    <cfRule type="cellIs" dxfId="25" priority="9" stopIfTrue="1" operator="equal">
      <formula>15</formula>
    </cfRule>
  </conditionalFormatting>
  <conditionalFormatting sqref="C14:C16">
    <cfRule type="cellIs" dxfId="24" priority="8" stopIfTrue="1" operator="equal">
      <formula>30</formula>
    </cfRule>
  </conditionalFormatting>
  <conditionalFormatting sqref="D5:D7">
    <cfRule type="cellIs" dxfId="23" priority="7" stopIfTrue="1" operator="equal">
      <formula>25</formula>
    </cfRule>
  </conditionalFormatting>
  <conditionalFormatting sqref="D8:D9">
    <cfRule type="cellIs" dxfId="22" priority="6" stopIfTrue="1" operator="equal">
      <formula>15</formula>
    </cfRule>
  </conditionalFormatting>
  <conditionalFormatting sqref="C10:D13">
    <cfRule type="cellIs" dxfId="21" priority="5" stopIfTrue="1" operator="equal">
      <formula>15</formula>
    </cfRule>
  </conditionalFormatting>
  <conditionalFormatting sqref="D14:D16">
    <cfRule type="cellIs" dxfId="20" priority="4" stopIfTrue="1" operator="equal">
      <formula>30</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E36">
    <cfRule type="expression" dxfId="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35" sqref="M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t="s">
        <v>3920</v>
      </c>
      <c r="E1" s="3428" t="s">
        <v>4904</v>
      </c>
      <c r="F1" s="1877" t="s">
        <v>3921</v>
      </c>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IF(B37="元/平方米",ROUND(C39*D3/10000,0),ROUND(F3*C39/10000,0)),IF(B37="元/平方米",ROUND(C39*D3/10000,0),ROUND(F3*C39/10000,0))-D2),IF(E1="单套模式",IF(C2="——",IF(B37="元/平方米",ROUND(C39*D3/10000,0),ROUND(F3*C39/10000,0)),IF(B37="元/平方米",ROUND(C39*D3/10000,0),ROUND(F3*C39/10000,0))-D2)))</f>
        <v>13</v>
      </c>
      <c r="C2" s="1879" t="s">
        <v>43</v>
      </c>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4475</v>
      </c>
      <c r="C3" s="354" t="s">
        <v>1768</v>
      </c>
      <c r="D3" s="353">
        <f>SUMIF('数据-汇总表'!$C19:$C33,D1,'数据-汇总表'!$E19:$E33)</f>
        <v>29.05</v>
      </c>
      <c r="E3" s="354" t="s">
        <v>1832</v>
      </c>
      <c r="F3" s="353">
        <f>SUMIF('数据-取费表'!A5:A15,D1,'数据-取费表'!AH5:AH15)</f>
        <v>1</v>
      </c>
      <c r="G3" s="908"/>
      <c r="H3" s="908"/>
      <c r="I3" s="908"/>
      <c r="J3" s="908"/>
      <c r="K3" s="910"/>
      <c r="L3" s="2729"/>
      <c r="M3" s="2730">
        <f>IF(C2="——",IF(B37="元/平方米",ROUND(C39*D3/10000,0),ROUND(F3*C39/10000,0)),IF(B37="元/平方米",ROUND(C39*D3/10000,0),ROUND(F3*C39/10000,0))-D2)</f>
        <v>13</v>
      </c>
      <c r="N3" s="2730"/>
      <c r="O3" s="2730"/>
      <c r="P3" s="1164"/>
      <c r="Q3" s="699"/>
      <c r="R3" s="699"/>
      <c r="S3" s="699"/>
      <c r="T3" s="699"/>
      <c r="U3" s="699"/>
      <c r="V3" s="699"/>
      <c r="W3" s="699"/>
      <c r="X3" s="699"/>
      <c r="Y3" s="699"/>
      <c r="Z3" s="699"/>
      <c r="AA3" s="699"/>
      <c r="AB3" s="716"/>
      <c r="AC3" s="713"/>
    </row>
    <row r="4" spans="1:29" ht="15">
      <c r="A4" s="355" t="s">
        <v>1769</v>
      </c>
      <c r="B4" s="356"/>
      <c r="C4" s="3796" t="s">
        <v>1770</v>
      </c>
      <c r="D4" s="3797"/>
      <c r="E4" s="3798" t="s">
        <v>1771</v>
      </c>
      <c r="F4" s="3799"/>
      <c r="G4" s="3796" t="s">
        <v>1772</v>
      </c>
      <c r="H4" s="3797"/>
      <c r="I4" s="3796" t="s">
        <v>1773</v>
      </c>
      <c r="J4" s="3797"/>
      <c r="K4" s="559" t="s">
        <v>1774</v>
      </c>
      <c r="L4" s="2710"/>
      <c r="M4" s="2711"/>
      <c r="N4" s="2711"/>
      <c r="O4" s="2711"/>
      <c r="P4" s="3800" t="s">
        <v>1775</v>
      </c>
      <c r="Q4" s="3801"/>
      <c r="R4" s="3806" t="s">
        <v>1771</v>
      </c>
      <c r="S4" s="3807"/>
      <c r="T4" s="3806" t="s">
        <v>1772</v>
      </c>
      <c r="U4" s="3807"/>
      <c r="V4" s="3812" t="s">
        <v>1773</v>
      </c>
      <c r="W4" s="3812"/>
      <c r="X4" s="1353"/>
      <c r="Y4" s="3806" t="s">
        <v>1775</v>
      </c>
      <c r="Z4" s="3807"/>
      <c r="AA4" s="3793" t="s">
        <v>1771</v>
      </c>
      <c r="AB4" s="3794" t="s">
        <v>1772</v>
      </c>
      <c r="AC4" s="3793" t="s">
        <v>1773</v>
      </c>
    </row>
    <row r="5" spans="1:29" ht="15">
      <c r="A5" s="358"/>
      <c r="B5" s="359"/>
      <c r="C5" s="3815" t="s">
        <v>1673</v>
      </c>
      <c r="D5" s="3816"/>
      <c r="E5" s="3822" t="str">
        <f>车位案例!A1</f>
        <v>大兴金茂悦</v>
      </c>
      <c r="F5" s="3823"/>
      <c r="G5" s="3815" t="str">
        <f>车位案例!A34</f>
        <v>舒朗苑</v>
      </c>
      <c r="H5" s="3816"/>
      <c r="I5" s="3815" t="str">
        <f>车位案例!A65</f>
        <v>住总如院</v>
      </c>
      <c r="J5" s="3816"/>
      <c r="K5" s="559"/>
      <c r="L5" s="2710"/>
      <c r="M5" s="2711"/>
      <c r="N5" s="2711"/>
      <c r="O5" s="2711"/>
      <c r="P5" s="3802"/>
      <c r="Q5" s="3803"/>
      <c r="R5" s="3808"/>
      <c r="S5" s="3809"/>
      <c r="T5" s="3808"/>
      <c r="U5" s="3809"/>
      <c r="V5" s="3812"/>
      <c r="W5" s="3812"/>
      <c r="X5" s="1353"/>
      <c r="Y5" s="3808"/>
      <c r="Z5" s="3809"/>
      <c r="AA5" s="3794"/>
      <c r="AB5" s="3794"/>
      <c r="AC5" s="3794"/>
    </row>
    <row r="6" spans="1:29" ht="15.75" thickBot="1">
      <c r="A6" s="360"/>
      <c r="B6" s="361"/>
      <c r="C6" s="3813" t="s">
        <v>1677</v>
      </c>
      <c r="D6" s="3814"/>
      <c r="E6" s="3820" t="s">
        <v>1677</v>
      </c>
      <c r="F6" s="3821"/>
      <c r="G6" s="3813" t="s">
        <v>1677</v>
      </c>
      <c r="H6" s="3814"/>
      <c r="I6" s="3813" t="s">
        <v>1677</v>
      </c>
      <c r="J6" s="3814"/>
      <c r="K6" s="559" t="s">
        <v>1678</v>
      </c>
      <c r="L6" s="2710"/>
      <c r="M6" s="2711"/>
      <c r="N6" s="2711"/>
      <c r="O6" s="2711"/>
      <c r="P6" s="3804"/>
      <c r="Q6" s="3805"/>
      <c r="R6" s="3808"/>
      <c r="S6" s="3809"/>
      <c r="T6" s="3810"/>
      <c r="U6" s="3811"/>
      <c r="V6" s="3812"/>
      <c r="W6" s="3812"/>
      <c r="X6" s="1353"/>
      <c r="Y6" s="3810"/>
      <c r="Z6" s="3811"/>
      <c r="AA6" s="3795"/>
      <c r="AB6" s="3795"/>
      <c r="AC6" s="3795"/>
    </row>
    <row r="7" spans="1:29" s="108" customFormat="1" ht="15.75" thickBot="1">
      <c r="A7" s="362" t="s">
        <v>1679</v>
      </c>
      <c r="B7" s="363"/>
      <c r="C7" s="364">
        <f>'数据-取费表'!B2</f>
        <v>45126</v>
      </c>
      <c r="D7" s="365">
        <v>100</v>
      </c>
      <c r="E7" s="366">
        <f>C7</f>
        <v>45126</v>
      </c>
      <c r="F7" s="367">
        <f>SUMIF(48:48,YEAR(E7)&amp;"-"&amp;MONTH(E7),49:49)</f>
        <v>100</v>
      </c>
      <c r="G7" s="366">
        <f>C7</f>
        <v>45126</v>
      </c>
      <c r="H7" s="365">
        <f>SUMIF(48:48,YEAR(G7)&amp;"-"&amp;MONTH(G7),49:49)</f>
        <v>100</v>
      </c>
      <c r="I7" s="366">
        <f>C7</f>
        <v>45126</v>
      </c>
      <c r="J7" s="365">
        <f>SUMIF(48:48,YEAR(I7)&amp;"-"&amp;MONTH(I7),49:49)</f>
        <v>100</v>
      </c>
      <c r="K7" s="560"/>
      <c r="L7" s="2712"/>
      <c r="M7" s="2713"/>
      <c r="N7" s="2713"/>
      <c r="O7" s="2713"/>
      <c r="P7" s="3817" t="s">
        <v>1680</v>
      </c>
      <c r="Q7" s="3819"/>
      <c r="R7" s="701" t="s">
        <v>14</v>
      </c>
      <c r="S7" s="702">
        <f t="shared" ref="S7:S14" si="0">F7</f>
        <v>100</v>
      </c>
      <c r="T7" s="701" t="s">
        <v>14</v>
      </c>
      <c r="U7" s="702">
        <f t="shared" ref="U7:U14" si="1">H7</f>
        <v>100</v>
      </c>
      <c r="V7" s="701" t="s">
        <v>14</v>
      </c>
      <c r="W7" s="702">
        <f t="shared" ref="W7:W14" si="2">J7</f>
        <v>100</v>
      </c>
      <c r="X7" s="703"/>
      <c r="Y7" s="3817" t="s">
        <v>1680</v>
      </c>
      <c r="Z7" s="3818"/>
      <c r="AA7" s="704">
        <f>D7/F7</f>
        <v>1</v>
      </c>
      <c r="AB7" s="704">
        <f>D7/H7</f>
        <v>1</v>
      </c>
      <c r="AC7" s="704">
        <f>D7/J7</f>
        <v>1</v>
      </c>
    </row>
    <row r="8" spans="1:29" s="108" customFormat="1" ht="15.75" thickBot="1">
      <c r="A8" s="362" t="s">
        <v>1681</v>
      </c>
      <c r="B8" s="363"/>
      <c r="C8" s="3466" t="s">
        <v>4916</v>
      </c>
      <c r="D8" s="365">
        <v>100</v>
      </c>
      <c r="E8" s="3466" t="s">
        <v>4916</v>
      </c>
      <c r="F8" s="367">
        <f>SUMIF(51:51,E8,52:52)-SUMIF(51:51,C8,52:52)+100</f>
        <v>100</v>
      </c>
      <c r="G8" s="3466" t="s">
        <v>4916</v>
      </c>
      <c r="H8" s="365">
        <f>SUMIF(51:51,G8,52:52)-SUMIF(51:51,C8,52:52)+100</f>
        <v>100</v>
      </c>
      <c r="I8" s="3466" t="s">
        <v>4917</v>
      </c>
      <c r="J8" s="365">
        <f>SUMIF(51:51,I8,52:52)-SUMIF(51:51,C8,52:52)+100</f>
        <v>100</v>
      </c>
      <c r="K8" s="560"/>
      <c r="L8" s="2712"/>
      <c r="M8" s="2713"/>
      <c r="N8" s="2713"/>
      <c r="O8" s="2713"/>
      <c r="P8" s="3817" t="s">
        <v>1683</v>
      </c>
      <c r="Q8" s="3818"/>
      <c r="R8" s="701" t="s">
        <v>14</v>
      </c>
      <c r="S8" s="702">
        <f t="shared" si="0"/>
        <v>100</v>
      </c>
      <c r="T8" s="701" t="s">
        <v>14</v>
      </c>
      <c r="U8" s="702">
        <f t="shared" si="1"/>
        <v>100</v>
      </c>
      <c r="V8" s="701" t="s">
        <v>14</v>
      </c>
      <c r="W8" s="702">
        <f t="shared" si="2"/>
        <v>100</v>
      </c>
      <c r="X8" s="703"/>
      <c r="Y8" s="3817" t="s">
        <v>1683</v>
      </c>
      <c r="Z8" s="3818"/>
      <c r="AA8" s="704">
        <f t="shared" ref="AA8:AA36" si="3">D8/F8</f>
        <v>1</v>
      </c>
      <c r="AB8" s="704">
        <f t="shared" ref="AB8:AB36" si="4">D8/H8</f>
        <v>1</v>
      </c>
      <c r="AC8" s="704">
        <f t="shared" ref="AC8:AC36" si="5">D8/J8</f>
        <v>1</v>
      </c>
    </row>
    <row r="9" spans="1:29" s="108" customFormat="1" ht="15">
      <c r="A9" s="60" t="s">
        <v>1684</v>
      </c>
      <c r="B9" s="588" t="s">
        <v>1685</v>
      </c>
      <c r="C9" s="3468" t="s">
        <v>4918</v>
      </c>
      <c r="D9" s="126">
        <v>100</v>
      </c>
      <c r="E9" s="3470" t="s">
        <v>4918</v>
      </c>
      <c r="F9" s="126">
        <f>SUMIF(53:53,E9,54:54)-SUMIF(53:53,C9,54:54)+100</f>
        <v>100</v>
      </c>
      <c r="G9" s="3469" t="s">
        <v>4918</v>
      </c>
      <c r="H9" s="126">
        <f>SUMIF(53:53,G9,54:54)-SUMIF(53:53,C9,54:54)+100</f>
        <v>100</v>
      </c>
      <c r="I9" s="3469" t="s">
        <v>4918</v>
      </c>
      <c r="J9" s="126">
        <f>SUMIF(53:53,I9,54:54)-SUMIF(53:53,C9,54:54)+100</f>
        <v>100</v>
      </c>
      <c r="K9" s="560"/>
      <c r="L9" s="2712"/>
      <c r="M9" s="2713"/>
      <c r="N9" s="2713"/>
      <c r="O9" s="2713"/>
      <c r="P9" s="3781" t="s">
        <v>1686</v>
      </c>
      <c r="Q9" s="1341" t="str">
        <f t="shared" ref="Q9:Q14" si="6">B9</f>
        <v>用途</v>
      </c>
      <c r="R9" s="701" t="s">
        <v>14</v>
      </c>
      <c r="S9" s="702">
        <f t="shared" si="0"/>
        <v>100</v>
      </c>
      <c r="T9" s="701" t="s">
        <v>14</v>
      </c>
      <c r="U9" s="702">
        <f t="shared" si="1"/>
        <v>100</v>
      </c>
      <c r="V9" s="701" t="s">
        <v>14</v>
      </c>
      <c r="W9" s="702">
        <f t="shared" si="2"/>
        <v>100</v>
      </c>
      <c r="X9" s="703"/>
      <c r="Y9" s="3685"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81"/>
      <c r="Q10" s="1341"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81"/>
      <c r="Q11" s="1341">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81"/>
      <c r="Q12" s="1341">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81"/>
      <c r="Q13" s="1341">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83" t="s">
        <v>1691</v>
      </c>
      <c r="Q14" s="1350" t="str">
        <f t="shared" si="6"/>
        <v>交通便捷度</v>
      </c>
      <c r="R14" s="705" t="s">
        <v>14</v>
      </c>
      <c r="S14" s="706">
        <f t="shared" si="0"/>
        <v>100</v>
      </c>
      <c r="T14" s="705" t="s">
        <v>14</v>
      </c>
      <c r="U14" s="706">
        <f t="shared" si="1"/>
        <v>100</v>
      </c>
      <c r="V14" s="705" t="s">
        <v>14</v>
      </c>
      <c r="W14" s="706">
        <f t="shared" si="2"/>
        <v>100</v>
      </c>
      <c r="X14" s="1353"/>
      <c r="Y14" s="3783" t="s">
        <v>1691</v>
      </c>
      <c r="Z14" s="1354" t="str">
        <f t="shared" si="7"/>
        <v>交通便捷度</v>
      </c>
      <c r="AA14" s="1351">
        <f t="shared" si="3"/>
        <v>1</v>
      </c>
      <c r="AB14" s="1351">
        <f t="shared" si="4"/>
        <v>1</v>
      </c>
      <c r="AC14" s="1351">
        <f t="shared" si="5"/>
        <v>1</v>
      </c>
    </row>
    <row r="15" spans="1:29" ht="15">
      <c r="A15" s="358"/>
      <c r="B15" s="595"/>
      <c r="C15" s="3455" t="s">
        <v>4922</v>
      </c>
      <c r="D15" s="399"/>
      <c r="E15" s="3455" t="s">
        <v>4922</v>
      </c>
      <c r="F15" s="400"/>
      <c r="G15" s="3455" t="s">
        <v>4923</v>
      </c>
      <c r="H15" s="401"/>
      <c r="I15" s="3455" t="s">
        <v>4923</v>
      </c>
      <c r="J15" s="399"/>
      <c r="K15" s="564"/>
      <c r="L15" s="2717"/>
      <c r="M15" s="2711"/>
      <c r="N15" s="2711"/>
      <c r="O15" s="2711"/>
      <c r="P15" s="3784"/>
      <c r="Q15" s="1350"/>
      <c r="R15" s="705"/>
      <c r="S15" s="706"/>
      <c r="T15" s="705"/>
      <c r="U15" s="706"/>
      <c r="V15" s="705"/>
      <c r="W15" s="706"/>
      <c r="X15" s="1353"/>
      <c r="Y15" s="3784"/>
      <c r="Z15" s="1354"/>
      <c r="AA15" s="1351">
        <v>1</v>
      </c>
      <c r="AB15" s="1351">
        <v>1</v>
      </c>
      <c r="AC15" s="1351">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84"/>
      <c r="Q16" s="1350" t="str">
        <f>B16</f>
        <v>公共配套设施</v>
      </c>
      <c r="R16" s="705" t="s">
        <v>14</v>
      </c>
      <c r="S16" s="706">
        <f>F16</f>
        <v>100</v>
      </c>
      <c r="T16" s="705" t="s">
        <v>14</v>
      </c>
      <c r="U16" s="706">
        <f>H16</f>
        <v>100</v>
      </c>
      <c r="V16" s="705" t="s">
        <v>14</v>
      </c>
      <c r="W16" s="706">
        <f>J16</f>
        <v>100</v>
      </c>
      <c r="X16" s="1353"/>
      <c r="Y16" s="3784"/>
      <c r="Z16" s="1354" t="str">
        <f>Q16</f>
        <v>公共配套设施</v>
      </c>
      <c r="AA16" s="1351">
        <f t="shared" si="3"/>
        <v>1</v>
      </c>
      <c r="AB16" s="1351">
        <f t="shared" si="4"/>
        <v>1</v>
      </c>
      <c r="AC16" s="1351">
        <f t="shared" si="5"/>
        <v>1</v>
      </c>
    </row>
    <row r="17" spans="1:29" ht="15">
      <c r="A17" s="358"/>
      <c r="B17" s="580"/>
      <c r="C17" s="3471" t="s">
        <v>4923</v>
      </c>
      <c r="D17" s="399"/>
      <c r="E17" s="3455" t="s">
        <v>4923</v>
      </c>
      <c r="F17" s="400"/>
      <c r="G17" s="3455" t="s">
        <v>4923</v>
      </c>
      <c r="H17" s="399"/>
      <c r="I17" s="3455" t="s">
        <v>4923</v>
      </c>
      <c r="J17" s="399"/>
      <c r="K17" s="564"/>
      <c r="L17" s="2717"/>
      <c r="M17" s="2711"/>
      <c r="N17" s="2711"/>
      <c r="O17" s="2711"/>
      <c r="P17" s="3784"/>
      <c r="Q17" s="1350"/>
      <c r="R17" s="705"/>
      <c r="S17" s="706"/>
      <c r="T17" s="705"/>
      <c r="U17" s="706"/>
      <c r="V17" s="705"/>
      <c r="W17" s="706"/>
      <c r="X17" s="1353"/>
      <c r="Y17" s="3784"/>
      <c r="Z17" s="1354"/>
      <c r="AA17" s="1351">
        <v>1</v>
      </c>
      <c r="AB17" s="1351">
        <v>1</v>
      </c>
      <c r="AC17" s="1351">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84"/>
      <c r="Q18" s="1350" t="str">
        <f>B18</f>
        <v>基础设施水平</v>
      </c>
      <c r="R18" s="705" t="s">
        <v>14</v>
      </c>
      <c r="S18" s="706">
        <f>F18</f>
        <v>100</v>
      </c>
      <c r="T18" s="705" t="s">
        <v>14</v>
      </c>
      <c r="U18" s="706">
        <f>H18</f>
        <v>100</v>
      </c>
      <c r="V18" s="705" t="s">
        <v>14</v>
      </c>
      <c r="W18" s="706">
        <f>J18</f>
        <v>100</v>
      </c>
      <c r="X18" s="1353"/>
      <c r="Y18" s="3784"/>
      <c r="Z18" s="1354" t="str">
        <f>Q18</f>
        <v>基础设施水平</v>
      </c>
      <c r="AA18" s="1351">
        <f t="shared" ref="AA18" si="8">D18/F18</f>
        <v>1</v>
      </c>
      <c r="AB18" s="1351">
        <f t="shared" ref="AB18" si="9">D18/H18</f>
        <v>1</v>
      </c>
      <c r="AC18" s="1351">
        <f t="shared" ref="AC18" si="10">D18/J18</f>
        <v>1</v>
      </c>
    </row>
    <row r="19" spans="1:29" ht="15">
      <c r="A19" s="358"/>
      <c r="B19" s="581"/>
      <c r="C19" s="3471" t="s">
        <v>4924</v>
      </c>
      <c r="D19" s="401"/>
      <c r="E19" s="3471" t="s">
        <v>4924</v>
      </c>
      <c r="F19" s="404"/>
      <c r="G19" s="3471" t="s">
        <v>4924</v>
      </c>
      <c r="H19" s="399"/>
      <c r="I19" s="3455" t="s">
        <v>4924</v>
      </c>
      <c r="J19" s="399"/>
      <c r="K19" s="1129"/>
      <c r="L19" s="2717"/>
      <c r="M19" s="2711"/>
      <c r="N19" s="2711"/>
      <c r="O19" s="2711"/>
      <c r="P19" s="3784"/>
      <c r="Q19" s="1350"/>
      <c r="R19" s="705"/>
      <c r="S19" s="706"/>
      <c r="T19" s="705"/>
      <c r="U19" s="706"/>
      <c r="V19" s="705"/>
      <c r="W19" s="706"/>
      <c r="X19" s="1353"/>
      <c r="Y19" s="3784"/>
      <c r="Z19" s="1354"/>
      <c r="AA19" s="1351">
        <v>1</v>
      </c>
      <c r="AB19" s="1351">
        <v>1</v>
      </c>
      <c r="AC19" s="1351">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84"/>
      <c r="Q20" s="1350" t="str">
        <f>B20</f>
        <v>自然及人文环境</v>
      </c>
      <c r="R20" s="705" t="s">
        <v>14</v>
      </c>
      <c r="S20" s="706">
        <f>F20</f>
        <v>100</v>
      </c>
      <c r="T20" s="705" t="s">
        <v>14</v>
      </c>
      <c r="U20" s="706">
        <f>H20</f>
        <v>100</v>
      </c>
      <c r="V20" s="705" t="s">
        <v>14</v>
      </c>
      <c r="W20" s="706">
        <f>J20</f>
        <v>100</v>
      </c>
      <c r="X20" s="1353"/>
      <c r="Y20" s="3784"/>
      <c r="Z20" s="1354" t="str">
        <f>Q20</f>
        <v>自然及人文环境</v>
      </c>
      <c r="AA20" s="1351">
        <f t="shared" si="3"/>
        <v>1</v>
      </c>
      <c r="AB20" s="1351">
        <f t="shared" si="4"/>
        <v>1</v>
      </c>
      <c r="AC20" s="1351">
        <f t="shared" si="5"/>
        <v>1</v>
      </c>
    </row>
    <row r="21" spans="1:29" ht="15">
      <c r="A21" s="358"/>
      <c r="B21" s="580"/>
      <c r="C21" s="3455" t="s">
        <v>4923</v>
      </c>
      <c r="D21" s="399"/>
      <c r="E21" s="3455" t="s">
        <v>4923</v>
      </c>
      <c r="F21" s="400"/>
      <c r="G21" s="3455" t="s">
        <v>4923</v>
      </c>
      <c r="H21" s="399"/>
      <c r="I21" s="3455" t="s">
        <v>4923</v>
      </c>
      <c r="J21" s="399"/>
      <c r="K21" s="564"/>
      <c r="L21" s="2717"/>
      <c r="M21" s="2711"/>
      <c r="N21" s="2711"/>
      <c r="O21" s="2711"/>
      <c r="P21" s="3784"/>
      <c r="Q21" s="1350"/>
      <c r="R21" s="705"/>
      <c r="S21" s="706"/>
      <c r="T21" s="705"/>
      <c r="U21" s="706"/>
      <c r="V21" s="705"/>
      <c r="W21" s="706"/>
      <c r="X21" s="1353"/>
      <c r="Y21" s="378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84"/>
      <c r="Q22" s="1350" t="str">
        <f>B22</f>
        <v>楼层</v>
      </c>
      <c r="R22" s="705" t="s">
        <v>14</v>
      </c>
      <c r="S22" s="706">
        <f>F22</f>
        <v>100</v>
      </c>
      <c r="T22" s="705" t="s">
        <v>14</v>
      </c>
      <c r="U22" s="706">
        <f>H22</f>
        <v>100</v>
      </c>
      <c r="V22" s="705" t="s">
        <v>14</v>
      </c>
      <c r="W22" s="706">
        <f>J22</f>
        <v>100</v>
      </c>
      <c r="X22" s="1353"/>
      <c r="Y22" s="378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84"/>
      <c r="Q23" s="1350">
        <f>B23</f>
        <v>111</v>
      </c>
      <c r="R23" s="705" t="s">
        <v>14</v>
      </c>
      <c r="S23" s="706">
        <f>F23</f>
        <v>100</v>
      </c>
      <c r="T23" s="705" t="s">
        <v>14</v>
      </c>
      <c r="U23" s="706">
        <f>H23</f>
        <v>100</v>
      </c>
      <c r="V23" s="705" t="s">
        <v>14</v>
      </c>
      <c r="W23" s="706">
        <f>J23</f>
        <v>100</v>
      </c>
      <c r="X23" s="1353"/>
      <c r="Y23" s="378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84"/>
      <c r="Q24" s="1350">
        <f t="shared" ref="Q24:Q36" si="11">B24</f>
        <v>111</v>
      </c>
      <c r="R24" s="705" t="s">
        <v>14</v>
      </c>
      <c r="S24" s="706">
        <f>F24</f>
        <v>100</v>
      </c>
      <c r="T24" s="705" t="s">
        <v>14</v>
      </c>
      <c r="U24" s="706">
        <f>H24</f>
        <v>100</v>
      </c>
      <c r="V24" s="705" t="s">
        <v>14</v>
      </c>
      <c r="W24" s="706">
        <f>J24</f>
        <v>100</v>
      </c>
      <c r="X24" s="1353"/>
      <c r="Y24" s="378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84"/>
      <c r="Q25" s="1341">
        <f t="shared" si="11"/>
        <v>111</v>
      </c>
      <c r="R25" s="701" t="s">
        <v>14</v>
      </c>
      <c r="S25" s="702">
        <f>F25</f>
        <v>100</v>
      </c>
      <c r="T25" s="701" t="s">
        <v>14</v>
      </c>
      <c r="U25" s="702">
        <f>H25</f>
        <v>100</v>
      </c>
      <c r="V25" s="701" t="s">
        <v>14</v>
      </c>
      <c r="W25" s="702">
        <f>J25</f>
        <v>100</v>
      </c>
      <c r="X25" s="703"/>
      <c r="Y25" s="3784"/>
      <c r="Z25" s="52">
        <f>Q25</f>
        <v>111</v>
      </c>
      <c r="AA25" s="1351">
        <f>D25/F25</f>
        <v>1</v>
      </c>
      <c r="AB25" s="1351">
        <f>D25/H25</f>
        <v>1</v>
      </c>
      <c r="AC25" s="1351">
        <f>D25/J25</f>
        <v>1</v>
      </c>
    </row>
    <row r="26" spans="1:29" ht="28.5">
      <c r="A26" s="600" t="s">
        <v>1694</v>
      </c>
      <c r="B26" s="62" t="s">
        <v>1836</v>
      </c>
      <c r="C26" s="1967" t="str">
        <f>B1</f>
        <v>车库</v>
      </c>
      <c r="D26" s="399">
        <v>100</v>
      </c>
      <c r="E26" s="3455" t="s">
        <v>4918</v>
      </c>
      <c r="F26" s="400">
        <f>SUMIF(79:79,E26,80:80)-SUMIF(79:79,C26,80:80)+100</f>
        <v>100</v>
      </c>
      <c r="G26" s="3455" t="s">
        <v>4918</v>
      </c>
      <c r="H26" s="399">
        <f>SUMIF(79:79,G26,80:80)-SUMIF(79:79,C26,80:80)+100</f>
        <v>100</v>
      </c>
      <c r="I26" s="3455" t="s">
        <v>4918</v>
      </c>
      <c r="J26" s="399">
        <f>SUMIF(79:79,I26,80:80)-SUMIF(79:79,C26,80:80)+100</f>
        <v>100</v>
      </c>
      <c r="K26" s="561"/>
      <c r="L26" s="2717"/>
      <c r="M26" s="2711"/>
      <c r="N26" s="2711"/>
      <c r="O26" s="2711"/>
      <c r="P26" s="3830" t="s">
        <v>1696</v>
      </c>
      <c r="Q26" s="1350" t="str">
        <f t="shared" si="11"/>
        <v>配套类型</v>
      </c>
      <c r="R26" s="705" t="s">
        <v>14</v>
      </c>
      <c r="S26" s="706">
        <f t="shared" ref="S26:S36" si="12">F26</f>
        <v>100</v>
      </c>
      <c r="T26" s="705" t="s">
        <v>14</v>
      </c>
      <c r="U26" s="706">
        <f t="shared" ref="U26:U36" si="13">H26</f>
        <v>100</v>
      </c>
      <c r="V26" s="705" t="s">
        <v>14</v>
      </c>
      <c r="W26" s="706">
        <f t="shared" ref="W26:W36" si="14">J26</f>
        <v>100</v>
      </c>
      <c r="X26" s="1353"/>
      <c r="Y26" s="3788" t="s">
        <v>1696</v>
      </c>
      <c r="Z26" s="1354" t="str">
        <f t="shared" ref="Z26:Z36" si="15">Q26</f>
        <v>配套类型</v>
      </c>
      <c r="AA26" s="1351">
        <f t="shared" si="3"/>
        <v>1</v>
      </c>
      <c r="AB26" s="1351">
        <f t="shared" si="4"/>
        <v>1</v>
      </c>
      <c r="AC26" s="1351">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88"/>
      <c r="Q27" s="707" t="str">
        <f t="shared" si="11"/>
        <v>项目停车位配比</v>
      </c>
      <c r="R27" s="708" t="s">
        <v>14</v>
      </c>
      <c r="S27" s="709">
        <f t="shared" si="12"/>
        <v>100</v>
      </c>
      <c r="T27" s="708" t="s">
        <v>14</v>
      </c>
      <c r="U27" s="709">
        <f t="shared" si="13"/>
        <v>100</v>
      </c>
      <c r="V27" s="708" t="s">
        <v>14</v>
      </c>
      <c r="W27" s="709">
        <f t="shared" si="14"/>
        <v>100</v>
      </c>
      <c r="X27" s="710"/>
      <c r="Y27" s="3788"/>
      <c r="Z27" s="711" t="str">
        <f t="shared" si="15"/>
        <v>项目停车位配比</v>
      </c>
      <c r="AA27" s="1351">
        <f t="shared" si="3"/>
        <v>1</v>
      </c>
      <c r="AB27" s="1351">
        <f t="shared" si="4"/>
        <v>1</v>
      </c>
      <c r="AC27" s="1351">
        <f t="shared" si="5"/>
        <v>1</v>
      </c>
    </row>
    <row r="28" spans="1:29" ht="15">
      <c r="A28" s="604"/>
      <c r="B28" s="602" t="s">
        <v>1838</v>
      </c>
      <c r="C28" s="3937" t="s">
        <v>4925</v>
      </c>
      <c r="D28" s="386">
        <v>100</v>
      </c>
      <c r="E28" s="3937" t="s">
        <v>4925</v>
      </c>
      <c r="F28" s="412">
        <f>SUMIF(83:83,E28,84:84)-SUMIF(83:83,C28,84:84)+100</f>
        <v>100</v>
      </c>
      <c r="G28" s="3937" t="s">
        <v>4925</v>
      </c>
      <c r="H28" s="386">
        <f>SUMIF(83:83,G28,84:84)-SUMIF(83:83,C28,84:84)+100</f>
        <v>100</v>
      </c>
      <c r="I28" s="3937" t="s">
        <v>4925</v>
      </c>
      <c r="J28" s="386">
        <f>SUMIF(83:83,I28,84:84)-SUMIF(83:83,C28,84:84)+100</f>
        <v>100</v>
      </c>
      <c r="K28" s="561"/>
      <c r="L28" s="2717"/>
      <c r="M28" s="2711"/>
      <c r="N28" s="2711"/>
      <c r="O28" s="2711"/>
      <c r="P28" s="3788"/>
      <c r="Q28" s="1350" t="str">
        <f t="shared" si="11"/>
        <v>公共部分装修</v>
      </c>
      <c r="R28" s="705" t="s">
        <v>14</v>
      </c>
      <c r="S28" s="706">
        <f t="shared" si="12"/>
        <v>100</v>
      </c>
      <c r="T28" s="705" t="s">
        <v>14</v>
      </c>
      <c r="U28" s="706">
        <f t="shared" si="13"/>
        <v>100</v>
      </c>
      <c r="V28" s="705" t="s">
        <v>14</v>
      </c>
      <c r="W28" s="706">
        <f t="shared" si="14"/>
        <v>100</v>
      </c>
      <c r="X28" s="1353"/>
      <c r="Y28" s="3788"/>
      <c r="Z28" s="1354" t="str">
        <f t="shared" si="15"/>
        <v>公共部分装修</v>
      </c>
      <c r="AA28" s="1351">
        <f t="shared" si="3"/>
        <v>1</v>
      </c>
      <c r="AB28" s="1351">
        <f t="shared" si="4"/>
        <v>1</v>
      </c>
      <c r="AC28" s="1351">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7"/>
      <c r="M29" s="2711"/>
      <c r="N29" s="2711"/>
      <c r="O29" s="2711"/>
      <c r="P29" s="3788"/>
      <c r="Q29" s="1350" t="str">
        <f t="shared" si="11"/>
        <v>成新率</v>
      </c>
      <c r="R29" s="705" t="s">
        <v>14</v>
      </c>
      <c r="S29" s="706">
        <f t="shared" si="12"/>
        <v>100</v>
      </c>
      <c r="T29" s="705" t="s">
        <v>14</v>
      </c>
      <c r="U29" s="706">
        <f t="shared" si="13"/>
        <v>100</v>
      </c>
      <c r="V29" s="705" t="s">
        <v>14</v>
      </c>
      <c r="W29" s="706">
        <f t="shared" si="14"/>
        <v>100</v>
      </c>
      <c r="X29" s="1353"/>
      <c r="Y29" s="3788"/>
      <c r="Z29" s="1354" t="str">
        <f t="shared" si="15"/>
        <v>成新率</v>
      </c>
      <c r="AA29" s="1351">
        <f t="shared" si="3"/>
        <v>1</v>
      </c>
      <c r="AB29" s="1351">
        <f t="shared" si="4"/>
        <v>1</v>
      </c>
      <c r="AC29" s="1351">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88"/>
      <c r="Q30" s="1350" t="str">
        <f t="shared" si="11"/>
        <v>物业等级</v>
      </c>
      <c r="R30" s="705" t="s">
        <v>14</v>
      </c>
      <c r="S30" s="706">
        <f t="shared" si="12"/>
        <v>100</v>
      </c>
      <c r="T30" s="705" t="s">
        <v>14</v>
      </c>
      <c r="U30" s="706">
        <f t="shared" si="13"/>
        <v>100</v>
      </c>
      <c r="V30" s="705" t="s">
        <v>14</v>
      </c>
      <c r="W30" s="706">
        <f t="shared" si="14"/>
        <v>100</v>
      </c>
      <c r="X30" s="1353"/>
      <c r="Y30" s="3788"/>
      <c r="Z30" s="1354" t="str">
        <f t="shared" si="15"/>
        <v>物业等级</v>
      </c>
      <c r="AA30" s="1351">
        <f t="shared" si="3"/>
        <v>1</v>
      </c>
      <c r="AB30" s="1351">
        <f t="shared" si="4"/>
        <v>1</v>
      </c>
      <c r="AC30" s="1351">
        <f t="shared" si="5"/>
        <v>1</v>
      </c>
    </row>
    <row r="31" spans="1:29" s="108" customFormat="1" ht="15">
      <c r="A31" s="606"/>
      <c r="B31" s="602" t="s">
        <v>1841</v>
      </c>
      <c r="C31" s="420">
        <v>29</v>
      </c>
      <c r="D31" s="127">
        <v>100</v>
      </c>
      <c r="E31" s="420">
        <v>32</v>
      </c>
      <c r="F31" s="412">
        <f>LOOKUP(E31,91:91,92:92)-LOOKUP(C31,91:91,92:92)+100</f>
        <v>100</v>
      </c>
      <c r="G31" s="420">
        <v>34</v>
      </c>
      <c r="H31" s="386">
        <f>LOOKUP(G31,91:91,92:92)-LOOKUP(C31,91:91,92:92)+100</f>
        <v>100</v>
      </c>
      <c r="I31" s="420">
        <v>40</v>
      </c>
      <c r="J31" s="386">
        <f>LOOKUP(I31,91:91,92:92)-LOOKUP(C31,91:91,92:92)+100</f>
        <v>102</v>
      </c>
      <c r="K31" s="561">
        <v>2</v>
      </c>
      <c r="L31" s="2712"/>
      <c r="M31" s="2713"/>
      <c r="N31" s="2713"/>
      <c r="O31" s="2713"/>
      <c r="P31" s="3788"/>
      <c r="Q31" s="1341" t="str">
        <f t="shared" si="11"/>
        <v>停车位面积</v>
      </c>
      <c r="R31" s="701" t="s">
        <v>14</v>
      </c>
      <c r="S31" s="702">
        <f t="shared" si="12"/>
        <v>100</v>
      </c>
      <c r="T31" s="701" t="s">
        <v>14</v>
      </c>
      <c r="U31" s="702">
        <f t="shared" si="13"/>
        <v>100</v>
      </c>
      <c r="V31" s="701" t="s">
        <v>14</v>
      </c>
      <c r="W31" s="702">
        <f t="shared" si="14"/>
        <v>102</v>
      </c>
      <c r="X31" s="703"/>
      <c r="Y31" s="3788"/>
      <c r="Z31" s="52" t="str">
        <f t="shared" si="15"/>
        <v>停车位面积</v>
      </c>
      <c r="AA31" s="704">
        <f t="shared" si="3"/>
        <v>1</v>
      </c>
      <c r="AB31" s="704">
        <f t="shared" si="4"/>
        <v>1</v>
      </c>
      <c r="AC31" s="704">
        <f t="shared" si="5"/>
        <v>0.98039215686274506</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88" t="s">
        <v>1696</v>
      </c>
      <c r="Q32" s="1350" t="str">
        <f t="shared" si="11"/>
        <v>车位类型</v>
      </c>
      <c r="R32" s="705" t="s">
        <v>14</v>
      </c>
      <c r="S32" s="706">
        <f t="shared" si="12"/>
        <v>100</v>
      </c>
      <c r="T32" s="705" t="s">
        <v>14</v>
      </c>
      <c r="U32" s="706">
        <f t="shared" si="13"/>
        <v>100</v>
      </c>
      <c r="V32" s="705" t="s">
        <v>14</v>
      </c>
      <c r="W32" s="706">
        <f t="shared" si="14"/>
        <v>100</v>
      </c>
      <c r="X32" s="1353"/>
      <c r="Y32" s="378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88"/>
      <c r="Q33" s="1350" t="str">
        <f t="shared" si="11"/>
        <v>是否直接入户</v>
      </c>
      <c r="R33" s="705" t="s">
        <v>14</v>
      </c>
      <c r="S33" s="706">
        <f t="shared" si="12"/>
        <v>100</v>
      </c>
      <c r="T33" s="705" t="s">
        <v>14</v>
      </c>
      <c r="U33" s="706">
        <f t="shared" si="13"/>
        <v>100</v>
      </c>
      <c r="V33" s="705" t="s">
        <v>14</v>
      </c>
      <c r="W33" s="706">
        <f t="shared" si="14"/>
        <v>100</v>
      </c>
      <c r="X33" s="1353"/>
      <c r="Y33" s="378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88"/>
      <c r="Q34" s="1350">
        <f t="shared" si="11"/>
        <v>111</v>
      </c>
      <c r="R34" s="705" t="s">
        <v>14</v>
      </c>
      <c r="S34" s="706">
        <f t="shared" si="12"/>
        <v>100</v>
      </c>
      <c r="T34" s="705" t="s">
        <v>14</v>
      </c>
      <c r="U34" s="706">
        <f t="shared" si="13"/>
        <v>100</v>
      </c>
      <c r="V34" s="705" t="s">
        <v>14</v>
      </c>
      <c r="W34" s="706">
        <f t="shared" si="14"/>
        <v>100</v>
      </c>
      <c r="X34" s="1353"/>
      <c r="Y34" s="378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88"/>
      <c r="Q35" s="707">
        <f t="shared" si="11"/>
        <v>111</v>
      </c>
      <c r="R35" s="708" t="s">
        <v>14</v>
      </c>
      <c r="S35" s="709">
        <f t="shared" si="12"/>
        <v>100</v>
      </c>
      <c r="T35" s="708" t="s">
        <v>14</v>
      </c>
      <c r="U35" s="709">
        <f t="shared" si="13"/>
        <v>100</v>
      </c>
      <c r="V35" s="708" t="s">
        <v>14</v>
      </c>
      <c r="W35" s="709">
        <f t="shared" si="14"/>
        <v>100</v>
      </c>
      <c r="X35" s="710"/>
      <c r="Y35" s="3788"/>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88"/>
      <c r="Q36" s="1350">
        <f t="shared" si="11"/>
        <v>111</v>
      </c>
      <c r="R36" s="705" t="s">
        <v>14</v>
      </c>
      <c r="S36" s="706">
        <f t="shared" si="12"/>
        <v>100</v>
      </c>
      <c r="T36" s="705" t="s">
        <v>14</v>
      </c>
      <c r="U36" s="706">
        <f t="shared" si="13"/>
        <v>100</v>
      </c>
      <c r="V36" s="705" t="s">
        <v>14</v>
      </c>
      <c r="W36" s="706">
        <f t="shared" si="14"/>
        <v>100</v>
      </c>
      <c r="X36" s="1353"/>
      <c r="Y36" s="3788"/>
      <c r="Z36" s="1354">
        <f t="shared" si="15"/>
        <v>111</v>
      </c>
      <c r="AA36" s="1351">
        <f t="shared" si="3"/>
        <v>1</v>
      </c>
      <c r="AB36" s="1351">
        <f t="shared" si="4"/>
        <v>1</v>
      </c>
      <c r="AC36" s="1351">
        <f t="shared" si="5"/>
        <v>1</v>
      </c>
    </row>
    <row r="37" spans="1:29" ht="15">
      <c r="A37" s="430" t="s">
        <v>1844</v>
      </c>
      <c r="B37" s="1968" t="s">
        <v>4915</v>
      </c>
      <c r="C37" s="1153" t="s">
        <v>0</v>
      </c>
      <c r="D37" s="1154"/>
      <c r="E37" s="1155">
        <f>车位案例!R8</f>
        <v>136209</v>
      </c>
      <c r="F37" s="1156"/>
      <c r="G37" s="1157">
        <f>车位案例!R35</f>
        <v>131250</v>
      </c>
      <c r="H37" s="1158"/>
      <c r="I37" s="1155">
        <f>车位案例!R68</f>
        <v>130694</v>
      </c>
      <c r="J37" s="1158"/>
      <c r="K37" s="568"/>
      <c r="L37" s="2719"/>
      <c r="M37" s="2720"/>
      <c r="N37" s="2711"/>
      <c r="O37" s="2720"/>
      <c r="P37" s="3781" t="str">
        <f>A37</f>
        <v>成交单价</v>
      </c>
      <c r="Q37" s="3781"/>
      <c r="R37" s="3782">
        <f>E37</f>
        <v>136209</v>
      </c>
      <c r="S37" s="3782"/>
      <c r="T37" s="3782">
        <f>G37</f>
        <v>131250</v>
      </c>
      <c r="U37" s="3782"/>
      <c r="V37" s="3782">
        <f>I37</f>
        <v>130694</v>
      </c>
      <c r="W37" s="3782"/>
      <c r="X37" s="690"/>
      <c r="Y37" s="712"/>
      <c r="Z37" s="690"/>
      <c r="AA37" s="690"/>
      <c r="AB37" s="690"/>
      <c r="AC37" s="690"/>
    </row>
    <row r="38" spans="1:29" ht="15.75" thickBot="1">
      <c r="A38" s="437" t="s">
        <v>1845</v>
      </c>
      <c r="B38" s="438" t="str">
        <f>B37</f>
        <v>元/车位</v>
      </c>
      <c r="C38" s="1159">
        <f>R39</f>
        <v>131863</v>
      </c>
      <c r="D38" s="2312" t="s">
        <v>2136</v>
      </c>
      <c r="E38" s="1160">
        <f>R38</f>
        <v>136209</v>
      </c>
      <c r="F38" s="2313"/>
      <c r="G38" s="1159">
        <f>T38</f>
        <v>131250</v>
      </c>
      <c r="H38" s="2313"/>
      <c r="I38" s="1160">
        <f>V38</f>
        <v>128131</v>
      </c>
      <c r="J38" s="2313"/>
      <c r="K38" s="2315">
        <f>F38+H38+J38</f>
        <v>0</v>
      </c>
      <c r="L38" s="2719"/>
      <c r="M38" s="2720"/>
      <c r="N38" s="2720"/>
      <c r="O38" s="2720"/>
      <c r="P38" s="3781" t="str">
        <f>A38</f>
        <v>比较价值（元/平方米）</v>
      </c>
      <c r="Q38" s="3781"/>
      <c r="R38" s="3782">
        <f>IF(F1="售价",ROUND(PRODUCT(R37,AA7:AA36),0),ROUND(PRODUCT(R37,AA7:AA36),1))</f>
        <v>136209</v>
      </c>
      <c r="S38" s="3782"/>
      <c r="T38" s="3782">
        <f>IF(F1="售价",ROUND(PRODUCT(T37,AB7:AB36),0),ROUND(PRODUCT(T37,AB7:AB36),1))</f>
        <v>131250</v>
      </c>
      <c r="U38" s="3782"/>
      <c r="V38" s="3782">
        <f>IF(F1="售价",ROUND(PRODUCT(V37,AC7:AC36),0),ROUND(PRODUCT(V37,AC7:AC36),1))</f>
        <v>128131</v>
      </c>
      <c r="W38" s="3782"/>
      <c r="X38" s="690"/>
      <c r="Y38" s="690"/>
      <c r="Z38" s="690"/>
      <c r="AA38" s="690"/>
      <c r="AB38" s="690"/>
      <c r="AC38" s="690"/>
    </row>
    <row r="39" spans="1:29" ht="15.75" thickBot="1">
      <c r="A39" s="441" t="s">
        <v>1846</v>
      </c>
      <c r="B39" s="442"/>
      <c r="C39" s="1162">
        <f>R39</f>
        <v>131863</v>
      </c>
      <c r="D39" s="1162"/>
      <c r="E39" s="1162"/>
      <c r="F39" s="1162"/>
      <c r="G39" s="1162"/>
      <c r="H39" s="1162"/>
      <c r="I39" s="1162"/>
      <c r="J39" s="1162"/>
      <c r="K39" s="569"/>
      <c r="L39" s="2719"/>
      <c r="M39" s="2720"/>
      <c r="N39" s="2720"/>
      <c r="O39" s="2720"/>
      <c r="P39" s="3778" t="str">
        <f>A39</f>
        <v>估价对象XX用房的比较价值（楼面单价，元/平方米）</v>
      </c>
      <c r="Q39" s="3779"/>
      <c r="R39" s="3872">
        <f>IF(F1="售价",ROUND(IF(D38="简单平均",AVERAGE(R38:W38),R38*F38+T38*H38+V38*J38),0),ROUND(IF(D38="简单平均",AVERAGE(R38:V38),R38*F38+T38*H38+V38*J38),1))</f>
        <v>131863</v>
      </c>
      <c r="S39" s="3872"/>
      <c r="T39" s="3872"/>
      <c r="U39" s="3872"/>
      <c r="V39" s="3872"/>
      <c r="W39" s="3872"/>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f>IF(E37&lt;E38,E38/E37-1,E37/E38-1)</f>
        <v>0</v>
      </c>
      <c r="F42" s="449" t="str">
        <f>IF(OR(E42&gt;=0.3,E42&lt;=-0.3),"超过30%","")</f>
        <v/>
      </c>
      <c r="G42" s="448">
        <f>IF(G37&lt;G38,G38/G37-1,G37/G38-1)</f>
        <v>0</v>
      </c>
      <c r="H42" s="449" t="str">
        <f>IF(OR(G42&gt;=0.3,G42&lt;=-0.3),"超过30%","")</f>
        <v/>
      </c>
      <c r="I42" s="448">
        <f>IF(I37&lt;I38,I38/I37-1,I37/I38-1)</f>
        <v>2.0002965714776222E-2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f>IF(E38&lt;G38,G38/E38-1,E38/G38-1)</f>
        <v>3.7782857142857118E-2</v>
      </c>
      <c r="F43" s="449" t="str">
        <f>IF(OR(E43&gt;=0.2,E43&lt;=-0.2),"超过20%","")</f>
        <v/>
      </c>
      <c r="G43" s="448">
        <f>IF(G38&lt;I38,I38/G38-1,G38/I38-1)</f>
        <v>2.4342274703233358E-2</v>
      </c>
      <c r="H43" s="449" t="str">
        <f>IF(OR(G43&gt;=0.2,G43&lt;=-0.2),"超过20%","")</f>
        <v/>
      </c>
      <c r="I43" s="448">
        <f>IF(I38&lt;E38,E38/I38-1,I38/E38-1)</f>
        <v>6.3044852533735041E-2</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f>IF(E37&lt;G37,G37/E37-1,E37/G37-1)</f>
        <v>3.7782857142857118E-2</v>
      </c>
      <c r="F44" s="449" t="str">
        <f>IF(OR(E44&gt;=0.3,E44&lt;=-0.3),"超过30%","")</f>
        <v/>
      </c>
      <c r="G44" s="448">
        <f>IF(G37&lt;I37,I37/G37-1,G37/I37-1)</f>
        <v>4.2542121290953805E-3</v>
      </c>
      <c r="H44" s="449" t="str">
        <f>IF(OR(G44&gt;=0.3,G44&lt;=-0.3),"超过30%","")</f>
        <v/>
      </c>
      <c r="I44" s="448">
        <f>IF(I37&lt;E37,E37/I37-1,I37/E37-1)</f>
        <v>4.2197805561081658E-2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1850</v>
      </c>
      <c r="B47" s="927"/>
      <c r="C47" s="940"/>
      <c r="D47" s="940"/>
      <c r="E47" s="940"/>
      <c r="F47" s="1166"/>
      <c r="G47" s="1166"/>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2" t="str">
        <f>YEAR(C7)&amp;"-"&amp;MONTH(C7)</f>
        <v>2023-7</v>
      </c>
      <c r="D48" s="1183">
        <f>EDATE(C48,-1)</f>
        <v>45078</v>
      </c>
      <c r="E48" s="1183">
        <f t="shared" ref="E48:O48" si="16">EDATE(D48,-1)</f>
        <v>45047</v>
      </c>
      <c r="F48" s="1183">
        <f t="shared" si="16"/>
        <v>45017</v>
      </c>
      <c r="G48" s="1183">
        <f t="shared" si="16"/>
        <v>44986</v>
      </c>
      <c r="H48" s="1183">
        <f t="shared" si="16"/>
        <v>44958</v>
      </c>
      <c r="I48" s="1183">
        <f t="shared" si="16"/>
        <v>44927</v>
      </c>
      <c r="J48" s="1183">
        <f t="shared" si="16"/>
        <v>44896</v>
      </c>
      <c r="K48" s="1183">
        <f t="shared" si="16"/>
        <v>44866</v>
      </c>
      <c r="L48" s="1183">
        <f t="shared" si="16"/>
        <v>44835</v>
      </c>
      <c r="M48" s="1183">
        <f t="shared" si="16"/>
        <v>44805</v>
      </c>
      <c r="N48" s="1183">
        <f t="shared" si="16"/>
        <v>44774</v>
      </c>
      <c r="O48" s="1183">
        <f t="shared" si="16"/>
        <v>44743</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0(含)-25</v>
      </c>
      <c r="D90" s="527" t="str">
        <f t="shared" ref="D90:L90" si="21">D91&amp;"(含)"&amp;"-"&amp;E91</f>
        <v>25(含)-35</v>
      </c>
      <c r="E90" s="527" t="str">
        <f t="shared" si="21"/>
        <v>35(含)-45</v>
      </c>
      <c r="F90" s="527" t="str">
        <f t="shared" si="21"/>
        <v>45(含)-55</v>
      </c>
      <c r="G90" s="527" t="str">
        <f t="shared" si="21"/>
        <v>55(含)-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v>102</v>
      </c>
      <c r="E92" s="485">
        <v>104</v>
      </c>
      <c r="F92" s="485">
        <v>106</v>
      </c>
      <c r="G92" s="485">
        <v>108</v>
      </c>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10" sqref="G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3920</v>
      </c>
      <c r="D1" s="1360" t="s">
        <v>43</v>
      </c>
      <c r="E1" s="1361" t="s">
        <v>678</v>
      </c>
      <c r="F1" s="1061">
        <f ca="1">J53</f>
        <v>46.25</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0">
        <f ca="1">ROUND(D2/10000,4)</f>
        <v>8.1356000000000002</v>
      </c>
      <c r="C2" s="1385" t="s">
        <v>879</v>
      </c>
      <c r="D2" s="1469">
        <f ca="1">C40+J29+L46</f>
        <v>81356</v>
      </c>
      <c r="E2" s="1386" t="s">
        <v>880</v>
      </c>
      <c r="F2" s="1387"/>
      <c r="G2" s="2701"/>
      <c r="H2" s="2690"/>
      <c r="I2" s="2690"/>
      <c r="J2" s="2690"/>
      <c r="K2" s="2691"/>
      <c r="L2" s="2690"/>
      <c r="M2" s="2690"/>
    </row>
    <row r="3" spans="1:37" ht="18" customHeight="1" thickBot="1">
      <c r="A3" s="1388" t="s">
        <v>881</v>
      </c>
      <c r="B3" s="1389">
        <f ca="1">IF(ISERROR(D2/F43),0,ROUND(D2/F43,0))</f>
        <v>2801</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5400</v>
      </c>
      <c r="D5" s="1362" t="s">
        <v>889</v>
      </c>
      <c r="E5" s="1070"/>
      <c r="F5" s="1071"/>
      <c r="G5" s="1382"/>
      <c r="H5" s="299">
        <v>1</v>
      </c>
      <c r="I5" s="300" t="s">
        <v>888</v>
      </c>
      <c r="J5" s="1069">
        <f ca="1">J6+J10+J12</f>
        <v>0</v>
      </c>
      <c r="K5" s="1362" t="s">
        <v>889</v>
      </c>
      <c r="L5" s="1070"/>
      <c r="M5" s="1071"/>
    </row>
    <row r="6" spans="1:37" ht="18" customHeight="1">
      <c r="A6" s="1068" t="s">
        <v>398</v>
      </c>
      <c r="B6" s="3833" t="s">
        <v>694</v>
      </c>
      <c r="C6" s="1073">
        <f ca="1">ROUND(F6*F8*F7*(1-F9),0)</f>
        <v>5400</v>
      </c>
      <c r="D6" s="155" t="s">
        <v>2104</v>
      </c>
      <c r="E6" s="302" t="s">
        <v>696</v>
      </c>
      <c r="F6" s="303">
        <f ca="1">INDIRECT("'数据-取费表'!u"&amp;$G$1)</f>
        <v>500</v>
      </c>
      <c r="G6" s="1382"/>
      <c r="H6" s="1068" t="s">
        <v>398</v>
      </c>
      <c r="I6" s="3833" t="s">
        <v>694</v>
      </c>
      <c r="J6" s="301">
        <f ca="1">ROUND(M6*M8*M7*(1-M9),0)</f>
        <v>0</v>
      </c>
      <c r="K6" s="1374" t="s">
        <v>2105</v>
      </c>
      <c r="L6" s="302" t="s">
        <v>696</v>
      </c>
      <c r="M6" s="303">
        <f ca="1">INDIRECT("'数据-取费表'!z"&amp;$G$1)</f>
        <v>0</v>
      </c>
    </row>
    <row r="7" spans="1:37" ht="18" customHeight="1">
      <c r="A7" s="1072"/>
      <c r="B7" s="3834"/>
      <c r="C7" s="1074"/>
      <c r="D7" s="307"/>
      <c r="E7" s="1075" t="s">
        <v>697</v>
      </c>
      <c r="F7" s="303">
        <f ca="1">IF(INDIRECT("'数据-取费表'!ah"&amp;$G$1)="",INDIRECT("'数据-取费表'!k"&amp;$G$1),INDIRECT("'数据-取费表'!ah"&amp;$G$1))</f>
        <v>1</v>
      </c>
      <c r="G7" s="1382"/>
      <c r="H7" s="304"/>
      <c r="I7" s="3834"/>
      <c r="J7" s="306"/>
      <c r="K7" s="307"/>
      <c r="L7" s="302" t="s">
        <v>697</v>
      </c>
      <c r="M7" s="303">
        <f ca="1">F7</f>
        <v>1</v>
      </c>
    </row>
    <row r="8" spans="1:37" ht="18" customHeight="1">
      <c r="A8" s="304"/>
      <c r="B8" s="3834"/>
      <c r="C8" s="306"/>
      <c r="D8" s="307"/>
      <c r="E8" s="302" t="s">
        <v>698</v>
      </c>
      <c r="F8" s="303">
        <f ca="1">INDIRECT("'数据-取费表'!ai"&amp;$G$1)</f>
        <v>12</v>
      </c>
      <c r="G8" s="1382"/>
      <c r="H8" s="304"/>
      <c r="I8" s="3834"/>
      <c r="J8" s="306"/>
      <c r="K8" s="307"/>
      <c r="L8" s="302" t="s">
        <v>698</v>
      </c>
      <c r="M8" s="303">
        <f ca="1">INDIRECT("'数据-取费表'!ai"&amp;$G$1)</f>
        <v>12</v>
      </c>
    </row>
    <row r="9" spans="1:37" ht="18" customHeight="1">
      <c r="A9" s="304"/>
      <c r="B9" s="3835"/>
      <c r="C9" s="306"/>
      <c r="D9" s="307"/>
      <c r="E9" s="302" t="s">
        <v>699</v>
      </c>
      <c r="F9" s="312">
        <f ca="1">INDIRECT("'数据-取费表'!w"&amp;$G$1)</f>
        <v>0.1</v>
      </c>
      <c r="G9" s="1382"/>
      <c r="H9" s="304"/>
      <c r="I9" s="383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3922</v>
      </c>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132804</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101675</v>
      </c>
      <c r="D14" s="1343" t="s">
        <v>708</v>
      </c>
      <c r="E14" s="1340"/>
      <c r="F14" s="319"/>
      <c r="G14" s="1382"/>
      <c r="H14" s="982" t="s">
        <v>398</v>
      </c>
      <c r="I14" s="302" t="s">
        <v>709</v>
      </c>
      <c r="J14" s="21">
        <f ca="1">C29</f>
        <v>132804</v>
      </c>
      <c r="K14" s="12"/>
      <c r="L14" s="807"/>
      <c r="M14" s="808"/>
    </row>
    <row r="15" spans="1:37" s="1395" customFormat="1" ht="18" customHeight="1" thickBot="1">
      <c r="A15" s="982" t="s">
        <v>399</v>
      </c>
      <c r="B15" s="302" t="s">
        <v>710</v>
      </c>
      <c r="C15" s="21">
        <f ca="1">ROUND(C14*F15,0)</f>
        <v>3050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1328</v>
      </c>
      <c r="K16" s="1086" t="s">
        <v>715</v>
      </c>
      <c r="L16" s="1087"/>
      <c r="M16" s="1071"/>
    </row>
    <row r="17" spans="1:37" s="1395" customFormat="1" ht="18" customHeight="1">
      <c r="A17" s="982" t="s">
        <v>681</v>
      </c>
      <c r="B17" s="302" t="s">
        <v>716</v>
      </c>
      <c r="C17" s="21">
        <f ca="1">ROUND(F17*(F43+INDIRECT("'数据-取费表'!S"&amp;$G$1)),0)</f>
        <v>5810</v>
      </c>
      <c r="D17" s="302" t="s">
        <v>717</v>
      </c>
      <c r="E17" s="302" t="s">
        <v>718</v>
      </c>
      <c r="F17" s="23">
        <f>'数据-取费表'!B35</f>
        <v>200</v>
      </c>
      <c r="G17" s="1394"/>
      <c r="H17" s="982" t="s">
        <v>398</v>
      </c>
      <c r="I17" s="302" t="s">
        <v>719</v>
      </c>
      <c r="J17" s="2311">
        <f ca="1">ROUND(IF(AND(项目基本情况!B11="自然人",项目基本情况!B10="北京市"),J6*M17/(1+'数据-取费表'!C42),J18+J19+J20),0)</f>
        <v>0</v>
      </c>
      <c r="K17" s="1343" t="s">
        <v>720</v>
      </c>
      <c r="L17" s="1342" t="s">
        <v>721</v>
      </c>
      <c r="M17" s="2310"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1525</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0</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112060</v>
      </c>
      <c r="D19" s="131" t="s">
        <v>726</v>
      </c>
      <c r="E19" s="1358"/>
      <c r="F19" s="23"/>
      <c r="G19" s="1382"/>
      <c r="H19" s="982"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2" t="s">
        <v>402</v>
      </c>
      <c r="B20" s="302" t="s">
        <v>728</v>
      </c>
      <c r="C20" s="21">
        <f ca="1">ROUND(C19*F20,0)</f>
        <v>2241</v>
      </c>
      <c r="D20" s="3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1328</v>
      </c>
      <c r="K22" s="1342" t="s">
        <v>739</v>
      </c>
      <c r="L22" s="302" t="s">
        <v>712</v>
      </c>
      <c r="M22" s="328">
        <f ca="1">INDIRECT("'数据-取费表'!Ak"&amp;$G$1)</f>
        <v>0.01</v>
      </c>
    </row>
    <row r="23" spans="1:37" s="1395" customFormat="1" ht="18" customHeight="1">
      <c r="A23" s="982" t="s">
        <v>397</v>
      </c>
      <c r="B23" s="302" t="s">
        <v>740</v>
      </c>
      <c r="C23" s="21">
        <f ca="1">IF('数据-取费表'!B22&lt;=1,ROUND(C19*F24*F23/2,0)+ROUND(C20*F24*F23/2,0),ROUND(C19*(POWER((1+F24),F23/2)-1),0)+ROUND(C20*(POWER((1+F24),F23/2)-1),0))</f>
        <v>4058</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-1328</v>
      </c>
      <c r="K25" s="1094" t="s">
        <v>753</v>
      </c>
      <c r="L25" s="1095"/>
      <c r="M25" s="1096"/>
    </row>
    <row r="26" spans="1:37" ht="18" customHeight="1">
      <c r="A26" s="982" t="s">
        <v>397</v>
      </c>
      <c r="B26" s="302" t="s">
        <v>754</v>
      </c>
      <c r="C26" s="21">
        <f ca="1">ROUND((C19+C20)*F26,0)</f>
        <v>11430</v>
      </c>
      <c r="D26" s="3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0</v>
      </c>
      <c r="D28" s="323" t="s">
        <v>765</v>
      </c>
      <c r="E28" s="302" t="s">
        <v>712</v>
      </c>
      <c r="F28" s="322">
        <f>'数据-取费表'!B41</f>
        <v>0</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132804</v>
      </c>
      <c r="D29" s="1091"/>
      <c r="E29" s="1089"/>
      <c r="F29" s="1092"/>
      <c r="G29" s="1394"/>
      <c r="H29" s="334" t="s">
        <v>396</v>
      </c>
      <c r="I29" s="335" t="s">
        <v>768</v>
      </c>
      <c r="J29" s="336">
        <f ca="1">ROUND(J26/(1+F40)^F41,0)</f>
        <v>0</v>
      </c>
      <c r="K29" s="337" t="s">
        <v>769</v>
      </c>
      <c r="L29" s="338"/>
      <c r="M29" s="339">
        <f ca="1">INDIRECT("'数据-取费表'!k"&amp;$G$1)</f>
        <v>29.05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2163</v>
      </c>
      <c r="D30" s="1086" t="s">
        <v>715</v>
      </c>
      <c r="E30" s="1087"/>
      <c r="F30" s="1071"/>
      <c r="G30" s="1382"/>
      <c r="H30" s="2692"/>
      <c r="I30" s="1396"/>
      <c r="J30" s="1397"/>
      <c r="K30" s="2470"/>
      <c r="L30" s="2693"/>
      <c r="M30" s="2694"/>
    </row>
    <row r="31" spans="1:37" ht="18" customHeight="1">
      <c r="A31" s="982" t="s">
        <v>398</v>
      </c>
      <c r="B31" s="302" t="s">
        <v>719</v>
      </c>
      <c r="C31" s="2311">
        <f ca="1">ROUND(IF(AND(项目基本情况!B11="自然人",项目基本情况!B10="北京市"),C6*F31/(1+'数据-取费表'!C42),C32+C33+C34),0)</f>
        <v>648</v>
      </c>
      <c r="D31" s="1343" t="s">
        <v>720</v>
      </c>
      <c r="E31" s="1342" t="s">
        <v>770</v>
      </c>
      <c r="F31" s="2310" t="str">
        <f>IF(项目基本情况!B11="企业","——",IF(M47="住宅",IF(F6*F7*F8/12/(1+'数据-取费表'!F30)&gt;100000,4%,2.5%),IF(F6*F7*F8/12/(1+'数据-取费表'!F30)&gt;100000,12%,7%)))</f>
        <v>——</v>
      </c>
      <c r="G31" s="1382"/>
      <c r="H31" s="2803" t="s">
        <v>2308</v>
      </c>
      <c r="I31" s="1396"/>
      <c r="J31" s="1397"/>
      <c r="K31" s="2470"/>
      <c r="L31" s="2693"/>
      <c r="M31" s="2694"/>
    </row>
    <row r="32" spans="1:37" ht="18" customHeight="1">
      <c r="A32" s="982" t="s">
        <v>397</v>
      </c>
      <c r="B32" s="302" t="s">
        <v>723</v>
      </c>
      <c r="C32" s="21">
        <f ca="1">IF(项目基本情况!B11="自然人","——",ROUND(C6*F32/(1+'数据-取费表'!C42),0))</f>
        <v>0</v>
      </c>
      <c r="D32" s="1342" t="s">
        <v>724</v>
      </c>
      <c r="E32" s="302" t="s">
        <v>712</v>
      </c>
      <c r="F32" s="331">
        <f>'数据-取费表'!B41</f>
        <v>0</v>
      </c>
      <c r="G32" s="1382"/>
      <c r="H32" s="2692"/>
      <c r="I32" s="1396"/>
      <c r="J32" s="1397"/>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648</v>
      </c>
      <c r="D33" s="1368" t="s">
        <v>3340</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1328</v>
      </c>
      <c r="D36" s="1342" t="s">
        <v>771</v>
      </c>
      <c r="E36" s="302" t="s">
        <v>712</v>
      </c>
      <c r="F36" s="328">
        <f ca="1">INDIRECT("'数据-取费表'!Ak"&amp;$G$1)</f>
        <v>0.01</v>
      </c>
      <c r="G36" s="1382"/>
      <c r="H36" s="2695"/>
      <c r="I36" s="1396"/>
      <c r="J36" s="1397"/>
      <c r="K36" s="2539"/>
      <c r="L36" s="2695"/>
      <c r="M36" s="2695"/>
    </row>
    <row r="37" spans="1:18" ht="18" customHeight="1">
      <c r="A37" s="982" t="s">
        <v>437</v>
      </c>
      <c r="B37" s="302" t="s">
        <v>742</v>
      </c>
      <c r="C37" s="21">
        <f ca="1">ROUND(C13*F37,0)</f>
        <v>133</v>
      </c>
      <c r="D37" s="1342" t="s">
        <v>743</v>
      </c>
      <c r="E37" s="302" t="s">
        <v>744</v>
      </c>
      <c r="F37" s="330">
        <f ca="1">INDIRECT("'数据-取费表'!Al"&amp;$G$1)</f>
        <v>1E-3</v>
      </c>
      <c r="G37" s="1382"/>
      <c r="H37" s="2695"/>
      <c r="I37" s="1396"/>
      <c r="J37" s="1397"/>
      <c r="K37" s="2539"/>
      <c r="L37" s="2695"/>
      <c r="M37" s="2695"/>
    </row>
    <row r="38" spans="1:18" ht="18" customHeight="1" thickBot="1">
      <c r="A38" s="1088" t="s">
        <v>684</v>
      </c>
      <c r="B38" s="1089" t="s">
        <v>728</v>
      </c>
      <c r="C38" s="1090">
        <f ca="1">ROUND(C5*F38,0)</f>
        <v>54</v>
      </c>
      <c r="D38" s="1091" t="s">
        <v>748</v>
      </c>
      <c r="E38" s="1089" t="s">
        <v>744</v>
      </c>
      <c r="F38" s="1085">
        <f ca="1">INDIRECT("'数据-取费表'!Am"&amp;$G$1)</f>
        <v>0.01</v>
      </c>
      <c r="G38" s="1382"/>
      <c r="H38" s="2695"/>
      <c r="I38" s="1396"/>
      <c r="J38" s="1397"/>
      <c r="K38" s="2699"/>
      <c r="L38" s="2695"/>
      <c r="M38" s="2695"/>
    </row>
    <row r="39" spans="1:18" ht="24.6" customHeight="1" thickTop="1">
      <c r="A39" s="1078" t="s">
        <v>394</v>
      </c>
      <c r="B39" s="1093" t="s">
        <v>772</v>
      </c>
      <c r="C39" s="310">
        <f ca="1">C5-C30</f>
        <v>3237</v>
      </c>
      <c r="D39" s="1094" t="s">
        <v>773</v>
      </c>
      <c r="E39" s="1095"/>
      <c r="F39" s="1096"/>
      <c r="G39" s="1382"/>
      <c r="H39" s="2695"/>
      <c r="I39" s="1396"/>
      <c r="J39" s="1397"/>
      <c r="K39" s="2699"/>
      <c r="L39" s="2695"/>
      <c r="M39" s="2695"/>
    </row>
    <row r="40" spans="1:18" ht="18" customHeight="1">
      <c r="A40" s="299" t="s">
        <v>395</v>
      </c>
      <c r="B40" s="300" t="s">
        <v>774</v>
      </c>
      <c r="C40" s="301">
        <f ca="1">ROUND(C39*(1-((1+F42)/(1+F40))^F41)/(F40-F42),0)</f>
        <v>79483</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46.25</v>
      </c>
      <c r="G41" s="1382"/>
      <c r="H41" s="1189"/>
      <c r="I41" s="1396"/>
      <c r="J41" s="1397"/>
      <c r="K41" s="2539"/>
      <c r="L41" s="1189"/>
      <c r="M41" s="1189"/>
    </row>
    <row r="42" spans="1:18" ht="18" customHeight="1">
      <c r="A42" s="308"/>
      <c r="B42" s="309"/>
      <c r="C42" s="310"/>
      <c r="D42" s="327"/>
      <c r="E42" s="302" t="s">
        <v>766</v>
      </c>
      <c r="F42" s="312">
        <f ca="1">INDIRECT("'数据-取费表'!v"&amp;$G$1)</f>
        <v>2.5000000000000001E-2</v>
      </c>
      <c r="G42" s="1382"/>
      <c r="H42" s="1189"/>
      <c r="I42" s="1396"/>
      <c r="J42" s="1397"/>
      <c r="K42" s="2539"/>
      <c r="L42" s="1189"/>
      <c r="M42" s="1189"/>
    </row>
    <row r="43" spans="1:18" ht="18" customHeight="1" thickBot="1">
      <c r="A43" s="334" t="s">
        <v>396</v>
      </c>
      <c r="B43" s="335" t="s">
        <v>776</v>
      </c>
      <c r="C43" s="336">
        <f ca="1">ROUND(C40/F43,0)</f>
        <v>2736</v>
      </c>
      <c r="D43" s="337" t="s">
        <v>777</v>
      </c>
      <c r="E43" s="338" t="s">
        <v>778</v>
      </c>
      <c r="F43" s="339">
        <f ca="1">INDIRECT("'数据-取费表'!k"&amp;$G$1)</f>
        <v>29.05</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6" t="s">
        <v>3356</v>
      </c>
      <c r="B45" s="1398"/>
      <c r="C45" s="1470">
        <f ca="1">ROUND((C68-C40)/10000,4)</f>
        <v>-10.381399999999999</v>
      </c>
      <c r="D45" s="3427" t="s">
        <v>3357</v>
      </c>
      <c r="E45" s="1398"/>
      <c r="F45" s="1398"/>
      <c r="O45" s="1401" t="s">
        <v>808</v>
      </c>
      <c r="P45" s="1459"/>
      <c r="Q45" s="1459"/>
      <c r="R45" s="1459"/>
    </row>
    <row r="46" spans="1:18" s="1382" customFormat="1" ht="13.5" thickBot="1">
      <c r="A46" s="1402" t="s">
        <v>809</v>
      </c>
      <c r="C46" s="1403">
        <f ca="1">ROUND(C45,0)</f>
        <v>-10</v>
      </c>
      <c r="D46" s="1404" t="str">
        <f>C2</f>
        <v>万元</v>
      </c>
      <c r="I46" s="1405" t="s">
        <v>810</v>
      </c>
      <c r="J46" s="1406"/>
      <c r="K46" s="1407"/>
      <c r="L46" s="1408">
        <f ca="1">IF(M47="住宅",0,IF(L48&gt;J51,L60,J60))</f>
        <v>1873</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3923</v>
      </c>
      <c r="K47" s="1414" t="s">
        <v>816</v>
      </c>
      <c r="L47" s="1415">
        <f ca="1">INDIRECT("'数据-取费表'!d"&amp;$G$1)</f>
        <v>50</v>
      </c>
      <c r="M47" s="1378" t="str">
        <f>IF(ISNUMBER(FIND("住宅",C1)),"住宅","非住宅")</f>
        <v>非住宅</v>
      </c>
      <c r="O47" s="1416" t="s">
        <v>403</v>
      </c>
      <c r="P47" s="1417" t="s">
        <v>817</v>
      </c>
      <c r="Q47" s="1418">
        <f ca="1">C40+J29</f>
        <v>79483</v>
      </c>
      <c r="R47" s="1418" t="s">
        <v>818</v>
      </c>
    </row>
    <row r="48" spans="1:18" s="1382" customFormat="1" ht="28.5" thickBot="1">
      <c r="A48" s="1109" t="s">
        <v>438</v>
      </c>
      <c r="B48" s="300" t="s">
        <v>692</v>
      </c>
      <c r="C48" s="1357">
        <f ca="1">C49+C53+C55</f>
        <v>0</v>
      </c>
      <c r="D48" s="1111"/>
      <c r="E48" s="1112"/>
      <c r="F48" s="962"/>
      <c r="G48" s="722"/>
      <c r="H48" s="723"/>
      <c r="I48" s="1419" t="s">
        <v>819</v>
      </c>
      <c r="J48" s="1420" t="s">
        <v>3924</v>
      </c>
      <c r="K48" s="1421" t="s">
        <v>820</v>
      </c>
      <c r="L48" s="1422">
        <f ca="1">INDIRECT("'数据-取费表'!f"&amp;$G$1)</f>
        <v>46.25</v>
      </c>
      <c r="O48" s="1416" t="s">
        <v>404</v>
      </c>
      <c r="P48" s="1417" t="s">
        <v>821</v>
      </c>
      <c r="Q48" s="1418">
        <f ca="1">J60</f>
        <v>1873</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2023</v>
      </c>
      <c r="K49" s="1421" t="s">
        <v>824</v>
      </c>
      <c r="L49" s="1425"/>
      <c r="O49" s="1426" t="s">
        <v>405</v>
      </c>
      <c r="P49" s="1417" t="s">
        <v>825</v>
      </c>
      <c r="Q49" s="1418">
        <f ca="1">C29</f>
        <v>132804</v>
      </c>
      <c r="R49" s="1418" t="s">
        <v>818</v>
      </c>
    </row>
    <row r="50" spans="1:18" s="1382" customFormat="1" ht="13.5" thickBot="1">
      <c r="A50" s="976"/>
      <c r="B50" s="979"/>
      <c r="C50" s="980"/>
      <c r="D50" s="953"/>
      <c r="E50" s="1055" t="s">
        <v>697</v>
      </c>
      <c r="F50" s="1056">
        <f ca="1">F7</f>
        <v>1</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12</v>
      </c>
      <c r="I51" s="1430" t="s">
        <v>829</v>
      </c>
      <c r="J51" s="1431">
        <f>IF(J49="",J50,J49+J50-YEAR('数据-取费表'!B2))</f>
        <v>60</v>
      </c>
      <c r="K51" s="1432" t="s">
        <v>830</v>
      </c>
      <c r="L51" s="1433">
        <f ca="1">ROUND(-PV(INDIRECT("'数据-取费表'!h"&amp;$G$1),J51,(C39-C13*C76),0),0)</f>
        <v>-114698</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46.25</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3">
        <f ca="1">IF(M47="住宅",IF(D1="——",MAX(J51,L48),MAX(J51,L48-'数据-取费表'!B24)),IF(D1="——",MIN(J51,L48),MIN(J51,L48-'数据-取费表'!B24)))</f>
        <v>46.25</v>
      </c>
      <c r="K53" s="3831" t="s">
        <v>837</v>
      </c>
      <c r="L53" s="3832"/>
      <c r="O53" s="1416" t="s">
        <v>409</v>
      </c>
      <c r="P53" s="1417" t="s">
        <v>838</v>
      </c>
      <c r="Q53" s="1418">
        <f ca="1">Q47+Q48</f>
        <v>81356</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0.22900000000000001</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132804</v>
      </c>
      <c r="D56" s="1445"/>
      <c r="E56" s="1446"/>
      <c r="F56" s="1438"/>
      <c r="I56" s="1447" t="s">
        <v>842</v>
      </c>
      <c r="J56" s="1448" t="s">
        <v>3431</v>
      </c>
      <c r="K56" s="1419" t="s">
        <v>843</v>
      </c>
      <c r="L56" s="1422" t="str">
        <f ca="1">IF(L48&lt;J51,"——",L48-J51)</f>
        <v>——</v>
      </c>
      <c r="O56" s="1416" t="s">
        <v>403</v>
      </c>
      <c r="P56" s="1417" t="s">
        <v>817</v>
      </c>
      <c r="Q56" s="1418">
        <f ca="1">C40+J29</f>
        <v>79483</v>
      </c>
      <c r="R56" s="1418" t="s">
        <v>818</v>
      </c>
    </row>
    <row r="57" spans="1:18" s="1382" customFormat="1" ht="24.75" thickBot="1">
      <c r="A57" s="1449"/>
      <c r="B57" s="950" t="s">
        <v>767</v>
      </c>
      <c r="C57" s="238">
        <f ca="1">C29</f>
        <v>132804</v>
      </c>
      <c r="D57" s="1450"/>
      <c r="E57" s="1451"/>
      <c r="F57" s="1452"/>
      <c r="I57" s="1453" t="s">
        <v>844</v>
      </c>
      <c r="J57" s="1454">
        <f ca="1">IF(OR(M47="住宅",J51&lt;L48,J56="是"),"——",J51-L48)</f>
        <v>13.75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1461</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1">
        <f ca="1">ROUND(IF(AND(项目基本情况!B11="自然人",项目基本情况!B10="北京市"),C49*F59/(1+'数据-取费表'!C42),C60+C61+C62),0)</f>
        <v>0</v>
      </c>
      <c r="D59" s="963" t="s">
        <v>720</v>
      </c>
      <c r="E59" s="964" t="s">
        <v>721</v>
      </c>
      <c r="F59" s="2310" t="str">
        <f>IF(项目基本情况!B11="企业","——",IF('数据-取费表'!B10="住宅",IF(F49*F50*F51/12/(1+'数据-取费表'!F30)&gt;100000,4%,2.5%),IF(F49*F50*F51/12/(1+'数据-取费表'!F30)&gt;100000,12%,7%)))</f>
        <v>——</v>
      </c>
      <c r="I59" s="1453" t="s">
        <v>851</v>
      </c>
      <c r="J59" s="1454">
        <f ca="1">IF(OR(M47="住宅",J51&lt;L48,J56="是"),"——",ROUND(C29*J58,0))</f>
        <v>53122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0</v>
      </c>
      <c r="I60" s="1456" t="s">
        <v>853</v>
      </c>
      <c r="J60" s="1457">
        <f ca="1">IF(OR(M47="住宅",J51&lt;L48,J56="是"),"0",ROUND(J59/(1+J52)^J53,0))</f>
        <v>1873</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3340</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1.5</v>
      </c>
      <c r="I62" s="1460" t="s">
        <v>858</v>
      </c>
      <c r="J62" s="1461" t="s">
        <v>859</v>
      </c>
      <c r="K62" s="1461" t="s">
        <v>860</v>
      </c>
      <c r="L62" s="1461" t="s">
        <v>861</v>
      </c>
      <c r="M62" s="1462" t="s">
        <v>862</v>
      </c>
      <c r="O62" s="1416" t="s">
        <v>409</v>
      </c>
      <c r="P62" s="1417" t="s">
        <v>863</v>
      </c>
      <c r="Q62" s="1418">
        <f ca="1">Q56+Q57</f>
        <v>79483</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1328</v>
      </c>
      <c r="D64" s="964" t="s">
        <v>791</v>
      </c>
      <c r="E64" s="950"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133</v>
      </c>
      <c r="D65" s="964" t="s">
        <v>743</v>
      </c>
      <c r="E65" s="950" t="s">
        <v>744</v>
      </c>
      <c r="F65" s="330">
        <f t="shared" ca="1" si="0"/>
        <v>1E-3</v>
      </c>
      <c r="I65" s="1460" t="s">
        <v>867</v>
      </c>
      <c r="J65" s="1461">
        <v>40</v>
      </c>
      <c r="K65" s="1461">
        <v>30</v>
      </c>
      <c r="L65" s="1461">
        <v>50</v>
      </c>
      <c r="M65" s="1463">
        <v>0.02</v>
      </c>
      <c r="O65" s="1416" t="s">
        <v>403</v>
      </c>
      <c r="P65" s="1417" t="s">
        <v>868</v>
      </c>
      <c r="Q65" s="1418">
        <f ca="1">C40+J29</f>
        <v>79483</v>
      </c>
      <c r="R65" s="1418" t="s">
        <v>818</v>
      </c>
    </row>
    <row r="66" spans="1:18" s="1382" customFormat="1" ht="16.5" thickBot="1">
      <c r="A66" s="982" t="s">
        <v>793</v>
      </c>
      <c r="B66" s="950" t="s">
        <v>728</v>
      </c>
      <c r="C66" s="21">
        <f ca="1">ROUND(C48*F66,0)</f>
        <v>0</v>
      </c>
      <c r="D66" s="964" t="s">
        <v>794</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-1461</v>
      </c>
      <c r="D67" s="963" t="s">
        <v>753</v>
      </c>
      <c r="E67" s="968"/>
      <c r="F67" s="969"/>
      <c r="O67" s="1426" t="s">
        <v>405</v>
      </c>
      <c r="P67" s="1417" t="s">
        <v>850</v>
      </c>
      <c r="Q67" s="1464">
        <f ca="1">L51</f>
        <v>-114698</v>
      </c>
      <c r="R67" s="1418" t="s">
        <v>870</v>
      </c>
    </row>
    <row r="68" spans="1:18" s="1382" customFormat="1" ht="16.5" thickBot="1">
      <c r="A68" s="947" t="s">
        <v>395</v>
      </c>
      <c r="B68" s="948" t="s">
        <v>774</v>
      </c>
      <c r="C68" s="301">
        <f ca="1">ROUND(C67*(1-((1+F70)/(1+F68))^F69)/(F68-F70),0)</f>
        <v>-24331</v>
      </c>
      <c r="D68" s="965" t="s">
        <v>758</v>
      </c>
      <c r="E68" s="950" t="s">
        <v>759</v>
      </c>
      <c r="F68" s="312">
        <f ca="1">F40</f>
        <v>5.5E-2</v>
      </c>
      <c r="O68" s="1426" t="s">
        <v>406</v>
      </c>
      <c r="P68" s="1465" t="s">
        <v>871</v>
      </c>
      <c r="Q68" s="1418">
        <f ca="1">ROUND(Q69-Q70*Q71,0)</f>
        <v>-6059</v>
      </c>
      <c r="R68" s="1418" t="s">
        <v>414</v>
      </c>
    </row>
    <row r="69" spans="1:18" s="1382" customFormat="1" ht="13.5" thickBot="1">
      <c r="A69" s="951"/>
      <c r="B69" s="952"/>
      <c r="C69" s="306"/>
      <c r="D69" s="970" t="s">
        <v>762</v>
      </c>
      <c r="E69" s="950" t="s">
        <v>763</v>
      </c>
      <c r="F69" s="333">
        <f ca="1">F41</f>
        <v>46.25</v>
      </c>
      <c r="O69" s="1426" t="s">
        <v>411</v>
      </c>
      <c r="P69" s="1465" t="s">
        <v>872</v>
      </c>
      <c r="Q69" s="1418">
        <f ca="1">C39</f>
        <v>3237</v>
      </c>
      <c r="R69" s="1418" t="s">
        <v>818</v>
      </c>
    </row>
    <row r="70" spans="1:18" s="1382" customFormat="1" ht="13.5" thickBot="1">
      <c r="A70" s="954"/>
      <c r="B70" s="955"/>
      <c r="C70" s="310"/>
      <c r="D70" s="966"/>
      <c r="E70" s="950" t="s">
        <v>766</v>
      </c>
      <c r="F70" s="1053"/>
      <c r="O70" s="1426" t="s">
        <v>412</v>
      </c>
      <c r="P70" s="1465" t="s">
        <v>873</v>
      </c>
      <c r="Q70" s="1418">
        <f ca="1">C13</f>
        <v>132804</v>
      </c>
      <c r="R70" s="1418" t="s">
        <v>818</v>
      </c>
    </row>
    <row r="71" spans="1:18" s="1382" customFormat="1" ht="13.5" thickBot="1">
      <c r="A71" s="971" t="s">
        <v>396</v>
      </c>
      <c r="B71" s="972" t="s">
        <v>776</v>
      </c>
      <c r="C71" s="336">
        <f ca="1">ROUND(C68/F71,0)</f>
        <v>-838</v>
      </c>
      <c r="D71" s="973" t="s">
        <v>777</v>
      </c>
      <c r="E71" s="974" t="s">
        <v>778</v>
      </c>
      <c r="F71" s="339">
        <f ca="1">F43</f>
        <v>29.05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9296</v>
      </c>
      <c r="D75" s="1382"/>
      <c r="E75" s="1382"/>
      <c r="F75" s="1382"/>
      <c r="K75" s="1400"/>
      <c r="L75" s="1382"/>
      <c r="O75" s="1416" t="s">
        <v>409</v>
      </c>
      <c r="P75" s="1417" t="s">
        <v>838</v>
      </c>
      <c r="Q75" s="1418">
        <f ca="1">Q65+Q66</f>
        <v>79483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-1.8719999999999999</v>
      </c>
    </row>
    <row r="80" spans="1:18">
      <c r="B80" s="340" t="s">
        <v>800</v>
      </c>
      <c r="C80" s="274">
        <f ca="1">ROUND(C75/C39,3)</f>
        <v>2.8719999999999999</v>
      </c>
    </row>
    <row r="81" spans="2:3">
      <c r="B81" s="270" t="s">
        <v>801</v>
      </c>
      <c r="C81" s="238"/>
    </row>
    <row r="82" spans="2:3">
      <c r="B82" s="273" t="s">
        <v>802</v>
      </c>
      <c r="C82" s="275">
        <f ca="1">1-C83</f>
        <v>-0.67100000000000004</v>
      </c>
    </row>
    <row r="83" spans="2:3">
      <c r="B83" s="273" t="s">
        <v>803</v>
      </c>
      <c r="C83" s="274">
        <f ca="1">ROUND(C13/C40,3)</f>
        <v>1.671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C50" sqref="C50"/>
      <selection pane="bottomLeft" activeCell="H172" sqref="H1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34" t="s">
        <v>2084</v>
      </c>
      <c r="D1" s="3935"/>
      <c r="E1" s="3935"/>
      <c r="F1" s="3935"/>
      <c r="G1" s="3935"/>
      <c r="H1" s="3935"/>
      <c r="I1" s="3935"/>
      <c r="J1" s="3935"/>
      <c r="K1" s="3935"/>
      <c r="L1" s="3935"/>
      <c r="M1" s="3935"/>
      <c r="N1" s="3935"/>
      <c r="O1" s="3935"/>
      <c r="P1" s="3935"/>
      <c r="Q1" s="3935"/>
      <c r="R1" s="3935"/>
      <c r="S1" s="3936"/>
      <c r="T1" s="983" t="s">
        <v>1989</v>
      </c>
    </row>
    <row r="2" spans="1:45" s="655" customFormat="1" ht="38.25">
      <c r="A2" s="984"/>
      <c r="B2" s="651" t="s">
        <v>2086</v>
      </c>
      <c r="C2" s="652" t="str">
        <f t="shared" ref="C2:R2" si="0">C3&amp;"(含)"&amp;"-"&amp;D3</f>
        <v>0(含)-35</v>
      </c>
      <c r="D2" s="653" t="str">
        <f t="shared" si="0"/>
        <v>35(含)-45</v>
      </c>
      <c r="E2" s="653" t="str">
        <f t="shared" si="0"/>
        <v>45(含)-55</v>
      </c>
      <c r="F2" s="653" t="str">
        <f t="shared" si="0"/>
        <v>55(含)-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35</v>
      </c>
      <c r="E3" s="658">
        <v>45</v>
      </c>
      <c r="F3" s="1303">
        <v>55</v>
      </c>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101</v>
      </c>
      <c r="E4" s="990">
        <v>102</v>
      </c>
      <c r="F4" s="1307">
        <v>103</v>
      </c>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tr">
        <f>'比较法-住宅'!B32</f>
        <v>建筑类型</v>
      </c>
      <c r="C5" s="3564"/>
      <c r="D5" s="3565"/>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5" hidden="1" thickBo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5" hidden="1" thickBo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5" hidden="1" thickBo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5" hidden="1" thickBo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2092</v>
      </c>
      <c r="B17" s="2144" t="s">
        <v>2093</v>
      </c>
      <c r="C17" s="3562"/>
      <c r="D17" s="3563"/>
      <c r="E17" s="3563"/>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2094</v>
      </c>
      <c r="E19" s="1338"/>
      <c r="F19" s="1338"/>
      <c r="G19" s="1338"/>
      <c r="H19" s="1058"/>
      <c r="I19" s="159"/>
      <c r="J19" s="159"/>
      <c r="K19" s="159"/>
      <c r="L19" s="159"/>
      <c r="M19" s="159"/>
      <c r="N19" s="159"/>
      <c r="O19" s="159"/>
      <c r="P19" s="159"/>
      <c r="Q19" s="159"/>
      <c r="R19" s="718"/>
      <c r="S19" s="129"/>
    </row>
    <row r="20" spans="1:45" ht="16.5" thickBot="1">
      <c r="A20" s="662" t="s">
        <v>2095</v>
      </c>
      <c r="B20" s="294">
        <f ca="1">IF(D20="——",S22,S22-F20)</f>
        <v>1884</v>
      </c>
      <c r="C20" s="159"/>
      <c r="D20" s="2146" t="s">
        <v>43</v>
      </c>
      <c r="E20" s="1339"/>
      <c r="F20" s="983" t="e">
        <f ca="1">SUMIF(INDIRECT("'"&amp;H20&amp;"'"&amp;"!A:A"),"承租人权益价值",INDIRECT("'"&amp;H20&amp;"'"&amp;"!c:c"))</f>
        <v>#REF!</v>
      </c>
      <c r="G20" s="983" t="s">
        <v>2096</v>
      </c>
      <c r="H20" s="2147"/>
      <c r="I20" s="159"/>
      <c r="J20" s="159"/>
      <c r="K20" s="159"/>
      <c r="L20" s="159"/>
      <c r="M20" s="159"/>
      <c r="N20" s="159"/>
      <c r="O20" s="159"/>
      <c r="P20" s="159"/>
      <c r="Q20" s="159"/>
      <c r="R20" s="718"/>
      <c r="S20" s="129"/>
    </row>
    <row r="21" spans="1:45" ht="15.75">
      <c r="A21" s="662" t="s">
        <v>2097</v>
      </c>
      <c r="B21" s="294">
        <f ca="1">ROUND(B20*10000/B22,0)</f>
        <v>4128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4564.170000000011</v>
      </c>
      <c r="C22" s="3931" t="s">
        <v>27</v>
      </c>
      <c r="D22" s="3932"/>
      <c r="E22" s="3932"/>
      <c r="F22" s="3932"/>
      <c r="G22" s="3932"/>
      <c r="H22" s="3932"/>
      <c r="I22" s="3932"/>
      <c r="J22" s="3932"/>
      <c r="K22" s="3932"/>
      <c r="L22" s="3932"/>
      <c r="M22" s="3932"/>
      <c r="N22" s="3932"/>
      <c r="O22" s="3932"/>
      <c r="P22" s="3932"/>
      <c r="Q22" s="3933"/>
      <c r="R22" s="663">
        <f ca="1">ROUND(S22*10000/B22,0)</f>
        <v>4128</v>
      </c>
      <c r="S22" s="21">
        <f ca="1">SUM(S24:S10000)</f>
        <v>1884</v>
      </c>
    </row>
    <row r="23" spans="1:45" s="9" customFormat="1" ht="24">
      <c r="A23" s="3482" t="s">
        <v>2099</v>
      </c>
      <c r="B23" s="3482" t="s">
        <v>2100</v>
      </c>
      <c r="C23" s="3482" t="s">
        <v>2101</v>
      </c>
      <c r="D23" s="3482" t="str">
        <f>B5</f>
        <v>建筑类型</v>
      </c>
      <c r="E23" s="3482" t="s">
        <v>2101</v>
      </c>
      <c r="F23" s="3482" t="str">
        <f>B7</f>
        <v>修正项3</v>
      </c>
      <c r="G23" s="3482" t="s">
        <v>2101</v>
      </c>
      <c r="H23" s="3482" t="str">
        <f>B9</f>
        <v>修正项4</v>
      </c>
      <c r="I23" s="3482" t="s">
        <v>2101</v>
      </c>
      <c r="J23" s="3482" t="str">
        <f>B11</f>
        <v>修正项5</v>
      </c>
      <c r="K23" s="3482" t="s">
        <v>2101</v>
      </c>
      <c r="L23" s="3482" t="str">
        <f>B13</f>
        <v>修正项6</v>
      </c>
      <c r="M23" s="3482" t="s">
        <v>2101</v>
      </c>
      <c r="N23" s="3482" t="str">
        <f>B15</f>
        <v>修正项7</v>
      </c>
      <c r="O23" s="3482" t="s">
        <v>2101</v>
      </c>
      <c r="P23" s="3482" t="str">
        <f>B17</f>
        <v>楼层</v>
      </c>
      <c r="Q23" s="3482" t="s">
        <v>2101</v>
      </c>
      <c r="R23" s="3484" t="s">
        <v>2102</v>
      </c>
      <c r="S23" s="3482"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Sheet3!C309</f>
        <v>B1001</v>
      </c>
      <c r="B24" s="665">
        <f>Sheet3!D309</f>
        <v>29.05</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'结果表-车库'!G20</f>
        <v>3973</v>
      </c>
      <c r="S24" s="666">
        <f t="shared" ref="S24:S87" ca="1" si="5">ROUND(R24*B24/10000,0)</f>
        <v>12</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Sheet3!C310</f>
        <v>B1002</v>
      </c>
      <c r="B25" s="665">
        <f>Sheet3!D310</f>
        <v>29.05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6"/>
      <c r="Q25" s="21">
        <f>(SUMIF($17:$17,P25,$18:$18)-SUMIF($17:$17,$P$24,$18:$18)+100)/100</f>
        <v>1</v>
      </c>
      <c r="R25" s="663">
        <f ca="1">IF(B25="",0,ROUND($R$24*C25*E25*G25*I25*K25*M25*O25*Q25,0))</f>
        <v>3973</v>
      </c>
      <c r="S25" s="316">
        <f t="shared" ca="1" si="5"/>
        <v>12</v>
      </c>
    </row>
    <row r="26" spans="1:45">
      <c r="A26" s="665" t="str">
        <f>Sheet3!C311</f>
        <v>B1003</v>
      </c>
      <c r="B26" s="665">
        <f>Sheet3!D311</f>
        <v>29.05</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2806"/>
      <c r="Q26" s="21">
        <f t="shared" ref="Q26:Q89" si="13">(SUMIF($17:$17,P26,$18:$18)-SUMIF($17:$17,$P$24,$18:$18)+100)/100</f>
        <v>1</v>
      </c>
      <c r="R26" s="663">
        <f t="shared" ref="R26:R89" ca="1" si="14">IF(B26="",0,ROUND($R$24*C26*E26*G26*I26*K26*M26*O26*Q26,0))</f>
        <v>3973</v>
      </c>
      <c r="S26" s="316">
        <f t="shared" ca="1" si="5"/>
        <v>12</v>
      </c>
    </row>
    <row r="27" spans="1:45">
      <c r="A27" s="665" t="str">
        <f>Sheet3!C312</f>
        <v>B1004</v>
      </c>
      <c r="B27" s="665">
        <f>Sheet3!D312</f>
        <v>29.05</v>
      </c>
      <c r="C27" s="21">
        <f t="shared" si="6"/>
        <v>1</v>
      </c>
      <c r="D27" s="667"/>
      <c r="E27" s="21">
        <f t="shared" si="7"/>
        <v>1</v>
      </c>
      <c r="F27" s="667"/>
      <c r="G27" s="21">
        <f t="shared" si="8"/>
        <v>1</v>
      </c>
      <c r="H27" s="667"/>
      <c r="I27" s="21">
        <f t="shared" si="9"/>
        <v>1</v>
      </c>
      <c r="J27" s="667"/>
      <c r="K27" s="21">
        <f t="shared" si="10"/>
        <v>1</v>
      </c>
      <c r="L27" s="667"/>
      <c r="M27" s="21">
        <f t="shared" si="11"/>
        <v>1</v>
      </c>
      <c r="N27" s="667"/>
      <c r="O27" s="21">
        <f t="shared" si="12"/>
        <v>1</v>
      </c>
      <c r="P27" s="2806"/>
      <c r="Q27" s="21">
        <f t="shared" si="13"/>
        <v>1</v>
      </c>
      <c r="R27" s="663">
        <f t="shared" ca="1" si="14"/>
        <v>3973</v>
      </c>
      <c r="S27" s="316">
        <f t="shared" ca="1" si="5"/>
        <v>12</v>
      </c>
    </row>
    <row r="28" spans="1:45">
      <c r="A28" s="665" t="str">
        <f>Sheet3!C313</f>
        <v>B1005</v>
      </c>
      <c r="B28" s="665">
        <f>Sheet3!D313</f>
        <v>29.05</v>
      </c>
      <c r="C28" s="21">
        <f t="shared" si="6"/>
        <v>1</v>
      </c>
      <c r="D28" s="2806"/>
      <c r="E28" s="21">
        <f t="shared" si="7"/>
        <v>1</v>
      </c>
      <c r="F28" s="667"/>
      <c r="G28" s="21">
        <f t="shared" si="8"/>
        <v>1</v>
      </c>
      <c r="H28" s="667"/>
      <c r="I28" s="21">
        <f t="shared" si="9"/>
        <v>1</v>
      </c>
      <c r="J28" s="667"/>
      <c r="K28" s="21">
        <f t="shared" si="10"/>
        <v>1</v>
      </c>
      <c r="L28" s="667"/>
      <c r="M28" s="21">
        <f t="shared" si="11"/>
        <v>1</v>
      </c>
      <c r="N28" s="667"/>
      <c r="O28" s="21">
        <f t="shared" si="12"/>
        <v>1</v>
      </c>
      <c r="P28" s="2806"/>
      <c r="Q28" s="21">
        <f t="shared" si="13"/>
        <v>1</v>
      </c>
      <c r="R28" s="663">
        <f t="shared" ca="1" si="14"/>
        <v>3973</v>
      </c>
      <c r="S28" s="316">
        <f t="shared" ca="1" si="5"/>
        <v>12</v>
      </c>
    </row>
    <row r="29" spans="1:45">
      <c r="A29" s="665" t="str">
        <f>Sheet3!C314</f>
        <v>B1006</v>
      </c>
      <c r="B29" s="665">
        <f>Sheet3!D314</f>
        <v>29.05</v>
      </c>
      <c r="C29" s="21">
        <f t="shared" si="6"/>
        <v>1</v>
      </c>
      <c r="D29" s="667"/>
      <c r="E29" s="21">
        <f t="shared" si="7"/>
        <v>1</v>
      </c>
      <c r="F29" s="667"/>
      <c r="G29" s="21">
        <f t="shared" si="8"/>
        <v>1</v>
      </c>
      <c r="H29" s="667"/>
      <c r="I29" s="21">
        <f t="shared" si="9"/>
        <v>1</v>
      </c>
      <c r="J29" s="667"/>
      <c r="K29" s="21">
        <f t="shared" si="10"/>
        <v>1</v>
      </c>
      <c r="L29" s="667"/>
      <c r="M29" s="21">
        <f t="shared" si="11"/>
        <v>1</v>
      </c>
      <c r="N29" s="667"/>
      <c r="O29" s="21">
        <f t="shared" si="12"/>
        <v>1</v>
      </c>
      <c r="P29" s="2806"/>
      <c r="Q29" s="21">
        <f t="shared" si="13"/>
        <v>1</v>
      </c>
      <c r="R29" s="663">
        <f t="shared" ca="1" si="14"/>
        <v>3973</v>
      </c>
      <c r="S29" s="316">
        <f t="shared" ca="1" si="5"/>
        <v>12</v>
      </c>
    </row>
    <row r="30" spans="1:45">
      <c r="A30" s="665" t="str">
        <f>Sheet3!C315</f>
        <v>B1007</v>
      </c>
      <c r="B30" s="665">
        <f>Sheet3!D315</f>
        <v>29.05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2806"/>
      <c r="Q30" s="21">
        <f t="shared" si="13"/>
        <v>1</v>
      </c>
      <c r="R30" s="663">
        <f t="shared" ca="1" si="14"/>
        <v>3973</v>
      </c>
      <c r="S30" s="316">
        <f t="shared" ca="1" si="5"/>
        <v>12</v>
      </c>
    </row>
    <row r="31" spans="1:45">
      <c r="A31" s="665" t="str">
        <f>Sheet3!C316</f>
        <v>B1008</v>
      </c>
      <c r="B31" s="665">
        <f>Sheet3!D316</f>
        <v>29.05</v>
      </c>
      <c r="C31" s="21">
        <f t="shared" si="6"/>
        <v>1</v>
      </c>
      <c r="D31" s="667"/>
      <c r="E31" s="21">
        <f t="shared" si="7"/>
        <v>1</v>
      </c>
      <c r="F31" s="667"/>
      <c r="G31" s="21">
        <f t="shared" si="8"/>
        <v>1</v>
      </c>
      <c r="H31" s="667"/>
      <c r="I31" s="21">
        <f t="shared" si="9"/>
        <v>1</v>
      </c>
      <c r="J31" s="667"/>
      <c r="K31" s="21">
        <f t="shared" si="10"/>
        <v>1</v>
      </c>
      <c r="L31" s="667"/>
      <c r="M31" s="21">
        <f t="shared" si="11"/>
        <v>1</v>
      </c>
      <c r="N31" s="667"/>
      <c r="O31" s="21">
        <f t="shared" si="12"/>
        <v>1</v>
      </c>
      <c r="P31" s="2806"/>
      <c r="Q31" s="21">
        <f t="shared" si="13"/>
        <v>1</v>
      </c>
      <c r="R31" s="663">
        <f t="shared" ca="1" si="14"/>
        <v>3973</v>
      </c>
      <c r="S31" s="316">
        <f t="shared" ca="1" si="5"/>
        <v>12</v>
      </c>
    </row>
    <row r="32" spans="1:45">
      <c r="A32" s="665" t="str">
        <f>Sheet3!C317</f>
        <v>B1009</v>
      </c>
      <c r="B32" s="665">
        <f>Sheet3!D317</f>
        <v>29.05</v>
      </c>
      <c r="C32" s="21">
        <f t="shared" si="6"/>
        <v>1</v>
      </c>
      <c r="D32" s="2806"/>
      <c r="E32" s="21">
        <f t="shared" si="7"/>
        <v>1</v>
      </c>
      <c r="F32" s="667"/>
      <c r="G32" s="21">
        <f t="shared" si="8"/>
        <v>1</v>
      </c>
      <c r="H32" s="667"/>
      <c r="I32" s="21">
        <f t="shared" si="9"/>
        <v>1</v>
      </c>
      <c r="J32" s="667"/>
      <c r="K32" s="21">
        <f t="shared" si="10"/>
        <v>1</v>
      </c>
      <c r="L32" s="667"/>
      <c r="M32" s="21">
        <f t="shared" si="11"/>
        <v>1</v>
      </c>
      <c r="N32" s="667"/>
      <c r="O32" s="21">
        <f t="shared" si="12"/>
        <v>1</v>
      </c>
      <c r="P32" s="2806"/>
      <c r="Q32" s="21">
        <f t="shared" si="13"/>
        <v>1</v>
      </c>
      <c r="R32" s="663">
        <f t="shared" ca="1" si="14"/>
        <v>3973</v>
      </c>
      <c r="S32" s="316">
        <f t="shared" ca="1" si="5"/>
        <v>12</v>
      </c>
    </row>
    <row r="33" spans="1:19">
      <c r="A33" s="665" t="str">
        <f>Sheet3!C318</f>
        <v>B1010</v>
      </c>
      <c r="B33" s="665">
        <f>Sheet3!D318</f>
        <v>29.05</v>
      </c>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1</v>
      </c>
      <c r="P33" s="2806"/>
      <c r="Q33" s="21">
        <f t="shared" si="13"/>
        <v>1</v>
      </c>
      <c r="R33" s="663">
        <f t="shared" ca="1" si="14"/>
        <v>3973</v>
      </c>
      <c r="S33" s="316">
        <f t="shared" ca="1" si="5"/>
        <v>12</v>
      </c>
    </row>
    <row r="34" spans="1:19">
      <c r="A34" s="665" t="str">
        <f>Sheet3!C319</f>
        <v>B1011</v>
      </c>
      <c r="B34" s="665">
        <f>Sheet3!D319</f>
        <v>29.05</v>
      </c>
      <c r="C34" s="21">
        <f t="shared" si="6"/>
        <v>1</v>
      </c>
      <c r="D34" s="2806"/>
      <c r="E34" s="21">
        <f t="shared" si="7"/>
        <v>1</v>
      </c>
      <c r="F34" s="667"/>
      <c r="G34" s="21">
        <f t="shared" si="8"/>
        <v>1</v>
      </c>
      <c r="H34" s="667"/>
      <c r="I34" s="21">
        <f t="shared" si="9"/>
        <v>1</v>
      </c>
      <c r="J34" s="667"/>
      <c r="K34" s="21">
        <f t="shared" si="10"/>
        <v>1</v>
      </c>
      <c r="L34" s="667"/>
      <c r="M34" s="21">
        <f t="shared" si="11"/>
        <v>1</v>
      </c>
      <c r="N34" s="667"/>
      <c r="O34" s="21">
        <f t="shared" si="12"/>
        <v>1</v>
      </c>
      <c r="P34" s="2806"/>
      <c r="Q34" s="21">
        <f t="shared" si="13"/>
        <v>1</v>
      </c>
      <c r="R34" s="663">
        <f t="shared" ca="1" si="14"/>
        <v>3973</v>
      </c>
      <c r="S34" s="316">
        <f t="shared" ca="1" si="5"/>
        <v>12</v>
      </c>
    </row>
    <row r="35" spans="1:19">
      <c r="A35" s="665" t="str">
        <f>Sheet3!C320</f>
        <v>B1012</v>
      </c>
      <c r="B35" s="665">
        <f>Sheet3!D320</f>
        <v>29.05</v>
      </c>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1</v>
      </c>
      <c r="P35" s="2806"/>
      <c r="Q35" s="21">
        <f t="shared" si="13"/>
        <v>1</v>
      </c>
      <c r="R35" s="663">
        <f t="shared" ca="1" si="14"/>
        <v>3973</v>
      </c>
      <c r="S35" s="316">
        <f t="shared" ca="1" si="5"/>
        <v>12</v>
      </c>
    </row>
    <row r="36" spans="1:19">
      <c r="A36" s="665" t="str">
        <f>Sheet3!C321</f>
        <v>B1013</v>
      </c>
      <c r="B36" s="665">
        <f>Sheet3!D321</f>
        <v>29.05</v>
      </c>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2806"/>
      <c r="Q36" s="21">
        <f t="shared" si="13"/>
        <v>1</v>
      </c>
      <c r="R36" s="663">
        <f t="shared" ca="1" si="14"/>
        <v>3973</v>
      </c>
      <c r="S36" s="316">
        <f t="shared" ca="1" si="5"/>
        <v>12</v>
      </c>
    </row>
    <row r="37" spans="1:19">
      <c r="A37" s="665" t="str">
        <f>Sheet3!C322</f>
        <v>B1014</v>
      </c>
      <c r="B37" s="665">
        <f>Sheet3!D322</f>
        <v>29.05</v>
      </c>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1</v>
      </c>
      <c r="P37" s="2806"/>
      <c r="Q37" s="21">
        <f t="shared" si="13"/>
        <v>1</v>
      </c>
      <c r="R37" s="663">
        <f t="shared" ca="1" si="14"/>
        <v>3973</v>
      </c>
      <c r="S37" s="316">
        <f t="shared" ca="1" si="5"/>
        <v>12</v>
      </c>
    </row>
    <row r="38" spans="1:19">
      <c r="A38" s="665" t="str">
        <f>Sheet3!C323</f>
        <v>B1015</v>
      </c>
      <c r="B38" s="665">
        <f>Sheet3!D323</f>
        <v>29.05</v>
      </c>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2806"/>
      <c r="Q38" s="21">
        <f t="shared" si="13"/>
        <v>1</v>
      </c>
      <c r="R38" s="663">
        <f t="shared" ca="1" si="14"/>
        <v>3973</v>
      </c>
      <c r="S38" s="316">
        <f t="shared" ca="1" si="5"/>
        <v>12</v>
      </c>
    </row>
    <row r="39" spans="1:19">
      <c r="A39" s="665" t="str">
        <f>Sheet3!C324</f>
        <v>B1016</v>
      </c>
      <c r="B39" s="665">
        <f>Sheet3!D324</f>
        <v>29.05</v>
      </c>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1</v>
      </c>
      <c r="P39" s="2806"/>
      <c r="Q39" s="21">
        <f t="shared" si="13"/>
        <v>1</v>
      </c>
      <c r="R39" s="663">
        <f t="shared" ca="1" si="14"/>
        <v>3973</v>
      </c>
      <c r="S39" s="316">
        <f t="shared" ca="1" si="5"/>
        <v>12</v>
      </c>
    </row>
    <row r="40" spans="1:19">
      <c r="A40" s="665" t="str">
        <f>Sheet3!C325</f>
        <v>B1017</v>
      </c>
      <c r="B40" s="665">
        <f>Sheet3!D325</f>
        <v>29.05</v>
      </c>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2806"/>
      <c r="Q40" s="21">
        <f t="shared" si="13"/>
        <v>1</v>
      </c>
      <c r="R40" s="663">
        <f t="shared" ca="1" si="14"/>
        <v>3973</v>
      </c>
      <c r="S40" s="316">
        <f t="shared" ca="1" si="5"/>
        <v>12</v>
      </c>
    </row>
    <row r="41" spans="1:19">
      <c r="A41" s="665" t="str">
        <f>Sheet3!C326</f>
        <v>B1018</v>
      </c>
      <c r="B41" s="665">
        <f>Sheet3!D326</f>
        <v>29.05</v>
      </c>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1</v>
      </c>
      <c r="P41" s="2806"/>
      <c r="Q41" s="21">
        <f t="shared" si="13"/>
        <v>1</v>
      </c>
      <c r="R41" s="663">
        <f t="shared" ca="1" si="14"/>
        <v>3973</v>
      </c>
      <c r="S41" s="316">
        <f t="shared" ca="1" si="5"/>
        <v>12</v>
      </c>
    </row>
    <row r="42" spans="1:19">
      <c r="A42" s="665" t="str">
        <f>Sheet3!C327</f>
        <v>B1019</v>
      </c>
      <c r="B42" s="665">
        <f>Sheet3!D327</f>
        <v>29.05</v>
      </c>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2806"/>
      <c r="Q42" s="21">
        <f t="shared" si="13"/>
        <v>1</v>
      </c>
      <c r="R42" s="663">
        <f t="shared" ca="1" si="14"/>
        <v>3973</v>
      </c>
      <c r="S42" s="316">
        <f t="shared" ca="1" si="5"/>
        <v>12</v>
      </c>
    </row>
    <row r="43" spans="1:19">
      <c r="A43" s="665" t="str">
        <f>Sheet3!C328</f>
        <v>B1020</v>
      </c>
      <c r="B43" s="665">
        <f>Sheet3!D328</f>
        <v>29.05</v>
      </c>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1</v>
      </c>
      <c r="P43" s="2806"/>
      <c r="Q43" s="21">
        <f t="shared" si="13"/>
        <v>1</v>
      </c>
      <c r="R43" s="663">
        <f t="shared" ca="1" si="14"/>
        <v>3973</v>
      </c>
      <c r="S43" s="316">
        <f t="shared" ca="1" si="5"/>
        <v>12</v>
      </c>
    </row>
    <row r="44" spans="1:19">
      <c r="A44" s="665" t="str">
        <f>Sheet3!C329</f>
        <v>B1021</v>
      </c>
      <c r="B44" s="665">
        <f>Sheet3!D329</f>
        <v>29.05</v>
      </c>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2806"/>
      <c r="Q44" s="21">
        <f t="shared" si="13"/>
        <v>1</v>
      </c>
      <c r="R44" s="663">
        <f t="shared" ca="1" si="14"/>
        <v>3973</v>
      </c>
      <c r="S44" s="316">
        <f t="shared" ca="1" si="5"/>
        <v>12</v>
      </c>
    </row>
    <row r="45" spans="1:19">
      <c r="A45" s="665" t="str">
        <f>Sheet3!C330</f>
        <v>B1023</v>
      </c>
      <c r="B45" s="665">
        <f>Sheet3!D330</f>
        <v>29.05</v>
      </c>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1</v>
      </c>
      <c r="P45" s="2806"/>
      <c r="Q45" s="21">
        <f t="shared" si="13"/>
        <v>1</v>
      </c>
      <c r="R45" s="663">
        <f t="shared" ca="1" si="14"/>
        <v>3973</v>
      </c>
      <c r="S45" s="316">
        <f t="shared" ca="1" si="5"/>
        <v>12</v>
      </c>
    </row>
    <row r="46" spans="1:19">
      <c r="A46" s="665" t="str">
        <f>Sheet3!C331</f>
        <v>B1024</v>
      </c>
      <c r="B46" s="665">
        <f>Sheet3!D331</f>
        <v>29.05</v>
      </c>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2806"/>
      <c r="Q46" s="21">
        <f t="shared" si="13"/>
        <v>1</v>
      </c>
      <c r="R46" s="663">
        <f t="shared" ca="1" si="14"/>
        <v>3973</v>
      </c>
      <c r="S46" s="316">
        <f t="shared" ca="1" si="5"/>
        <v>12</v>
      </c>
    </row>
    <row r="47" spans="1:19">
      <c r="A47" s="665" t="str">
        <f>Sheet3!C332</f>
        <v>B1026</v>
      </c>
      <c r="B47" s="665">
        <f>Sheet3!D332</f>
        <v>29.05</v>
      </c>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1</v>
      </c>
      <c r="P47" s="2806"/>
      <c r="Q47" s="21">
        <f t="shared" si="13"/>
        <v>1</v>
      </c>
      <c r="R47" s="663">
        <f t="shared" ca="1" si="14"/>
        <v>3973</v>
      </c>
      <c r="S47" s="316">
        <f t="shared" ca="1" si="5"/>
        <v>12</v>
      </c>
    </row>
    <row r="48" spans="1:19">
      <c r="A48" s="665" t="str">
        <f>Sheet3!C333</f>
        <v>B1027</v>
      </c>
      <c r="B48" s="665">
        <f>Sheet3!D333</f>
        <v>29.05</v>
      </c>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2806"/>
      <c r="Q48" s="21">
        <f t="shared" si="13"/>
        <v>1</v>
      </c>
      <c r="R48" s="663">
        <f t="shared" ca="1" si="14"/>
        <v>3973</v>
      </c>
      <c r="S48" s="316">
        <f t="shared" ca="1" si="5"/>
        <v>12</v>
      </c>
    </row>
    <row r="49" spans="1:19">
      <c r="A49" s="665" t="str">
        <f>Sheet3!C334</f>
        <v>B1028</v>
      </c>
      <c r="B49" s="665">
        <f>Sheet3!D334</f>
        <v>29.05</v>
      </c>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1</v>
      </c>
      <c r="P49" s="2806"/>
      <c r="Q49" s="21">
        <f t="shared" si="13"/>
        <v>1</v>
      </c>
      <c r="R49" s="663">
        <f t="shared" ca="1" si="14"/>
        <v>3973</v>
      </c>
      <c r="S49" s="316">
        <f t="shared" ca="1" si="5"/>
        <v>12</v>
      </c>
    </row>
    <row r="50" spans="1:19">
      <c r="A50" s="665" t="str">
        <f>Sheet3!C335</f>
        <v>B1029</v>
      </c>
      <c r="B50" s="665">
        <f>Sheet3!D335</f>
        <v>29.05</v>
      </c>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2806"/>
      <c r="Q50" s="21">
        <f t="shared" si="13"/>
        <v>1</v>
      </c>
      <c r="R50" s="663">
        <f t="shared" ca="1" si="14"/>
        <v>3973</v>
      </c>
      <c r="S50" s="316">
        <f t="shared" ca="1" si="5"/>
        <v>12</v>
      </c>
    </row>
    <row r="51" spans="1:19">
      <c r="A51" s="665" t="str">
        <f>Sheet3!C336</f>
        <v>B1030</v>
      </c>
      <c r="B51" s="665">
        <f>Sheet3!D336</f>
        <v>29.05</v>
      </c>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1</v>
      </c>
      <c r="P51" s="2806"/>
      <c r="Q51" s="21">
        <f t="shared" si="13"/>
        <v>1</v>
      </c>
      <c r="R51" s="663">
        <f t="shared" ca="1" si="14"/>
        <v>3973</v>
      </c>
      <c r="S51" s="316">
        <f t="shared" ca="1" si="5"/>
        <v>12</v>
      </c>
    </row>
    <row r="52" spans="1:19">
      <c r="A52" s="665" t="str">
        <f>Sheet3!C337</f>
        <v>B1031</v>
      </c>
      <c r="B52" s="665">
        <f>Sheet3!D337</f>
        <v>29.05</v>
      </c>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2806"/>
      <c r="Q52" s="21">
        <f t="shared" si="13"/>
        <v>1</v>
      </c>
      <c r="R52" s="663">
        <f t="shared" ca="1" si="14"/>
        <v>3973</v>
      </c>
      <c r="S52" s="316">
        <f t="shared" ca="1" si="5"/>
        <v>12</v>
      </c>
    </row>
    <row r="53" spans="1:19">
      <c r="A53" s="665" t="str">
        <f>Sheet3!C338</f>
        <v>B1032</v>
      </c>
      <c r="B53" s="665">
        <f>Sheet3!D338</f>
        <v>29.05</v>
      </c>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1</v>
      </c>
      <c r="P53" s="2806"/>
      <c r="Q53" s="21">
        <f t="shared" si="13"/>
        <v>1</v>
      </c>
      <c r="R53" s="663">
        <f t="shared" ca="1" si="14"/>
        <v>3973</v>
      </c>
      <c r="S53" s="316">
        <f t="shared" ca="1" si="5"/>
        <v>12</v>
      </c>
    </row>
    <row r="54" spans="1:19">
      <c r="A54" s="665" t="str">
        <f>Sheet3!C339</f>
        <v>B1033</v>
      </c>
      <c r="B54" s="665">
        <f>Sheet3!D339</f>
        <v>29.05</v>
      </c>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2806"/>
      <c r="Q54" s="21">
        <f t="shared" si="13"/>
        <v>1</v>
      </c>
      <c r="R54" s="663">
        <f t="shared" ca="1" si="14"/>
        <v>3973</v>
      </c>
      <c r="S54" s="316">
        <f t="shared" ca="1" si="5"/>
        <v>12</v>
      </c>
    </row>
    <row r="55" spans="1:19">
      <c r="A55" s="665" t="str">
        <f>Sheet3!C340</f>
        <v>B1034</v>
      </c>
      <c r="B55" s="665">
        <f>Sheet3!D340</f>
        <v>29.05</v>
      </c>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1</v>
      </c>
      <c r="P55" s="2806"/>
      <c r="Q55" s="21">
        <f t="shared" si="13"/>
        <v>1</v>
      </c>
      <c r="R55" s="663">
        <f t="shared" ca="1" si="14"/>
        <v>3973</v>
      </c>
      <c r="S55" s="316">
        <f t="shared" ca="1" si="5"/>
        <v>12</v>
      </c>
    </row>
    <row r="56" spans="1:19">
      <c r="A56" s="665" t="str">
        <f>Sheet3!C341</f>
        <v>B1035</v>
      </c>
      <c r="B56" s="665">
        <f>Sheet3!D341</f>
        <v>29.05</v>
      </c>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2806"/>
      <c r="Q56" s="21">
        <f t="shared" si="13"/>
        <v>1</v>
      </c>
      <c r="R56" s="663">
        <f t="shared" ca="1" si="14"/>
        <v>3973</v>
      </c>
      <c r="S56" s="316">
        <f t="shared" ca="1" si="5"/>
        <v>12</v>
      </c>
    </row>
    <row r="57" spans="1:19">
      <c r="A57" s="665" t="str">
        <f>Sheet3!C342</f>
        <v>B1036</v>
      </c>
      <c r="B57" s="665">
        <f>Sheet3!D342</f>
        <v>29.05</v>
      </c>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1</v>
      </c>
      <c r="P57" s="2806"/>
      <c r="Q57" s="21">
        <f t="shared" si="13"/>
        <v>1</v>
      </c>
      <c r="R57" s="663">
        <f t="shared" ca="1" si="14"/>
        <v>3973</v>
      </c>
      <c r="S57" s="316">
        <f t="shared" ca="1" si="5"/>
        <v>12</v>
      </c>
    </row>
    <row r="58" spans="1:19">
      <c r="A58" s="665" t="str">
        <f>Sheet3!C343</f>
        <v>B1037</v>
      </c>
      <c r="B58" s="665">
        <f>Sheet3!D343</f>
        <v>29.05</v>
      </c>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2806"/>
      <c r="Q58" s="21">
        <f t="shared" si="13"/>
        <v>1</v>
      </c>
      <c r="R58" s="663">
        <f t="shared" ca="1" si="14"/>
        <v>3973</v>
      </c>
      <c r="S58" s="316">
        <f t="shared" ca="1" si="5"/>
        <v>12</v>
      </c>
    </row>
    <row r="59" spans="1:19">
      <c r="A59" s="665" t="str">
        <f>Sheet3!C344</f>
        <v>B1038</v>
      </c>
      <c r="B59" s="665">
        <f>Sheet3!D344</f>
        <v>29.05</v>
      </c>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1</v>
      </c>
      <c r="P59" s="2806"/>
      <c r="Q59" s="21">
        <f t="shared" si="13"/>
        <v>1</v>
      </c>
      <c r="R59" s="663">
        <f t="shared" ca="1" si="14"/>
        <v>3973</v>
      </c>
      <c r="S59" s="316">
        <f t="shared" ca="1" si="5"/>
        <v>12</v>
      </c>
    </row>
    <row r="60" spans="1:19">
      <c r="A60" s="665" t="str">
        <f>Sheet3!C345</f>
        <v>B1039</v>
      </c>
      <c r="B60" s="665">
        <f>Sheet3!D345</f>
        <v>29.05</v>
      </c>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2806"/>
      <c r="Q60" s="21">
        <f t="shared" si="13"/>
        <v>1</v>
      </c>
      <c r="R60" s="663">
        <f t="shared" ca="1" si="14"/>
        <v>3973</v>
      </c>
      <c r="S60" s="316">
        <f t="shared" ca="1" si="5"/>
        <v>12</v>
      </c>
    </row>
    <row r="61" spans="1:19">
      <c r="A61" s="665" t="str">
        <f>Sheet3!C346</f>
        <v>B1040</v>
      </c>
      <c r="B61" s="665">
        <f>Sheet3!D346</f>
        <v>29.05</v>
      </c>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1</v>
      </c>
      <c r="P61" s="2806"/>
      <c r="Q61" s="21">
        <f t="shared" si="13"/>
        <v>1</v>
      </c>
      <c r="R61" s="663">
        <f t="shared" ca="1" si="14"/>
        <v>3973</v>
      </c>
      <c r="S61" s="316">
        <f t="shared" ca="1" si="5"/>
        <v>12</v>
      </c>
    </row>
    <row r="62" spans="1:19">
      <c r="A62" s="665" t="str">
        <f>Sheet3!C347</f>
        <v>B1041</v>
      </c>
      <c r="B62" s="665">
        <f>Sheet3!D347</f>
        <v>29.05</v>
      </c>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2806"/>
      <c r="Q62" s="21">
        <f t="shared" si="13"/>
        <v>1</v>
      </c>
      <c r="R62" s="663">
        <f t="shared" ca="1" si="14"/>
        <v>3973</v>
      </c>
      <c r="S62" s="316">
        <f t="shared" ca="1" si="5"/>
        <v>12</v>
      </c>
    </row>
    <row r="63" spans="1:19">
      <c r="A63" s="665" t="str">
        <f>Sheet3!C348</f>
        <v>B1042</v>
      </c>
      <c r="B63" s="665">
        <f>Sheet3!D348</f>
        <v>29.05</v>
      </c>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1</v>
      </c>
      <c r="P63" s="2806"/>
      <c r="Q63" s="21">
        <f t="shared" si="13"/>
        <v>1</v>
      </c>
      <c r="R63" s="663">
        <f t="shared" ca="1" si="14"/>
        <v>3973</v>
      </c>
      <c r="S63" s="316">
        <f t="shared" ca="1" si="5"/>
        <v>12</v>
      </c>
    </row>
    <row r="64" spans="1:19">
      <c r="A64" s="665" t="str">
        <f>Sheet3!C349</f>
        <v>B1043</v>
      </c>
      <c r="B64" s="665">
        <f>Sheet3!D349</f>
        <v>29.05</v>
      </c>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2806"/>
      <c r="Q64" s="21">
        <f t="shared" si="13"/>
        <v>1</v>
      </c>
      <c r="R64" s="663">
        <f t="shared" ca="1" si="14"/>
        <v>3973</v>
      </c>
      <c r="S64" s="316">
        <f t="shared" ca="1" si="5"/>
        <v>12</v>
      </c>
    </row>
    <row r="65" spans="1:19">
      <c r="A65" s="665" t="str">
        <f>Sheet3!C350</f>
        <v>B1044</v>
      </c>
      <c r="B65" s="665">
        <f>Sheet3!D350</f>
        <v>29.05</v>
      </c>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1</v>
      </c>
      <c r="P65" s="2806"/>
      <c r="Q65" s="21">
        <f t="shared" si="13"/>
        <v>1</v>
      </c>
      <c r="R65" s="663">
        <f t="shared" ca="1" si="14"/>
        <v>3973</v>
      </c>
      <c r="S65" s="316">
        <f t="shared" ca="1" si="5"/>
        <v>12</v>
      </c>
    </row>
    <row r="66" spans="1:19">
      <c r="A66" s="665" t="str">
        <f>Sheet3!C351</f>
        <v>B1045</v>
      </c>
      <c r="B66" s="665">
        <f>Sheet3!D351</f>
        <v>29.05</v>
      </c>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2806"/>
      <c r="Q66" s="21">
        <f t="shared" si="13"/>
        <v>1</v>
      </c>
      <c r="R66" s="663">
        <f t="shared" ca="1" si="14"/>
        <v>3973</v>
      </c>
      <c r="S66" s="316">
        <f t="shared" ca="1" si="5"/>
        <v>12</v>
      </c>
    </row>
    <row r="67" spans="1:19">
      <c r="A67" s="665" t="str">
        <f>Sheet3!C352</f>
        <v>B1046</v>
      </c>
      <c r="B67" s="665">
        <f>Sheet3!D352</f>
        <v>29.05</v>
      </c>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1</v>
      </c>
      <c r="P67" s="2806"/>
      <c r="Q67" s="21">
        <f t="shared" si="13"/>
        <v>1</v>
      </c>
      <c r="R67" s="663">
        <f t="shared" ca="1" si="14"/>
        <v>3973</v>
      </c>
      <c r="S67" s="316">
        <f t="shared" ca="1" si="5"/>
        <v>12</v>
      </c>
    </row>
    <row r="68" spans="1:19">
      <c r="A68" s="665" t="str">
        <f>Sheet3!C353</f>
        <v>B1047</v>
      </c>
      <c r="B68" s="665">
        <f>Sheet3!D353</f>
        <v>29.05</v>
      </c>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2806"/>
      <c r="Q68" s="21">
        <f t="shared" si="13"/>
        <v>1</v>
      </c>
      <c r="R68" s="663">
        <f t="shared" ca="1" si="14"/>
        <v>3973</v>
      </c>
      <c r="S68" s="316">
        <f t="shared" ca="1" si="5"/>
        <v>12</v>
      </c>
    </row>
    <row r="69" spans="1:19">
      <c r="A69" s="665" t="str">
        <f>Sheet3!C354</f>
        <v>B1048</v>
      </c>
      <c r="B69" s="665">
        <f>Sheet3!D354</f>
        <v>29.05</v>
      </c>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1</v>
      </c>
      <c r="P69" s="2806"/>
      <c r="Q69" s="21">
        <f t="shared" si="13"/>
        <v>1</v>
      </c>
      <c r="R69" s="663">
        <f t="shared" ca="1" si="14"/>
        <v>3973</v>
      </c>
      <c r="S69" s="316">
        <f t="shared" ca="1" si="5"/>
        <v>12</v>
      </c>
    </row>
    <row r="70" spans="1:19">
      <c r="A70" s="665" t="str">
        <f>Sheet3!C355</f>
        <v>B1049</v>
      </c>
      <c r="B70" s="665">
        <f>Sheet3!D355</f>
        <v>29.05</v>
      </c>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2806"/>
      <c r="Q70" s="21">
        <f t="shared" si="13"/>
        <v>1</v>
      </c>
      <c r="R70" s="663">
        <f t="shared" ca="1" si="14"/>
        <v>3973</v>
      </c>
      <c r="S70" s="316">
        <f t="shared" ca="1" si="5"/>
        <v>12</v>
      </c>
    </row>
    <row r="71" spans="1:19">
      <c r="A71" s="665" t="str">
        <f>Sheet3!C356</f>
        <v>B1050</v>
      </c>
      <c r="B71" s="665">
        <f>Sheet3!D356</f>
        <v>29.05</v>
      </c>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1</v>
      </c>
      <c r="P71" s="2806"/>
      <c r="Q71" s="21">
        <f t="shared" si="13"/>
        <v>1</v>
      </c>
      <c r="R71" s="663">
        <f t="shared" ca="1" si="14"/>
        <v>3973</v>
      </c>
      <c r="S71" s="316">
        <f t="shared" ca="1" si="5"/>
        <v>12</v>
      </c>
    </row>
    <row r="72" spans="1:19">
      <c r="A72" s="665" t="str">
        <f>Sheet3!C357</f>
        <v>B1051</v>
      </c>
      <c r="B72" s="665">
        <f>Sheet3!D357</f>
        <v>29.05</v>
      </c>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2806"/>
      <c r="Q72" s="21">
        <f t="shared" si="13"/>
        <v>1</v>
      </c>
      <c r="R72" s="663">
        <f t="shared" ca="1" si="14"/>
        <v>3973</v>
      </c>
      <c r="S72" s="316">
        <f t="shared" ca="1" si="5"/>
        <v>12</v>
      </c>
    </row>
    <row r="73" spans="1:19">
      <c r="A73" s="665" t="str">
        <f>Sheet3!C358</f>
        <v>B1052</v>
      </c>
      <c r="B73" s="665">
        <f>Sheet3!D358</f>
        <v>29.05</v>
      </c>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1</v>
      </c>
      <c r="P73" s="2806"/>
      <c r="Q73" s="21">
        <f t="shared" si="13"/>
        <v>1</v>
      </c>
      <c r="R73" s="663">
        <f t="shared" ca="1" si="14"/>
        <v>3973</v>
      </c>
      <c r="S73" s="316">
        <f t="shared" ca="1" si="5"/>
        <v>12</v>
      </c>
    </row>
    <row r="74" spans="1:19">
      <c r="A74" s="665" t="str">
        <f>Sheet3!C359</f>
        <v>B1053</v>
      </c>
      <c r="B74" s="665">
        <f>Sheet3!D359</f>
        <v>29.05</v>
      </c>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2806"/>
      <c r="Q74" s="21">
        <f t="shared" si="13"/>
        <v>1</v>
      </c>
      <c r="R74" s="663">
        <f t="shared" ca="1" si="14"/>
        <v>3973</v>
      </c>
      <c r="S74" s="316">
        <f t="shared" ca="1" si="5"/>
        <v>12</v>
      </c>
    </row>
    <row r="75" spans="1:19">
      <c r="A75" s="665" t="str">
        <f>Sheet3!C360</f>
        <v>B1054</v>
      </c>
      <c r="B75" s="665">
        <f>Sheet3!D360</f>
        <v>29.05</v>
      </c>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1</v>
      </c>
      <c r="P75" s="2806"/>
      <c r="Q75" s="21">
        <f t="shared" si="13"/>
        <v>1</v>
      </c>
      <c r="R75" s="663">
        <f t="shared" ca="1" si="14"/>
        <v>3973</v>
      </c>
      <c r="S75" s="316">
        <f t="shared" ca="1" si="5"/>
        <v>12</v>
      </c>
    </row>
    <row r="76" spans="1:19">
      <c r="A76" s="665" t="str">
        <f>Sheet3!C361</f>
        <v>B1055</v>
      </c>
      <c r="B76" s="665">
        <f>Sheet3!D361</f>
        <v>29.05</v>
      </c>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2806"/>
      <c r="Q76" s="21">
        <f t="shared" si="13"/>
        <v>1</v>
      </c>
      <c r="R76" s="663">
        <f t="shared" ca="1" si="14"/>
        <v>3973</v>
      </c>
      <c r="S76" s="316">
        <f t="shared" ca="1" si="5"/>
        <v>12</v>
      </c>
    </row>
    <row r="77" spans="1:19">
      <c r="A77" s="665" t="str">
        <f>Sheet3!C362</f>
        <v>B1056</v>
      </c>
      <c r="B77" s="665">
        <f>Sheet3!D362</f>
        <v>29.05</v>
      </c>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1</v>
      </c>
      <c r="P77" s="2806"/>
      <c r="Q77" s="21">
        <f t="shared" si="13"/>
        <v>1</v>
      </c>
      <c r="R77" s="663">
        <f t="shared" ca="1" si="14"/>
        <v>3973</v>
      </c>
      <c r="S77" s="316">
        <f t="shared" ca="1" si="5"/>
        <v>12</v>
      </c>
    </row>
    <row r="78" spans="1:19">
      <c r="A78" s="665" t="str">
        <f>Sheet3!C363</f>
        <v>B1057</v>
      </c>
      <c r="B78" s="665">
        <f>Sheet3!D363</f>
        <v>29.05</v>
      </c>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2806"/>
      <c r="Q78" s="21">
        <f t="shared" si="13"/>
        <v>1</v>
      </c>
      <c r="R78" s="663">
        <f t="shared" ca="1" si="14"/>
        <v>3973</v>
      </c>
      <c r="S78" s="316">
        <f t="shared" ca="1" si="5"/>
        <v>12</v>
      </c>
    </row>
    <row r="79" spans="1:19">
      <c r="A79" s="665" t="str">
        <f>Sheet3!C364</f>
        <v>B1058</v>
      </c>
      <c r="B79" s="665">
        <f>Sheet3!D364</f>
        <v>29.05</v>
      </c>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1</v>
      </c>
      <c r="P79" s="2806"/>
      <c r="Q79" s="21">
        <f t="shared" si="13"/>
        <v>1</v>
      </c>
      <c r="R79" s="663">
        <f t="shared" ca="1" si="14"/>
        <v>3973</v>
      </c>
      <c r="S79" s="316">
        <f t="shared" ca="1" si="5"/>
        <v>12</v>
      </c>
    </row>
    <row r="80" spans="1:19">
      <c r="A80" s="665" t="str">
        <f>Sheet3!C365</f>
        <v>B1059</v>
      </c>
      <c r="B80" s="665">
        <f>Sheet3!D365</f>
        <v>29.05</v>
      </c>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2806"/>
      <c r="Q80" s="21">
        <f t="shared" si="13"/>
        <v>1</v>
      </c>
      <c r="R80" s="663">
        <f t="shared" ca="1" si="14"/>
        <v>3973</v>
      </c>
      <c r="S80" s="316">
        <f t="shared" ca="1" si="5"/>
        <v>12</v>
      </c>
    </row>
    <row r="81" spans="1:19">
      <c r="A81" s="665" t="str">
        <f>Sheet3!C366</f>
        <v>B1060</v>
      </c>
      <c r="B81" s="665">
        <f>Sheet3!D366</f>
        <v>29.05</v>
      </c>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1</v>
      </c>
      <c r="P81" s="2806"/>
      <c r="Q81" s="21">
        <f t="shared" si="13"/>
        <v>1</v>
      </c>
      <c r="R81" s="663">
        <f t="shared" ca="1" si="14"/>
        <v>3973</v>
      </c>
      <c r="S81" s="316">
        <f t="shared" ca="1" si="5"/>
        <v>12</v>
      </c>
    </row>
    <row r="82" spans="1:19">
      <c r="A82" s="665" t="str">
        <f>Sheet3!C367</f>
        <v>B1061</v>
      </c>
      <c r="B82" s="665">
        <f>Sheet3!D367</f>
        <v>29.05</v>
      </c>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2806"/>
      <c r="Q82" s="21">
        <f t="shared" si="13"/>
        <v>1</v>
      </c>
      <c r="R82" s="663">
        <f t="shared" ca="1" si="14"/>
        <v>3973</v>
      </c>
      <c r="S82" s="316">
        <f t="shared" ca="1" si="5"/>
        <v>12</v>
      </c>
    </row>
    <row r="83" spans="1:19">
      <c r="A83" s="665" t="str">
        <f>Sheet3!C368</f>
        <v>B1062</v>
      </c>
      <c r="B83" s="665">
        <f>Sheet3!D368</f>
        <v>29.05</v>
      </c>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1</v>
      </c>
      <c r="P83" s="2806"/>
      <c r="Q83" s="21">
        <f t="shared" si="13"/>
        <v>1</v>
      </c>
      <c r="R83" s="663">
        <f t="shared" ca="1" si="14"/>
        <v>3973</v>
      </c>
      <c r="S83" s="316">
        <f t="shared" ca="1" si="5"/>
        <v>12</v>
      </c>
    </row>
    <row r="84" spans="1:19">
      <c r="A84" s="665" t="str">
        <f>Sheet3!C369</f>
        <v>B1063</v>
      </c>
      <c r="B84" s="665">
        <f>Sheet3!D369</f>
        <v>29.05</v>
      </c>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2806"/>
      <c r="Q84" s="21">
        <f t="shared" si="13"/>
        <v>1</v>
      </c>
      <c r="R84" s="663">
        <f t="shared" ca="1" si="14"/>
        <v>3973</v>
      </c>
      <c r="S84" s="316">
        <f t="shared" ca="1" si="5"/>
        <v>12</v>
      </c>
    </row>
    <row r="85" spans="1:19">
      <c r="A85" s="665" t="str">
        <f>Sheet3!C370</f>
        <v>B1064</v>
      </c>
      <c r="B85" s="665">
        <f>Sheet3!D370</f>
        <v>29.05</v>
      </c>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1</v>
      </c>
      <c r="P85" s="2806"/>
      <c r="Q85" s="21">
        <f t="shared" si="13"/>
        <v>1</v>
      </c>
      <c r="R85" s="663">
        <f t="shared" ca="1" si="14"/>
        <v>3973</v>
      </c>
      <c r="S85" s="316">
        <f t="shared" ca="1" si="5"/>
        <v>12</v>
      </c>
    </row>
    <row r="86" spans="1:19">
      <c r="A86" s="665" t="str">
        <f>Sheet3!C371</f>
        <v>B1065</v>
      </c>
      <c r="B86" s="665">
        <f>Sheet3!D371</f>
        <v>29.05</v>
      </c>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2806"/>
      <c r="Q86" s="21">
        <f t="shared" si="13"/>
        <v>1</v>
      </c>
      <c r="R86" s="663">
        <f t="shared" ca="1" si="14"/>
        <v>3973</v>
      </c>
      <c r="S86" s="316">
        <f t="shared" ca="1" si="5"/>
        <v>12</v>
      </c>
    </row>
    <row r="87" spans="1:19">
      <c r="A87" s="665" t="str">
        <f>Sheet3!C372</f>
        <v>B1066</v>
      </c>
      <c r="B87" s="665">
        <f>Sheet3!D372</f>
        <v>29.05</v>
      </c>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1</v>
      </c>
      <c r="P87" s="2806"/>
      <c r="Q87" s="21">
        <f t="shared" si="13"/>
        <v>1</v>
      </c>
      <c r="R87" s="663">
        <f t="shared" ca="1" si="14"/>
        <v>3973</v>
      </c>
      <c r="S87" s="316">
        <f t="shared" ca="1" si="5"/>
        <v>12</v>
      </c>
    </row>
    <row r="88" spans="1:19">
      <c r="A88" s="665" t="str">
        <f>Sheet3!C373</f>
        <v>B1067</v>
      </c>
      <c r="B88" s="665">
        <f>Sheet3!D373</f>
        <v>29.05</v>
      </c>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2806"/>
      <c r="Q88" s="21">
        <f t="shared" si="13"/>
        <v>1</v>
      </c>
      <c r="R88" s="663">
        <f t="shared" ca="1" si="14"/>
        <v>3973</v>
      </c>
      <c r="S88" s="316">
        <f t="shared" ref="S88:S151" ca="1" si="15">ROUND(R88*B88/10000,0)</f>
        <v>12</v>
      </c>
    </row>
    <row r="89" spans="1:19">
      <c r="A89" s="665" t="str">
        <f>Sheet3!C374</f>
        <v>B1068</v>
      </c>
      <c r="B89" s="665">
        <f>Sheet3!D374</f>
        <v>29.05</v>
      </c>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1</v>
      </c>
      <c r="P89" s="2806"/>
      <c r="Q89" s="21">
        <f t="shared" si="13"/>
        <v>1</v>
      </c>
      <c r="R89" s="663">
        <f t="shared" ca="1" si="14"/>
        <v>3973</v>
      </c>
      <c r="S89" s="316">
        <f t="shared" ca="1" si="15"/>
        <v>12</v>
      </c>
    </row>
    <row r="90" spans="1:19">
      <c r="A90" s="665" t="str">
        <f>Sheet3!C375</f>
        <v>B1069</v>
      </c>
      <c r="B90" s="665">
        <f>Sheet3!D375</f>
        <v>29.05</v>
      </c>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2806"/>
      <c r="Q90" s="21">
        <f t="shared" ref="Q90:Q153" si="23">(SUMIF($17:$17,P90,$18:$18)-SUMIF($17:$17,$P$24,$18:$18)+100)/100</f>
        <v>1</v>
      </c>
      <c r="R90" s="663">
        <f t="shared" ref="R90:R153" ca="1" si="24">IF(B90="",0,ROUND($R$24*C90*E90*G90*I90*K90*M90*O90*Q90,0))</f>
        <v>3973</v>
      </c>
      <c r="S90" s="316">
        <f t="shared" ca="1" si="15"/>
        <v>12</v>
      </c>
    </row>
    <row r="91" spans="1:19">
      <c r="A91" s="665" t="str">
        <f>Sheet3!C376</f>
        <v>B1070</v>
      </c>
      <c r="B91" s="665">
        <f>Sheet3!D376</f>
        <v>29.05</v>
      </c>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1</v>
      </c>
      <c r="P91" s="2806"/>
      <c r="Q91" s="21">
        <f t="shared" si="23"/>
        <v>1</v>
      </c>
      <c r="R91" s="663">
        <f t="shared" ca="1" si="24"/>
        <v>3973</v>
      </c>
      <c r="S91" s="316">
        <f t="shared" ca="1" si="15"/>
        <v>12</v>
      </c>
    </row>
    <row r="92" spans="1:19">
      <c r="A92" s="665" t="str">
        <f>Sheet3!C377</f>
        <v>B1071</v>
      </c>
      <c r="B92" s="665">
        <f>Sheet3!D377</f>
        <v>29.05</v>
      </c>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2806"/>
      <c r="Q92" s="21">
        <f t="shared" si="23"/>
        <v>1</v>
      </c>
      <c r="R92" s="663">
        <f t="shared" ca="1" si="24"/>
        <v>3973</v>
      </c>
      <c r="S92" s="316">
        <f t="shared" ca="1" si="15"/>
        <v>12</v>
      </c>
    </row>
    <row r="93" spans="1:19">
      <c r="A93" s="665" t="str">
        <f>Sheet3!C378</f>
        <v>B1072</v>
      </c>
      <c r="B93" s="665">
        <f>Sheet3!D378</f>
        <v>29.05</v>
      </c>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1</v>
      </c>
      <c r="P93" s="2806"/>
      <c r="Q93" s="21">
        <f t="shared" si="23"/>
        <v>1</v>
      </c>
      <c r="R93" s="663">
        <f t="shared" ca="1" si="24"/>
        <v>3973</v>
      </c>
      <c r="S93" s="316">
        <f t="shared" ca="1" si="15"/>
        <v>12</v>
      </c>
    </row>
    <row r="94" spans="1:19">
      <c r="A94" s="665" t="str">
        <f>Sheet3!C379</f>
        <v>B1073</v>
      </c>
      <c r="B94" s="665">
        <f>Sheet3!D379</f>
        <v>29.05</v>
      </c>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2806"/>
      <c r="Q94" s="21">
        <f t="shared" si="23"/>
        <v>1</v>
      </c>
      <c r="R94" s="663">
        <f t="shared" ca="1" si="24"/>
        <v>3973</v>
      </c>
      <c r="S94" s="316">
        <f t="shared" ca="1" si="15"/>
        <v>12</v>
      </c>
    </row>
    <row r="95" spans="1:19">
      <c r="A95" s="665" t="str">
        <f>Sheet3!C380</f>
        <v>B1074</v>
      </c>
      <c r="B95" s="665">
        <f>Sheet3!D380</f>
        <v>29.05</v>
      </c>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1</v>
      </c>
      <c r="P95" s="2806"/>
      <c r="Q95" s="21">
        <f t="shared" si="23"/>
        <v>1</v>
      </c>
      <c r="R95" s="663">
        <f t="shared" ca="1" si="24"/>
        <v>3973</v>
      </c>
      <c r="S95" s="316">
        <f t="shared" ca="1" si="15"/>
        <v>12</v>
      </c>
    </row>
    <row r="96" spans="1:19">
      <c r="A96" s="665" t="str">
        <f>Sheet3!C381</f>
        <v>B1075</v>
      </c>
      <c r="B96" s="665">
        <f>Sheet3!D381</f>
        <v>29.05</v>
      </c>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2806"/>
      <c r="Q96" s="21">
        <f t="shared" si="23"/>
        <v>1</v>
      </c>
      <c r="R96" s="663">
        <f t="shared" ca="1" si="24"/>
        <v>3973</v>
      </c>
      <c r="S96" s="316">
        <f t="shared" ca="1" si="15"/>
        <v>12</v>
      </c>
    </row>
    <row r="97" spans="1:19">
      <c r="A97" s="665" t="str">
        <f>Sheet3!C382</f>
        <v>B1076</v>
      </c>
      <c r="B97" s="665">
        <f>Sheet3!D382</f>
        <v>29.05</v>
      </c>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1</v>
      </c>
      <c r="P97" s="2806"/>
      <c r="Q97" s="21">
        <f t="shared" si="23"/>
        <v>1</v>
      </c>
      <c r="R97" s="663">
        <f t="shared" ca="1" si="24"/>
        <v>3973</v>
      </c>
      <c r="S97" s="316">
        <f t="shared" ca="1" si="15"/>
        <v>12</v>
      </c>
    </row>
    <row r="98" spans="1:19">
      <c r="A98" s="665" t="str">
        <f>Sheet3!C383</f>
        <v>B1077</v>
      </c>
      <c r="B98" s="665">
        <f>Sheet3!D383</f>
        <v>29.05</v>
      </c>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2806"/>
      <c r="Q98" s="21">
        <f t="shared" si="23"/>
        <v>1</v>
      </c>
      <c r="R98" s="663">
        <f t="shared" ca="1" si="24"/>
        <v>3973</v>
      </c>
      <c r="S98" s="316">
        <f t="shared" ca="1" si="15"/>
        <v>12</v>
      </c>
    </row>
    <row r="99" spans="1:19">
      <c r="A99" s="665" t="str">
        <f>Sheet3!C384</f>
        <v>B1078</v>
      </c>
      <c r="B99" s="665">
        <f>Sheet3!D384</f>
        <v>29.05</v>
      </c>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1</v>
      </c>
      <c r="P99" s="2806"/>
      <c r="Q99" s="21">
        <f t="shared" si="23"/>
        <v>1</v>
      </c>
      <c r="R99" s="663">
        <f t="shared" ca="1" si="24"/>
        <v>3973</v>
      </c>
      <c r="S99" s="316">
        <f t="shared" ca="1" si="15"/>
        <v>12</v>
      </c>
    </row>
    <row r="100" spans="1:19">
      <c r="A100" s="665" t="str">
        <f>Sheet3!C385</f>
        <v>B1079</v>
      </c>
      <c r="B100" s="665">
        <f>Sheet3!D385</f>
        <v>29.05</v>
      </c>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2806"/>
      <c r="Q100" s="21">
        <f t="shared" si="23"/>
        <v>1</v>
      </c>
      <c r="R100" s="663">
        <f t="shared" ca="1" si="24"/>
        <v>3973</v>
      </c>
      <c r="S100" s="316">
        <f t="shared" ca="1" si="15"/>
        <v>12</v>
      </c>
    </row>
    <row r="101" spans="1:19">
      <c r="A101" s="665" t="str">
        <f>Sheet3!C386</f>
        <v>B1080</v>
      </c>
      <c r="B101" s="665">
        <f>Sheet3!D386</f>
        <v>29.05</v>
      </c>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1</v>
      </c>
      <c r="P101" s="2806"/>
      <c r="Q101" s="21">
        <f t="shared" si="23"/>
        <v>1</v>
      </c>
      <c r="R101" s="663">
        <f t="shared" ca="1" si="24"/>
        <v>3973</v>
      </c>
      <c r="S101" s="316">
        <f t="shared" ca="1" si="15"/>
        <v>12</v>
      </c>
    </row>
    <row r="102" spans="1:19">
      <c r="A102" s="665" t="str">
        <f>Sheet3!C387</f>
        <v>B1081</v>
      </c>
      <c r="B102" s="665">
        <f>Sheet3!D387</f>
        <v>29.05</v>
      </c>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2806"/>
      <c r="Q102" s="21">
        <f t="shared" si="23"/>
        <v>1</v>
      </c>
      <c r="R102" s="663">
        <f t="shared" ca="1" si="24"/>
        <v>3973</v>
      </c>
      <c r="S102" s="316">
        <f t="shared" ca="1" si="15"/>
        <v>12</v>
      </c>
    </row>
    <row r="103" spans="1:19">
      <c r="A103" s="665" t="str">
        <f>Sheet3!C388</f>
        <v>B1082</v>
      </c>
      <c r="B103" s="665">
        <f>Sheet3!D388</f>
        <v>29.05</v>
      </c>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1</v>
      </c>
      <c r="P103" s="2806"/>
      <c r="Q103" s="21">
        <f t="shared" si="23"/>
        <v>1</v>
      </c>
      <c r="R103" s="663">
        <f t="shared" ca="1" si="24"/>
        <v>3973</v>
      </c>
      <c r="S103" s="316">
        <f t="shared" ca="1" si="15"/>
        <v>12</v>
      </c>
    </row>
    <row r="104" spans="1:19">
      <c r="A104" s="665" t="str">
        <f>Sheet3!C389</f>
        <v>B1083</v>
      </c>
      <c r="B104" s="665">
        <f>Sheet3!D389</f>
        <v>29.05</v>
      </c>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2806"/>
      <c r="Q104" s="21">
        <f t="shared" si="23"/>
        <v>1</v>
      </c>
      <c r="R104" s="663">
        <f t="shared" ca="1" si="24"/>
        <v>3973</v>
      </c>
      <c r="S104" s="316">
        <f t="shared" ca="1" si="15"/>
        <v>12</v>
      </c>
    </row>
    <row r="105" spans="1:19">
      <c r="A105" s="665" t="str">
        <f>Sheet3!C390</f>
        <v>B1084</v>
      </c>
      <c r="B105" s="665">
        <f>Sheet3!D390</f>
        <v>29.05</v>
      </c>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1</v>
      </c>
      <c r="P105" s="2806"/>
      <c r="Q105" s="21">
        <f t="shared" si="23"/>
        <v>1</v>
      </c>
      <c r="R105" s="663">
        <f t="shared" ca="1" si="24"/>
        <v>3973</v>
      </c>
      <c r="S105" s="316">
        <f t="shared" ca="1" si="15"/>
        <v>12</v>
      </c>
    </row>
    <row r="106" spans="1:19">
      <c r="A106" s="665" t="str">
        <f>Sheet3!C391</f>
        <v>B1085</v>
      </c>
      <c r="B106" s="665">
        <f>Sheet3!D391</f>
        <v>29.05</v>
      </c>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2806"/>
      <c r="Q106" s="21">
        <f t="shared" si="23"/>
        <v>1</v>
      </c>
      <c r="R106" s="663">
        <f t="shared" ca="1" si="24"/>
        <v>3973</v>
      </c>
      <c r="S106" s="316">
        <f t="shared" ca="1" si="15"/>
        <v>12</v>
      </c>
    </row>
    <row r="107" spans="1:19">
      <c r="A107" s="665" t="str">
        <f>Sheet3!C392</f>
        <v>B1086</v>
      </c>
      <c r="B107" s="665">
        <f>Sheet3!D392</f>
        <v>29.05</v>
      </c>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1</v>
      </c>
      <c r="P107" s="2806"/>
      <c r="Q107" s="21">
        <f t="shared" si="23"/>
        <v>1</v>
      </c>
      <c r="R107" s="663">
        <f t="shared" ca="1" si="24"/>
        <v>3973</v>
      </c>
      <c r="S107" s="316">
        <f t="shared" ca="1" si="15"/>
        <v>12</v>
      </c>
    </row>
    <row r="108" spans="1:19">
      <c r="A108" s="665" t="str">
        <f>Sheet3!C393</f>
        <v>B1087</v>
      </c>
      <c r="B108" s="665">
        <f>Sheet3!D393</f>
        <v>29.05</v>
      </c>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2806"/>
      <c r="Q108" s="21">
        <f t="shared" si="23"/>
        <v>1</v>
      </c>
      <c r="R108" s="663">
        <f t="shared" ca="1" si="24"/>
        <v>3973</v>
      </c>
      <c r="S108" s="316">
        <f t="shared" ca="1" si="15"/>
        <v>12</v>
      </c>
    </row>
    <row r="109" spans="1:19">
      <c r="A109" s="665" t="str">
        <f>Sheet3!C394</f>
        <v>B1088</v>
      </c>
      <c r="B109" s="665">
        <f>Sheet3!D394</f>
        <v>29.05</v>
      </c>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1</v>
      </c>
      <c r="P109" s="2806"/>
      <c r="Q109" s="21">
        <f t="shared" si="23"/>
        <v>1</v>
      </c>
      <c r="R109" s="663">
        <f t="shared" ca="1" si="24"/>
        <v>3973</v>
      </c>
      <c r="S109" s="316">
        <f t="shared" ca="1" si="15"/>
        <v>12</v>
      </c>
    </row>
    <row r="110" spans="1:19">
      <c r="A110" s="665" t="str">
        <f>Sheet3!C395</f>
        <v>B1089</v>
      </c>
      <c r="B110" s="665">
        <f>Sheet3!D395</f>
        <v>29.05</v>
      </c>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2806"/>
      <c r="Q110" s="21">
        <f t="shared" si="23"/>
        <v>1</v>
      </c>
      <c r="R110" s="663">
        <f t="shared" ca="1" si="24"/>
        <v>3973</v>
      </c>
      <c r="S110" s="316">
        <f t="shared" ca="1" si="15"/>
        <v>12</v>
      </c>
    </row>
    <row r="111" spans="1:19">
      <c r="A111" s="665" t="str">
        <f>Sheet3!C396</f>
        <v>B1090</v>
      </c>
      <c r="B111" s="665">
        <f>Sheet3!D396</f>
        <v>29.05</v>
      </c>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1</v>
      </c>
      <c r="P111" s="2806"/>
      <c r="Q111" s="21">
        <f t="shared" si="23"/>
        <v>1</v>
      </c>
      <c r="R111" s="663">
        <f t="shared" ca="1" si="24"/>
        <v>3973</v>
      </c>
      <c r="S111" s="316">
        <f t="shared" ca="1" si="15"/>
        <v>12</v>
      </c>
    </row>
    <row r="112" spans="1:19">
      <c r="A112" s="665" t="str">
        <f>Sheet3!C397</f>
        <v>B1091</v>
      </c>
      <c r="B112" s="665">
        <f>Sheet3!D397</f>
        <v>29.05</v>
      </c>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2806"/>
      <c r="Q112" s="21">
        <f t="shared" si="23"/>
        <v>1</v>
      </c>
      <c r="R112" s="663">
        <f t="shared" ca="1" si="24"/>
        <v>3973</v>
      </c>
      <c r="S112" s="316">
        <f t="shared" ca="1" si="15"/>
        <v>12</v>
      </c>
    </row>
    <row r="113" spans="1:19">
      <c r="A113" s="665" t="str">
        <f>Sheet3!C398</f>
        <v>B1092</v>
      </c>
      <c r="B113" s="665">
        <f>Sheet3!D398</f>
        <v>29.05</v>
      </c>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1</v>
      </c>
      <c r="P113" s="2806"/>
      <c r="Q113" s="21">
        <f t="shared" si="23"/>
        <v>1</v>
      </c>
      <c r="R113" s="663">
        <f t="shared" ca="1" si="24"/>
        <v>3973</v>
      </c>
      <c r="S113" s="316">
        <f t="shared" ca="1" si="15"/>
        <v>12</v>
      </c>
    </row>
    <row r="114" spans="1:19">
      <c r="A114" s="665" t="str">
        <f>Sheet3!C399</f>
        <v>B1093</v>
      </c>
      <c r="B114" s="665">
        <f>Sheet3!D399</f>
        <v>29.05</v>
      </c>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2806"/>
      <c r="Q114" s="21">
        <f t="shared" si="23"/>
        <v>1</v>
      </c>
      <c r="R114" s="663">
        <f t="shared" ca="1" si="24"/>
        <v>3973</v>
      </c>
      <c r="S114" s="316">
        <f t="shared" ca="1" si="15"/>
        <v>12</v>
      </c>
    </row>
    <row r="115" spans="1:19">
      <c r="A115" s="665" t="str">
        <f>Sheet3!C400</f>
        <v>B1094</v>
      </c>
      <c r="B115" s="665">
        <f>Sheet3!D400</f>
        <v>29.05</v>
      </c>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1</v>
      </c>
      <c r="P115" s="2806"/>
      <c r="Q115" s="21">
        <f t="shared" si="23"/>
        <v>1</v>
      </c>
      <c r="R115" s="663">
        <f t="shared" ca="1" si="24"/>
        <v>3973</v>
      </c>
      <c r="S115" s="316">
        <f t="shared" ca="1" si="15"/>
        <v>12</v>
      </c>
    </row>
    <row r="116" spans="1:19">
      <c r="A116" s="665" t="str">
        <f>Sheet3!C401</f>
        <v>B1095</v>
      </c>
      <c r="B116" s="665">
        <f>Sheet3!D401</f>
        <v>29.05</v>
      </c>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2806"/>
      <c r="Q116" s="21">
        <f t="shared" si="23"/>
        <v>1</v>
      </c>
      <c r="R116" s="663">
        <f t="shared" ca="1" si="24"/>
        <v>3973</v>
      </c>
      <c r="S116" s="316">
        <f t="shared" ca="1" si="15"/>
        <v>12</v>
      </c>
    </row>
    <row r="117" spans="1:19">
      <c r="A117" s="665" t="str">
        <f>Sheet3!C402</f>
        <v>B1096</v>
      </c>
      <c r="B117" s="665">
        <f>Sheet3!D402</f>
        <v>44.78</v>
      </c>
      <c r="C117" s="21">
        <f t="shared" si="16"/>
        <v>1.01</v>
      </c>
      <c r="D117" s="667"/>
      <c r="E117" s="21">
        <f t="shared" si="17"/>
        <v>1</v>
      </c>
      <c r="F117" s="667"/>
      <c r="G117" s="21">
        <f t="shared" si="18"/>
        <v>1</v>
      </c>
      <c r="H117" s="667"/>
      <c r="I117" s="21">
        <f t="shared" si="19"/>
        <v>1</v>
      </c>
      <c r="J117" s="667"/>
      <c r="K117" s="21">
        <f t="shared" si="20"/>
        <v>1</v>
      </c>
      <c r="L117" s="667"/>
      <c r="M117" s="21">
        <f t="shared" si="21"/>
        <v>1</v>
      </c>
      <c r="N117" s="667"/>
      <c r="O117" s="21">
        <f t="shared" si="22"/>
        <v>1</v>
      </c>
      <c r="P117" s="2806"/>
      <c r="Q117" s="21">
        <f t="shared" si="23"/>
        <v>1</v>
      </c>
      <c r="R117" s="663">
        <f t="shared" ca="1" si="24"/>
        <v>4013</v>
      </c>
      <c r="S117" s="316">
        <f t="shared" ca="1" si="15"/>
        <v>18</v>
      </c>
    </row>
    <row r="118" spans="1:19">
      <c r="A118" s="665" t="str">
        <f>Sheet3!C403</f>
        <v>B1097</v>
      </c>
      <c r="B118" s="665">
        <f>Sheet3!D403</f>
        <v>29.05</v>
      </c>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2806"/>
      <c r="Q118" s="21">
        <f t="shared" si="23"/>
        <v>1</v>
      </c>
      <c r="R118" s="663">
        <f t="shared" ca="1" si="24"/>
        <v>3973</v>
      </c>
      <c r="S118" s="316">
        <f t="shared" ca="1" si="15"/>
        <v>12</v>
      </c>
    </row>
    <row r="119" spans="1:19">
      <c r="A119" s="665" t="str">
        <f>Sheet3!C404</f>
        <v>B1098</v>
      </c>
      <c r="B119" s="665">
        <f>Sheet3!D404</f>
        <v>29.05</v>
      </c>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1</v>
      </c>
      <c r="P119" s="2806"/>
      <c r="Q119" s="21">
        <f t="shared" si="23"/>
        <v>1</v>
      </c>
      <c r="R119" s="663">
        <f t="shared" ca="1" si="24"/>
        <v>3973</v>
      </c>
      <c r="S119" s="316">
        <f t="shared" ca="1" si="15"/>
        <v>12</v>
      </c>
    </row>
    <row r="120" spans="1:19">
      <c r="A120" s="665" t="str">
        <f>Sheet3!C405</f>
        <v>B1099</v>
      </c>
      <c r="B120" s="665">
        <f>Sheet3!D405</f>
        <v>29.05</v>
      </c>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2806"/>
      <c r="Q120" s="21">
        <f t="shared" si="23"/>
        <v>1</v>
      </c>
      <c r="R120" s="663">
        <f t="shared" ca="1" si="24"/>
        <v>3973</v>
      </c>
      <c r="S120" s="316">
        <f t="shared" ca="1" si="15"/>
        <v>12</v>
      </c>
    </row>
    <row r="121" spans="1:19">
      <c r="A121" s="665" t="str">
        <f>Sheet3!C406</f>
        <v>B1100</v>
      </c>
      <c r="B121" s="665">
        <f>Sheet3!D406</f>
        <v>29.05</v>
      </c>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1</v>
      </c>
      <c r="P121" s="2806"/>
      <c r="Q121" s="21">
        <f t="shared" si="23"/>
        <v>1</v>
      </c>
      <c r="R121" s="663">
        <f t="shared" ca="1" si="24"/>
        <v>3973</v>
      </c>
      <c r="S121" s="316">
        <f t="shared" ca="1" si="15"/>
        <v>12</v>
      </c>
    </row>
    <row r="122" spans="1:19">
      <c r="A122" s="665" t="str">
        <f>Sheet3!C407</f>
        <v>B1101</v>
      </c>
      <c r="B122" s="665">
        <f>Sheet3!D407</f>
        <v>21.6</v>
      </c>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2806"/>
      <c r="Q122" s="21">
        <f t="shared" si="23"/>
        <v>1</v>
      </c>
      <c r="R122" s="663">
        <f t="shared" ca="1" si="24"/>
        <v>3973</v>
      </c>
      <c r="S122" s="316">
        <f t="shared" ca="1" si="15"/>
        <v>9</v>
      </c>
    </row>
    <row r="123" spans="1:19">
      <c r="A123" s="665" t="str">
        <f>Sheet3!C408</f>
        <v>B1102</v>
      </c>
      <c r="B123" s="665">
        <f>Sheet3!D408</f>
        <v>21.6</v>
      </c>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1</v>
      </c>
      <c r="P123" s="2806"/>
      <c r="Q123" s="21">
        <f t="shared" si="23"/>
        <v>1</v>
      </c>
      <c r="R123" s="663">
        <f t="shared" ca="1" si="24"/>
        <v>3973</v>
      </c>
      <c r="S123" s="316">
        <f t="shared" ca="1" si="15"/>
        <v>9</v>
      </c>
    </row>
    <row r="124" spans="1:19">
      <c r="A124" s="665" t="str">
        <f>Sheet3!C409</f>
        <v>B1103</v>
      </c>
      <c r="B124" s="665">
        <f>Sheet3!D409</f>
        <v>21.6</v>
      </c>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2806"/>
      <c r="Q124" s="21">
        <f t="shared" si="23"/>
        <v>1</v>
      </c>
      <c r="R124" s="663">
        <f t="shared" ca="1" si="24"/>
        <v>3973</v>
      </c>
      <c r="S124" s="316">
        <f t="shared" ca="1" si="15"/>
        <v>9</v>
      </c>
    </row>
    <row r="125" spans="1:19">
      <c r="A125" s="665" t="str">
        <f>Sheet3!C410</f>
        <v>B1104</v>
      </c>
      <c r="B125" s="665">
        <f>Sheet3!D410</f>
        <v>29.05</v>
      </c>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1</v>
      </c>
      <c r="P125" s="2806"/>
      <c r="Q125" s="21">
        <f t="shared" si="23"/>
        <v>1</v>
      </c>
      <c r="R125" s="663">
        <f t="shared" ca="1" si="24"/>
        <v>3973</v>
      </c>
      <c r="S125" s="316">
        <f t="shared" ca="1" si="15"/>
        <v>12</v>
      </c>
    </row>
    <row r="126" spans="1:19">
      <c r="A126" s="665" t="str">
        <f>Sheet3!C411</f>
        <v>B1105</v>
      </c>
      <c r="B126" s="665">
        <f>Sheet3!D411</f>
        <v>29.05</v>
      </c>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2806"/>
      <c r="Q126" s="21">
        <f t="shared" si="23"/>
        <v>1</v>
      </c>
      <c r="R126" s="663">
        <f t="shared" ca="1" si="24"/>
        <v>3973</v>
      </c>
      <c r="S126" s="316">
        <f t="shared" ca="1" si="15"/>
        <v>12</v>
      </c>
    </row>
    <row r="127" spans="1:19">
      <c r="A127" s="665" t="str">
        <f>Sheet3!C412</f>
        <v>B1106</v>
      </c>
      <c r="B127" s="665">
        <f>Sheet3!D412</f>
        <v>29.05</v>
      </c>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1</v>
      </c>
      <c r="P127" s="2806"/>
      <c r="Q127" s="21">
        <f t="shared" si="23"/>
        <v>1</v>
      </c>
      <c r="R127" s="663">
        <f t="shared" ca="1" si="24"/>
        <v>3973</v>
      </c>
      <c r="S127" s="316">
        <f t="shared" ca="1" si="15"/>
        <v>12</v>
      </c>
    </row>
    <row r="128" spans="1:19">
      <c r="A128" s="665" t="str">
        <f>Sheet3!C413</f>
        <v>B1107</v>
      </c>
      <c r="B128" s="665">
        <f>Sheet3!D413</f>
        <v>29.05</v>
      </c>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2806"/>
      <c r="Q128" s="21">
        <f t="shared" si="23"/>
        <v>1</v>
      </c>
      <c r="R128" s="663">
        <f t="shared" ca="1" si="24"/>
        <v>3973</v>
      </c>
      <c r="S128" s="316">
        <f t="shared" ca="1" si="15"/>
        <v>12</v>
      </c>
    </row>
    <row r="129" spans="1:19">
      <c r="A129" s="665" t="str">
        <f>Sheet3!C414</f>
        <v>B1108</v>
      </c>
      <c r="B129" s="665">
        <f>Sheet3!D414</f>
        <v>29.05</v>
      </c>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1</v>
      </c>
      <c r="P129" s="2806"/>
      <c r="Q129" s="21">
        <f t="shared" si="23"/>
        <v>1</v>
      </c>
      <c r="R129" s="663">
        <f t="shared" ca="1" si="24"/>
        <v>3973</v>
      </c>
      <c r="S129" s="316">
        <f t="shared" ca="1" si="15"/>
        <v>12</v>
      </c>
    </row>
    <row r="130" spans="1:19">
      <c r="A130" s="665" t="str">
        <f>Sheet3!C415</f>
        <v>B1109</v>
      </c>
      <c r="B130" s="665">
        <f>Sheet3!D415</f>
        <v>29.05</v>
      </c>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2806"/>
      <c r="Q130" s="21">
        <f t="shared" si="23"/>
        <v>1</v>
      </c>
      <c r="R130" s="663">
        <f t="shared" ca="1" si="24"/>
        <v>3973</v>
      </c>
      <c r="S130" s="316">
        <f t="shared" ca="1" si="15"/>
        <v>12</v>
      </c>
    </row>
    <row r="131" spans="1:19">
      <c r="A131" s="665" t="str">
        <f>Sheet3!C416</f>
        <v>B1110</v>
      </c>
      <c r="B131" s="665">
        <f>Sheet3!D416</f>
        <v>29.05</v>
      </c>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1</v>
      </c>
      <c r="P131" s="2806"/>
      <c r="Q131" s="21">
        <f t="shared" si="23"/>
        <v>1</v>
      </c>
      <c r="R131" s="663">
        <f t="shared" ca="1" si="24"/>
        <v>3973</v>
      </c>
      <c r="S131" s="316">
        <f t="shared" ca="1" si="15"/>
        <v>12</v>
      </c>
    </row>
    <row r="132" spans="1:19">
      <c r="A132" s="665" t="str">
        <f>Sheet3!C417</f>
        <v>B1111</v>
      </c>
      <c r="B132" s="665">
        <f>Sheet3!D417</f>
        <v>29.05</v>
      </c>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2806"/>
      <c r="Q132" s="21">
        <f t="shared" si="23"/>
        <v>1</v>
      </c>
      <c r="R132" s="663">
        <f t="shared" ca="1" si="24"/>
        <v>3973</v>
      </c>
      <c r="S132" s="316">
        <f t="shared" ca="1" si="15"/>
        <v>12</v>
      </c>
    </row>
    <row r="133" spans="1:19">
      <c r="A133" s="665" t="str">
        <f>Sheet3!C418</f>
        <v>B1112</v>
      </c>
      <c r="B133" s="665">
        <f>Sheet3!D418</f>
        <v>29.05</v>
      </c>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1</v>
      </c>
      <c r="P133" s="2806"/>
      <c r="Q133" s="21">
        <f t="shared" si="23"/>
        <v>1</v>
      </c>
      <c r="R133" s="663">
        <f t="shared" ca="1" si="24"/>
        <v>3973</v>
      </c>
      <c r="S133" s="316">
        <f t="shared" ca="1" si="15"/>
        <v>12</v>
      </c>
    </row>
    <row r="134" spans="1:19">
      <c r="A134" s="665" t="str">
        <f>Sheet3!C419</f>
        <v>B1113</v>
      </c>
      <c r="B134" s="665">
        <f>Sheet3!D419</f>
        <v>29.05</v>
      </c>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2806"/>
      <c r="Q134" s="21">
        <f t="shared" si="23"/>
        <v>1</v>
      </c>
      <c r="R134" s="663">
        <f t="shared" ca="1" si="24"/>
        <v>3973</v>
      </c>
      <c r="S134" s="316">
        <f t="shared" ca="1" si="15"/>
        <v>12</v>
      </c>
    </row>
    <row r="135" spans="1:19">
      <c r="A135" s="665" t="str">
        <f>Sheet3!C420</f>
        <v>B1114</v>
      </c>
      <c r="B135" s="665">
        <f>Sheet3!D420</f>
        <v>29.05</v>
      </c>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1</v>
      </c>
      <c r="P135" s="2806"/>
      <c r="Q135" s="21">
        <f t="shared" si="23"/>
        <v>1</v>
      </c>
      <c r="R135" s="663">
        <f t="shared" ca="1" si="24"/>
        <v>3973</v>
      </c>
      <c r="S135" s="316">
        <f t="shared" ca="1" si="15"/>
        <v>12</v>
      </c>
    </row>
    <row r="136" spans="1:19">
      <c r="A136" s="665" t="str">
        <f>Sheet3!C421</f>
        <v>B1115</v>
      </c>
      <c r="B136" s="665">
        <f>Sheet3!D421</f>
        <v>29.05</v>
      </c>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2806"/>
      <c r="Q136" s="21">
        <f t="shared" si="23"/>
        <v>1</v>
      </c>
      <c r="R136" s="663">
        <f t="shared" ca="1" si="24"/>
        <v>3973</v>
      </c>
      <c r="S136" s="316">
        <f t="shared" ca="1" si="15"/>
        <v>12</v>
      </c>
    </row>
    <row r="137" spans="1:19">
      <c r="A137" s="665" t="str">
        <f>Sheet3!C422</f>
        <v>B1116</v>
      </c>
      <c r="B137" s="665">
        <f>Sheet3!D422</f>
        <v>29.05</v>
      </c>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1</v>
      </c>
      <c r="P137" s="2806"/>
      <c r="Q137" s="21">
        <f t="shared" si="23"/>
        <v>1</v>
      </c>
      <c r="R137" s="663">
        <f t="shared" ca="1" si="24"/>
        <v>3973</v>
      </c>
      <c r="S137" s="316">
        <f t="shared" ca="1" si="15"/>
        <v>12</v>
      </c>
    </row>
    <row r="138" spans="1:19">
      <c r="A138" s="665" t="str">
        <f>Sheet3!C423</f>
        <v>B1117</v>
      </c>
      <c r="B138" s="665">
        <f>Sheet3!D423</f>
        <v>29.05</v>
      </c>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2806"/>
      <c r="Q138" s="21">
        <f t="shared" si="23"/>
        <v>1</v>
      </c>
      <c r="R138" s="663">
        <f t="shared" ca="1" si="24"/>
        <v>3973</v>
      </c>
      <c r="S138" s="316">
        <f t="shared" ca="1" si="15"/>
        <v>12</v>
      </c>
    </row>
    <row r="139" spans="1:19">
      <c r="A139" s="665" t="str">
        <f>Sheet3!C424</f>
        <v>B1118</v>
      </c>
      <c r="B139" s="665">
        <f>Sheet3!D424</f>
        <v>29.05</v>
      </c>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1</v>
      </c>
      <c r="P139" s="2806"/>
      <c r="Q139" s="21">
        <f t="shared" si="23"/>
        <v>1</v>
      </c>
      <c r="R139" s="663">
        <f t="shared" ca="1" si="24"/>
        <v>3973</v>
      </c>
      <c r="S139" s="316">
        <f t="shared" ca="1" si="15"/>
        <v>12</v>
      </c>
    </row>
    <row r="140" spans="1:19">
      <c r="A140" s="665" t="str">
        <f>Sheet3!C425</f>
        <v>B1119</v>
      </c>
      <c r="B140" s="665">
        <f>Sheet3!D425</f>
        <v>29.05</v>
      </c>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2806"/>
      <c r="Q140" s="21">
        <f t="shared" si="23"/>
        <v>1</v>
      </c>
      <c r="R140" s="663">
        <f t="shared" ca="1" si="24"/>
        <v>3973</v>
      </c>
      <c r="S140" s="316">
        <f t="shared" ca="1" si="15"/>
        <v>12</v>
      </c>
    </row>
    <row r="141" spans="1:19">
      <c r="A141" s="665" t="str">
        <f>Sheet3!C426</f>
        <v>B1120</v>
      </c>
      <c r="B141" s="665">
        <f>Sheet3!D426</f>
        <v>29.05</v>
      </c>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1</v>
      </c>
      <c r="P141" s="2806"/>
      <c r="Q141" s="21">
        <f t="shared" si="23"/>
        <v>1</v>
      </c>
      <c r="R141" s="663">
        <f t="shared" ca="1" si="24"/>
        <v>3973</v>
      </c>
      <c r="S141" s="316">
        <f t="shared" ca="1" si="15"/>
        <v>12</v>
      </c>
    </row>
    <row r="142" spans="1:19">
      <c r="A142" s="665" t="str">
        <f>Sheet3!C427</f>
        <v>B1121</v>
      </c>
      <c r="B142" s="665">
        <f>Sheet3!D427</f>
        <v>50.65</v>
      </c>
      <c r="C142" s="21">
        <f t="shared" si="16"/>
        <v>1.02</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2806"/>
      <c r="Q142" s="21">
        <f t="shared" si="23"/>
        <v>1</v>
      </c>
      <c r="R142" s="663">
        <f t="shared" ca="1" si="24"/>
        <v>4052</v>
      </c>
      <c r="S142" s="316">
        <f t="shared" ca="1" si="15"/>
        <v>21</v>
      </c>
    </row>
    <row r="143" spans="1:19">
      <c r="A143" s="665" t="str">
        <f>Sheet3!C428</f>
        <v>B1122</v>
      </c>
      <c r="B143" s="665">
        <f>Sheet3!D428</f>
        <v>50.65</v>
      </c>
      <c r="C143" s="21">
        <f t="shared" si="16"/>
        <v>1.02</v>
      </c>
      <c r="D143" s="667"/>
      <c r="E143" s="21">
        <f t="shared" si="17"/>
        <v>1</v>
      </c>
      <c r="F143" s="667"/>
      <c r="G143" s="21">
        <f t="shared" si="18"/>
        <v>1</v>
      </c>
      <c r="H143" s="667"/>
      <c r="I143" s="21">
        <f t="shared" si="19"/>
        <v>1</v>
      </c>
      <c r="J143" s="667"/>
      <c r="K143" s="21">
        <f t="shared" si="20"/>
        <v>1</v>
      </c>
      <c r="L143" s="667"/>
      <c r="M143" s="21">
        <f t="shared" si="21"/>
        <v>1</v>
      </c>
      <c r="N143" s="667"/>
      <c r="O143" s="21">
        <f t="shared" si="22"/>
        <v>1</v>
      </c>
      <c r="P143" s="2806"/>
      <c r="Q143" s="21">
        <f t="shared" si="23"/>
        <v>1</v>
      </c>
      <c r="R143" s="663">
        <f t="shared" ca="1" si="24"/>
        <v>4052</v>
      </c>
      <c r="S143" s="316">
        <f t="shared" ca="1" si="15"/>
        <v>21</v>
      </c>
    </row>
    <row r="144" spans="1:19">
      <c r="A144" s="665" t="str">
        <f>Sheet3!C429</f>
        <v>B1123</v>
      </c>
      <c r="B144" s="665">
        <f>Sheet3!D429</f>
        <v>29.05</v>
      </c>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2806"/>
      <c r="Q144" s="21">
        <f t="shared" si="23"/>
        <v>1</v>
      </c>
      <c r="R144" s="663">
        <f t="shared" ca="1" si="24"/>
        <v>3973</v>
      </c>
      <c r="S144" s="316">
        <f t="shared" ca="1" si="15"/>
        <v>12</v>
      </c>
    </row>
    <row r="145" spans="1:19">
      <c r="A145" s="665" t="str">
        <f>Sheet3!C430</f>
        <v>B1125</v>
      </c>
      <c r="B145" s="665">
        <f>Sheet3!D430</f>
        <v>29.05</v>
      </c>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1</v>
      </c>
      <c r="P145" s="2806"/>
      <c r="Q145" s="21">
        <f t="shared" si="23"/>
        <v>1</v>
      </c>
      <c r="R145" s="663">
        <f t="shared" ca="1" si="24"/>
        <v>3973</v>
      </c>
      <c r="S145" s="316">
        <f t="shared" ca="1" si="15"/>
        <v>12</v>
      </c>
    </row>
    <row r="146" spans="1:19">
      <c r="A146" s="665" t="str">
        <f>Sheet3!C431</f>
        <v>B1126</v>
      </c>
      <c r="B146" s="665">
        <f>Sheet3!D431</f>
        <v>29.05</v>
      </c>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2806"/>
      <c r="Q146" s="21">
        <f t="shared" si="23"/>
        <v>1</v>
      </c>
      <c r="R146" s="663">
        <f t="shared" ca="1" si="24"/>
        <v>3973</v>
      </c>
      <c r="S146" s="316">
        <f t="shared" ca="1" si="15"/>
        <v>12</v>
      </c>
    </row>
    <row r="147" spans="1:19">
      <c r="A147" s="665" t="str">
        <f>Sheet3!C432</f>
        <v>B1127</v>
      </c>
      <c r="B147" s="665">
        <f>Sheet3!D432</f>
        <v>29.05</v>
      </c>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1</v>
      </c>
      <c r="P147" s="2806"/>
      <c r="Q147" s="21">
        <f t="shared" si="23"/>
        <v>1</v>
      </c>
      <c r="R147" s="663">
        <f t="shared" ca="1" si="24"/>
        <v>3973</v>
      </c>
      <c r="S147" s="316">
        <f t="shared" ca="1" si="15"/>
        <v>12</v>
      </c>
    </row>
    <row r="148" spans="1:19">
      <c r="A148" s="665" t="str">
        <f>Sheet3!C433</f>
        <v>B1128</v>
      </c>
      <c r="B148" s="665">
        <f>Sheet3!D433</f>
        <v>29.05</v>
      </c>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2806"/>
      <c r="Q148" s="21">
        <f t="shared" si="23"/>
        <v>1</v>
      </c>
      <c r="R148" s="663">
        <f t="shared" ca="1" si="24"/>
        <v>3973</v>
      </c>
      <c r="S148" s="316">
        <f t="shared" ca="1" si="15"/>
        <v>12</v>
      </c>
    </row>
    <row r="149" spans="1:19">
      <c r="A149" s="665" t="str">
        <f>Sheet3!C434</f>
        <v>B1129</v>
      </c>
      <c r="B149" s="665">
        <f>Sheet3!D434</f>
        <v>29.05</v>
      </c>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1</v>
      </c>
      <c r="P149" s="2806"/>
      <c r="Q149" s="21">
        <f t="shared" si="23"/>
        <v>1</v>
      </c>
      <c r="R149" s="663">
        <f t="shared" ca="1" si="24"/>
        <v>3973</v>
      </c>
      <c r="S149" s="316">
        <f t="shared" ca="1" si="15"/>
        <v>12</v>
      </c>
    </row>
    <row r="150" spans="1:19">
      <c r="A150" s="665" t="str">
        <f>Sheet3!C435</f>
        <v>B1130</v>
      </c>
      <c r="B150" s="665">
        <f>Sheet3!D435</f>
        <v>44.78</v>
      </c>
      <c r="C150" s="21">
        <f t="shared" si="16"/>
        <v>1.01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2806"/>
      <c r="Q150" s="21">
        <f t="shared" si="23"/>
        <v>1</v>
      </c>
      <c r="R150" s="663">
        <f t="shared" ca="1" si="24"/>
        <v>4013</v>
      </c>
      <c r="S150" s="316">
        <f t="shared" ca="1" si="15"/>
        <v>18</v>
      </c>
    </row>
    <row r="151" spans="1:19">
      <c r="A151" s="665" t="str">
        <f>Sheet3!C436</f>
        <v>B1131</v>
      </c>
      <c r="B151" s="665">
        <f>Sheet3!D436</f>
        <v>29.05</v>
      </c>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1</v>
      </c>
      <c r="P151" s="2806"/>
      <c r="Q151" s="21">
        <f t="shared" si="23"/>
        <v>1</v>
      </c>
      <c r="R151" s="663">
        <f t="shared" ca="1" si="24"/>
        <v>3973</v>
      </c>
      <c r="S151" s="316">
        <f t="shared" ca="1" si="15"/>
        <v>12</v>
      </c>
    </row>
    <row r="152" spans="1:19">
      <c r="A152" s="665" t="str">
        <f>Sheet3!C437</f>
        <v>B1132</v>
      </c>
      <c r="B152" s="665">
        <f>Sheet3!D437</f>
        <v>29.05</v>
      </c>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2806"/>
      <c r="Q152" s="21">
        <f t="shared" si="23"/>
        <v>1</v>
      </c>
      <c r="R152" s="663">
        <f t="shared" ca="1" si="24"/>
        <v>3973</v>
      </c>
      <c r="S152" s="316">
        <f t="shared" ref="S152:S215" ca="1" si="25">ROUND(R152*B152/10000,0)</f>
        <v>12</v>
      </c>
    </row>
    <row r="153" spans="1:19">
      <c r="A153" s="665" t="str">
        <f>Sheet3!C438</f>
        <v>B1133</v>
      </c>
      <c r="B153" s="665">
        <f>Sheet3!D438</f>
        <v>44.78</v>
      </c>
      <c r="C153" s="21">
        <f t="shared" si="16"/>
        <v>1.01</v>
      </c>
      <c r="D153" s="667"/>
      <c r="E153" s="21">
        <f t="shared" si="17"/>
        <v>1</v>
      </c>
      <c r="F153" s="667"/>
      <c r="G153" s="21">
        <f t="shared" si="18"/>
        <v>1</v>
      </c>
      <c r="H153" s="667"/>
      <c r="I153" s="21">
        <f t="shared" si="19"/>
        <v>1</v>
      </c>
      <c r="J153" s="667"/>
      <c r="K153" s="21">
        <f t="shared" si="20"/>
        <v>1</v>
      </c>
      <c r="L153" s="667"/>
      <c r="M153" s="21">
        <f t="shared" si="21"/>
        <v>1</v>
      </c>
      <c r="N153" s="667"/>
      <c r="O153" s="21">
        <f t="shared" si="22"/>
        <v>1</v>
      </c>
      <c r="P153" s="2806"/>
      <c r="Q153" s="21">
        <f t="shared" si="23"/>
        <v>1</v>
      </c>
      <c r="R153" s="663">
        <f t="shared" ca="1" si="24"/>
        <v>4013</v>
      </c>
      <c r="S153" s="316">
        <f t="shared" ca="1" si="25"/>
        <v>18</v>
      </c>
    </row>
    <row r="154" spans="1:19">
      <c r="A154" s="665" t="str">
        <f>Sheet3!C439</f>
        <v>B1134</v>
      </c>
      <c r="B154" s="665">
        <f>Sheet3!D439</f>
        <v>29.05</v>
      </c>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2806"/>
      <c r="Q154" s="21">
        <f t="shared" ref="Q154:Q217" si="33">(SUMIF($17:$17,P154,$18:$18)-SUMIF($17:$17,$P$24,$18:$18)+100)/100</f>
        <v>1</v>
      </c>
      <c r="R154" s="663">
        <f t="shared" ref="R154:R217" ca="1" si="34">IF(B154="",0,ROUND($R$24*C154*E154*G154*I154*K154*M154*O154*Q154,0))</f>
        <v>3973</v>
      </c>
      <c r="S154" s="316">
        <f t="shared" ca="1" si="25"/>
        <v>12</v>
      </c>
    </row>
    <row r="155" spans="1:19">
      <c r="A155" s="665" t="str">
        <f>Sheet3!C440</f>
        <v>B1135</v>
      </c>
      <c r="B155" s="665">
        <f>Sheet3!D440</f>
        <v>29.05</v>
      </c>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1</v>
      </c>
      <c r="P155" s="2806"/>
      <c r="Q155" s="21">
        <f t="shared" si="33"/>
        <v>1</v>
      </c>
      <c r="R155" s="663">
        <f t="shared" ca="1" si="34"/>
        <v>3973</v>
      </c>
      <c r="S155" s="316">
        <f t="shared" ca="1" si="25"/>
        <v>12</v>
      </c>
    </row>
    <row r="156" spans="1:19">
      <c r="A156" s="665" t="str">
        <f>Sheet3!C441</f>
        <v>B1137</v>
      </c>
      <c r="B156" s="665">
        <f>Sheet3!D441</f>
        <v>29.05</v>
      </c>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2806"/>
      <c r="Q156" s="21">
        <f t="shared" si="33"/>
        <v>1</v>
      </c>
      <c r="R156" s="663">
        <f t="shared" ca="1" si="34"/>
        <v>3973</v>
      </c>
      <c r="S156" s="316">
        <f t="shared" ca="1" si="25"/>
        <v>12</v>
      </c>
    </row>
    <row r="157" spans="1:19">
      <c r="A157" s="665" t="str">
        <f>Sheet3!C442</f>
        <v>B1138</v>
      </c>
      <c r="B157" s="665">
        <f>Sheet3!D442</f>
        <v>29.05</v>
      </c>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1</v>
      </c>
      <c r="P157" s="2806"/>
      <c r="Q157" s="21">
        <f t="shared" si="33"/>
        <v>1</v>
      </c>
      <c r="R157" s="663">
        <f t="shared" ca="1" si="34"/>
        <v>3973</v>
      </c>
      <c r="S157" s="316">
        <f t="shared" ca="1" si="25"/>
        <v>12</v>
      </c>
    </row>
    <row r="158" spans="1:19">
      <c r="A158" s="665" t="str">
        <f>Sheet3!C443</f>
        <v>B1139</v>
      </c>
      <c r="B158" s="665">
        <f>Sheet3!D443</f>
        <v>29.05</v>
      </c>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2806"/>
      <c r="Q158" s="21">
        <f t="shared" si="33"/>
        <v>1</v>
      </c>
      <c r="R158" s="663">
        <f t="shared" ca="1" si="34"/>
        <v>3973</v>
      </c>
      <c r="S158" s="316">
        <f t="shared" ca="1" si="25"/>
        <v>12</v>
      </c>
    </row>
    <row r="159" spans="1:19">
      <c r="A159" s="665" t="str">
        <f>Sheet3!C444</f>
        <v>B1140</v>
      </c>
      <c r="B159" s="665">
        <f>Sheet3!D444</f>
        <v>29.05</v>
      </c>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1</v>
      </c>
      <c r="P159" s="2806"/>
      <c r="Q159" s="21">
        <f t="shared" si="33"/>
        <v>1</v>
      </c>
      <c r="R159" s="663">
        <f t="shared" ca="1" si="34"/>
        <v>3973</v>
      </c>
      <c r="S159" s="316">
        <f t="shared" ca="1" si="25"/>
        <v>12</v>
      </c>
    </row>
    <row r="160" spans="1:19">
      <c r="A160" s="665" t="str">
        <f>Sheet3!C445</f>
        <v>B1141</v>
      </c>
      <c r="B160" s="665">
        <f>Sheet3!D445</f>
        <v>29.05</v>
      </c>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2806"/>
      <c r="Q160" s="21">
        <f t="shared" si="33"/>
        <v>1</v>
      </c>
      <c r="R160" s="663">
        <f t="shared" ca="1" si="34"/>
        <v>3973</v>
      </c>
      <c r="S160" s="316">
        <f t="shared" ca="1" si="25"/>
        <v>12</v>
      </c>
    </row>
    <row r="161" spans="1:19">
      <c r="A161" s="665" t="str">
        <f>Sheet3!C446</f>
        <v>B1142</v>
      </c>
      <c r="B161" s="665">
        <f>Sheet3!D446</f>
        <v>29.05</v>
      </c>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1</v>
      </c>
      <c r="P161" s="2806"/>
      <c r="Q161" s="21">
        <f t="shared" si="33"/>
        <v>1</v>
      </c>
      <c r="R161" s="663">
        <f t="shared" ca="1" si="34"/>
        <v>3973</v>
      </c>
      <c r="S161" s="316">
        <f t="shared" ca="1" si="25"/>
        <v>12</v>
      </c>
    </row>
    <row r="162" spans="1:19">
      <c r="A162" s="665" t="str">
        <f>Sheet3!C447</f>
        <v>B1143</v>
      </c>
      <c r="B162" s="665">
        <f>Sheet3!D447</f>
        <v>29.05</v>
      </c>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2806"/>
      <c r="Q162" s="21">
        <f t="shared" si="33"/>
        <v>1</v>
      </c>
      <c r="R162" s="663">
        <f t="shared" ca="1" si="34"/>
        <v>3973</v>
      </c>
      <c r="S162" s="316">
        <f t="shared" ca="1" si="25"/>
        <v>12</v>
      </c>
    </row>
    <row r="163" spans="1:19">
      <c r="A163" s="665" t="str">
        <f>Sheet3!C448</f>
        <v>B1144</v>
      </c>
      <c r="B163" s="665">
        <f>Sheet3!D448</f>
        <v>29.05</v>
      </c>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1</v>
      </c>
      <c r="P163" s="2806"/>
      <c r="Q163" s="21">
        <f t="shared" si="33"/>
        <v>1</v>
      </c>
      <c r="R163" s="663">
        <f t="shared" ca="1" si="34"/>
        <v>3973</v>
      </c>
      <c r="S163" s="316">
        <f t="shared" ca="1" si="25"/>
        <v>12</v>
      </c>
    </row>
    <row r="164" spans="1:19">
      <c r="A164" s="665" t="str">
        <f>Sheet3!C449</f>
        <v>B1145</v>
      </c>
      <c r="B164" s="665">
        <f>Sheet3!D449</f>
        <v>29.05</v>
      </c>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2806"/>
      <c r="Q164" s="21">
        <f t="shared" si="33"/>
        <v>1</v>
      </c>
      <c r="R164" s="663">
        <f t="shared" ca="1" si="34"/>
        <v>3973</v>
      </c>
      <c r="S164" s="316">
        <f t="shared" ca="1" si="25"/>
        <v>12</v>
      </c>
    </row>
    <row r="165" spans="1:19">
      <c r="A165" s="665" t="str">
        <f>Sheet3!C450</f>
        <v>B1146</v>
      </c>
      <c r="B165" s="665">
        <f>Sheet3!D450</f>
        <v>29.05</v>
      </c>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1</v>
      </c>
      <c r="P165" s="2806"/>
      <c r="Q165" s="21">
        <f t="shared" si="33"/>
        <v>1</v>
      </c>
      <c r="R165" s="663">
        <f t="shared" ca="1" si="34"/>
        <v>3973</v>
      </c>
      <c r="S165" s="316">
        <f t="shared" ca="1" si="25"/>
        <v>12</v>
      </c>
    </row>
    <row r="166" spans="1:19">
      <c r="A166" s="665" t="str">
        <f>Sheet3!C451</f>
        <v>B1147</v>
      </c>
      <c r="B166" s="665">
        <f>Sheet3!D451</f>
        <v>29.05</v>
      </c>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2806"/>
      <c r="Q166" s="21">
        <f t="shared" si="33"/>
        <v>1</v>
      </c>
      <c r="R166" s="663">
        <f t="shared" ca="1" si="34"/>
        <v>3973</v>
      </c>
      <c r="S166" s="316">
        <f t="shared" ca="1" si="25"/>
        <v>12</v>
      </c>
    </row>
    <row r="167" spans="1:19">
      <c r="A167" s="665" t="str">
        <f>Sheet3!C452</f>
        <v>B1148</v>
      </c>
      <c r="B167" s="665">
        <f>Sheet3!D452</f>
        <v>29.05</v>
      </c>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1</v>
      </c>
      <c r="P167" s="2806"/>
      <c r="Q167" s="21">
        <f t="shared" si="33"/>
        <v>1</v>
      </c>
      <c r="R167" s="663">
        <f t="shared" ca="1" si="34"/>
        <v>3973</v>
      </c>
      <c r="S167" s="316">
        <f t="shared" ca="1" si="25"/>
        <v>12</v>
      </c>
    </row>
    <row r="168" spans="1:19">
      <c r="A168" s="665" t="str">
        <f>Sheet3!C453</f>
        <v>B1149</v>
      </c>
      <c r="B168" s="665">
        <f>Sheet3!D453</f>
        <v>29.05</v>
      </c>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2806"/>
      <c r="Q168" s="21">
        <f t="shared" si="33"/>
        <v>1</v>
      </c>
      <c r="R168" s="663">
        <f t="shared" ca="1" si="34"/>
        <v>3973</v>
      </c>
      <c r="S168" s="316">
        <f t="shared" ca="1" si="25"/>
        <v>12</v>
      </c>
    </row>
    <row r="169" spans="1:19">
      <c r="A169" s="665" t="str">
        <f>Sheet3!C454</f>
        <v>B1150</v>
      </c>
      <c r="B169" s="665">
        <f>Sheet3!D454</f>
        <v>29.05</v>
      </c>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1</v>
      </c>
      <c r="P169" s="2806"/>
      <c r="Q169" s="21">
        <f t="shared" si="33"/>
        <v>1</v>
      </c>
      <c r="R169" s="663">
        <f t="shared" ca="1" si="34"/>
        <v>3973</v>
      </c>
      <c r="S169" s="316">
        <f t="shared" ca="1" si="25"/>
        <v>12</v>
      </c>
    </row>
    <row r="170" spans="1:19">
      <c r="A170" s="665" t="str">
        <f>Sheet3!C455</f>
        <v>B1151</v>
      </c>
      <c r="B170" s="665">
        <f>Sheet3!D455</f>
        <v>29.05</v>
      </c>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2806"/>
      <c r="Q170" s="21">
        <f t="shared" si="33"/>
        <v>1</v>
      </c>
      <c r="R170" s="663">
        <f t="shared" ca="1" si="34"/>
        <v>3973</v>
      </c>
      <c r="S170" s="316">
        <f t="shared" ca="1" si="25"/>
        <v>12</v>
      </c>
    </row>
    <row r="171" spans="1:19">
      <c r="A171" s="665" t="str">
        <f>Sheet3!C456</f>
        <v>B1152</v>
      </c>
      <c r="B171" s="665">
        <f>Sheet3!D456</f>
        <v>21.6</v>
      </c>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1</v>
      </c>
      <c r="P171" s="2806"/>
      <c r="Q171" s="21">
        <f t="shared" si="33"/>
        <v>1</v>
      </c>
      <c r="R171" s="663">
        <f t="shared" ca="1" si="34"/>
        <v>3973</v>
      </c>
      <c r="S171" s="316">
        <f t="shared" ca="1" si="25"/>
        <v>9</v>
      </c>
    </row>
    <row r="172" spans="1:19">
      <c r="A172" s="665" t="str">
        <f>Sheet3!C457</f>
        <v>B1153</v>
      </c>
      <c r="B172" s="665">
        <f>Sheet3!D457</f>
        <v>29.05</v>
      </c>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2806"/>
      <c r="Q172" s="21">
        <f t="shared" si="33"/>
        <v>1</v>
      </c>
      <c r="R172" s="663">
        <f t="shared" ca="1" si="34"/>
        <v>3973</v>
      </c>
      <c r="S172" s="316">
        <f t="shared" ca="1" si="25"/>
        <v>12</v>
      </c>
    </row>
    <row r="173" spans="1:19">
      <c r="A173" s="665" t="str">
        <f>Sheet3!C458</f>
        <v>B1154</v>
      </c>
      <c r="B173" s="665">
        <f>Sheet3!D458</f>
        <v>29.05</v>
      </c>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1</v>
      </c>
      <c r="P173" s="2806"/>
      <c r="Q173" s="21">
        <f t="shared" si="33"/>
        <v>1</v>
      </c>
      <c r="R173" s="663">
        <f t="shared" ca="1" si="34"/>
        <v>3973</v>
      </c>
      <c r="S173" s="316">
        <f t="shared" ca="1" si="25"/>
        <v>12</v>
      </c>
    </row>
    <row r="174" spans="1:19">
      <c r="A174" s="665" t="str">
        <f>Sheet3!C459</f>
        <v>B1155</v>
      </c>
      <c r="B174" s="665">
        <f>Sheet3!D459</f>
        <v>29.05</v>
      </c>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2806"/>
      <c r="Q174" s="21">
        <f t="shared" si="33"/>
        <v>1</v>
      </c>
      <c r="R174" s="663">
        <f t="shared" ca="1" si="34"/>
        <v>3973</v>
      </c>
      <c r="S174" s="316">
        <f t="shared" ca="1" si="25"/>
        <v>12</v>
      </c>
    </row>
    <row r="175" spans="1:19">
      <c r="A175" s="665" t="str">
        <f>Sheet3!C460</f>
        <v>B1156</v>
      </c>
      <c r="B175" s="665">
        <f>Sheet3!D460</f>
        <v>44.78</v>
      </c>
      <c r="C175" s="21">
        <f t="shared" si="26"/>
        <v>1.01</v>
      </c>
      <c r="D175" s="667"/>
      <c r="E175" s="21">
        <f t="shared" si="27"/>
        <v>1</v>
      </c>
      <c r="F175" s="667"/>
      <c r="G175" s="21">
        <f t="shared" si="28"/>
        <v>1</v>
      </c>
      <c r="H175" s="667"/>
      <c r="I175" s="21">
        <f t="shared" si="29"/>
        <v>1</v>
      </c>
      <c r="J175" s="667"/>
      <c r="K175" s="21">
        <f t="shared" si="30"/>
        <v>1</v>
      </c>
      <c r="L175" s="667"/>
      <c r="M175" s="21">
        <f t="shared" si="31"/>
        <v>1</v>
      </c>
      <c r="N175" s="667"/>
      <c r="O175" s="21">
        <f t="shared" si="32"/>
        <v>1</v>
      </c>
      <c r="P175" s="2806"/>
      <c r="Q175" s="21">
        <f t="shared" si="33"/>
        <v>1</v>
      </c>
      <c r="R175" s="663">
        <f t="shared" ca="1" si="34"/>
        <v>4013</v>
      </c>
      <c r="S175" s="316">
        <f t="shared" ca="1" si="25"/>
        <v>18</v>
      </c>
    </row>
    <row r="176" spans="1:19">
      <c r="A176" s="665" t="str">
        <f>Sheet3!C461</f>
        <v>B1157</v>
      </c>
      <c r="B176" s="665">
        <f>Sheet3!D461</f>
        <v>21.6</v>
      </c>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2806"/>
      <c r="Q176" s="21">
        <f t="shared" si="33"/>
        <v>1</v>
      </c>
      <c r="R176" s="663">
        <f t="shared" ca="1" si="34"/>
        <v>3973</v>
      </c>
      <c r="S176" s="316">
        <f t="shared" ca="1" si="25"/>
        <v>9</v>
      </c>
    </row>
    <row r="177" spans="1:19">
      <c r="A177" s="665" t="str">
        <f>Sheet3!C462</f>
        <v>B1158</v>
      </c>
      <c r="B177" s="665">
        <f>Sheet3!D462</f>
        <v>50.65</v>
      </c>
      <c r="C177" s="21">
        <f t="shared" si="26"/>
        <v>1.02</v>
      </c>
      <c r="D177" s="667"/>
      <c r="E177" s="21">
        <f t="shared" si="27"/>
        <v>1</v>
      </c>
      <c r="F177" s="667"/>
      <c r="G177" s="21">
        <f t="shared" si="28"/>
        <v>1</v>
      </c>
      <c r="H177" s="667"/>
      <c r="I177" s="21">
        <f t="shared" si="29"/>
        <v>1</v>
      </c>
      <c r="J177" s="667"/>
      <c r="K177" s="21">
        <f t="shared" si="30"/>
        <v>1</v>
      </c>
      <c r="L177" s="667"/>
      <c r="M177" s="21">
        <f t="shared" si="31"/>
        <v>1</v>
      </c>
      <c r="N177" s="667"/>
      <c r="O177" s="21">
        <f t="shared" si="32"/>
        <v>1</v>
      </c>
      <c r="P177" s="2806"/>
      <c r="Q177" s="21">
        <f t="shared" si="33"/>
        <v>1</v>
      </c>
      <c r="R177" s="663">
        <f t="shared" ca="1" si="34"/>
        <v>4052</v>
      </c>
      <c r="S177" s="316">
        <f t="shared" ca="1" si="25"/>
        <v>21</v>
      </c>
    </row>
    <row r="178" spans="1:19">
      <c r="A178" s="665"/>
      <c r="B178" s="665"/>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2806"/>
      <c r="Q178" s="21">
        <f t="shared" si="33"/>
        <v>1</v>
      </c>
      <c r="R178" s="663">
        <f t="shared" si="34"/>
        <v>0</v>
      </c>
      <c r="S178" s="316">
        <f t="shared" si="25"/>
        <v>0</v>
      </c>
    </row>
    <row r="179" spans="1:19">
      <c r="A179" s="665"/>
      <c r="B179" s="665"/>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1</v>
      </c>
      <c r="P179" s="2806"/>
      <c r="Q179" s="21">
        <f t="shared" si="33"/>
        <v>1</v>
      </c>
      <c r="R179" s="663">
        <f t="shared" si="34"/>
        <v>0</v>
      </c>
      <c r="S179" s="316">
        <f t="shared" si="25"/>
        <v>0</v>
      </c>
    </row>
    <row r="180" spans="1:19">
      <c r="A180" s="665"/>
      <c r="B180" s="665"/>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2806"/>
      <c r="Q180" s="21">
        <f t="shared" si="33"/>
        <v>1</v>
      </c>
      <c r="R180" s="663">
        <f t="shared" si="34"/>
        <v>0</v>
      </c>
      <c r="S180" s="316">
        <f t="shared" si="25"/>
        <v>0</v>
      </c>
    </row>
    <row r="181" spans="1:19">
      <c r="A181" s="665"/>
      <c r="B181" s="665"/>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1</v>
      </c>
      <c r="P181" s="2806"/>
      <c r="Q181" s="21">
        <f t="shared" si="33"/>
        <v>1</v>
      </c>
      <c r="R181" s="663">
        <f t="shared" si="34"/>
        <v>0</v>
      </c>
      <c r="S181" s="316">
        <f t="shared" si="25"/>
        <v>0</v>
      </c>
    </row>
    <row r="182" spans="1:19">
      <c r="A182" s="665"/>
      <c r="B182" s="665"/>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2806"/>
      <c r="Q182" s="21">
        <f t="shared" si="33"/>
        <v>1</v>
      </c>
      <c r="R182" s="663">
        <f t="shared" si="34"/>
        <v>0</v>
      </c>
      <c r="S182" s="316">
        <f t="shared" si="25"/>
        <v>0</v>
      </c>
    </row>
    <row r="183" spans="1:19">
      <c r="A183" s="665"/>
      <c r="B183" s="665"/>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1</v>
      </c>
      <c r="P183" s="2806"/>
      <c r="Q183" s="21">
        <f t="shared" si="33"/>
        <v>1</v>
      </c>
      <c r="R183" s="663">
        <f t="shared" si="34"/>
        <v>0</v>
      </c>
      <c r="S183" s="316">
        <f t="shared" si="25"/>
        <v>0</v>
      </c>
    </row>
    <row r="184" spans="1:19">
      <c r="A184" s="665"/>
      <c r="B184" s="665"/>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2806"/>
      <c r="Q184" s="21">
        <f t="shared" si="33"/>
        <v>1</v>
      </c>
      <c r="R184" s="663">
        <f t="shared" si="34"/>
        <v>0</v>
      </c>
      <c r="S184" s="316">
        <f t="shared" si="25"/>
        <v>0</v>
      </c>
    </row>
    <row r="185" spans="1:19">
      <c r="A185" s="665"/>
      <c r="B185" s="665"/>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1</v>
      </c>
      <c r="P185" s="2806"/>
      <c r="Q185" s="21">
        <f t="shared" si="33"/>
        <v>1</v>
      </c>
      <c r="R185" s="663">
        <f t="shared" si="34"/>
        <v>0</v>
      </c>
      <c r="S185" s="316">
        <f t="shared" si="25"/>
        <v>0</v>
      </c>
    </row>
    <row r="186" spans="1:19">
      <c r="A186" s="665"/>
      <c r="B186" s="665"/>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2806"/>
      <c r="Q186" s="21">
        <f t="shared" si="33"/>
        <v>1</v>
      </c>
      <c r="R186" s="663">
        <f t="shared" si="34"/>
        <v>0</v>
      </c>
      <c r="S186" s="316">
        <f t="shared" si="25"/>
        <v>0</v>
      </c>
    </row>
    <row r="187" spans="1:19">
      <c r="A187" s="665"/>
      <c r="B187" s="665"/>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1</v>
      </c>
      <c r="P187" s="2806"/>
      <c r="Q187" s="21">
        <f t="shared" si="33"/>
        <v>1</v>
      </c>
      <c r="R187" s="663">
        <f t="shared" si="34"/>
        <v>0</v>
      </c>
      <c r="S187" s="316">
        <f t="shared" si="25"/>
        <v>0</v>
      </c>
    </row>
    <row r="188" spans="1:19">
      <c r="A188" s="665"/>
      <c r="B188" s="665"/>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2806"/>
      <c r="Q188" s="21">
        <f t="shared" si="33"/>
        <v>1</v>
      </c>
      <c r="R188" s="663">
        <f t="shared" si="34"/>
        <v>0</v>
      </c>
      <c r="S188" s="316">
        <f t="shared" si="25"/>
        <v>0</v>
      </c>
    </row>
    <row r="189" spans="1:19">
      <c r="A189" s="665"/>
      <c r="B189" s="665"/>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1</v>
      </c>
      <c r="P189" s="2806"/>
      <c r="Q189" s="21">
        <f t="shared" si="33"/>
        <v>1</v>
      </c>
      <c r="R189" s="663">
        <f t="shared" si="34"/>
        <v>0</v>
      </c>
      <c r="S189" s="316">
        <f t="shared" si="25"/>
        <v>0</v>
      </c>
    </row>
    <row r="190" spans="1:19">
      <c r="A190" s="665"/>
      <c r="B190" s="665"/>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2806"/>
      <c r="Q190" s="21">
        <f t="shared" si="33"/>
        <v>1</v>
      </c>
      <c r="R190" s="663">
        <f t="shared" si="34"/>
        <v>0</v>
      </c>
      <c r="S190" s="316">
        <f t="shared" si="25"/>
        <v>0</v>
      </c>
    </row>
    <row r="191" spans="1:19">
      <c r="A191" s="665"/>
      <c r="B191" s="665"/>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1</v>
      </c>
      <c r="P191" s="2806"/>
      <c r="Q191" s="21">
        <f t="shared" si="33"/>
        <v>1</v>
      </c>
      <c r="R191" s="663">
        <f t="shared" si="34"/>
        <v>0</v>
      </c>
      <c r="S191" s="316">
        <f t="shared" si="25"/>
        <v>0</v>
      </c>
    </row>
    <row r="192" spans="1:19">
      <c r="A192" s="665"/>
      <c r="B192" s="665"/>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2806"/>
      <c r="Q192" s="21">
        <f t="shared" si="33"/>
        <v>1</v>
      </c>
      <c r="R192" s="663">
        <f t="shared" si="34"/>
        <v>0</v>
      </c>
      <c r="S192" s="316">
        <f t="shared" si="25"/>
        <v>0</v>
      </c>
    </row>
    <row r="193" spans="1:19">
      <c r="A193" s="665"/>
      <c r="B193" s="665"/>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1</v>
      </c>
      <c r="P193" s="2806"/>
      <c r="Q193" s="21">
        <f t="shared" si="33"/>
        <v>1</v>
      </c>
      <c r="R193" s="663">
        <f t="shared" si="34"/>
        <v>0</v>
      </c>
      <c r="S193" s="316">
        <f t="shared" si="25"/>
        <v>0</v>
      </c>
    </row>
    <row r="194" spans="1:19">
      <c r="A194" s="665"/>
      <c r="B194" s="665"/>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2806"/>
      <c r="Q194" s="21">
        <f t="shared" si="33"/>
        <v>1</v>
      </c>
      <c r="R194" s="663">
        <f t="shared" si="34"/>
        <v>0</v>
      </c>
      <c r="S194" s="316">
        <f t="shared" si="25"/>
        <v>0</v>
      </c>
    </row>
    <row r="195" spans="1:19">
      <c r="A195" s="665"/>
      <c r="B195" s="665"/>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1</v>
      </c>
      <c r="P195" s="2806"/>
      <c r="Q195" s="21">
        <f t="shared" si="33"/>
        <v>1</v>
      </c>
      <c r="R195" s="663">
        <f t="shared" si="34"/>
        <v>0</v>
      </c>
      <c r="S195" s="316">
        <f t="shared" si="25"/>
        <v>0</v>
      </c>
    </row>
    <row r="196" spans="1:19">
      <c r="A196" s="665"/>
      <c r="B196" s="665"/>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2806"/>
      <c r="Q196" s="21">
        <f t="shared" si="33"/>
        <v>1</v>
      </c>
      <c r="R196" s="663">
        <f t="shared" si="34"/>
        <v>0</v>
      </c>
      <c r="S196" s="316">
        <f t="shared" si="25"/>
        <v>0</v>
      </c>
    </row>
    <row r="197" spans="1:19">
      <c r="A197" s="665"/>
      <c r="B197" s="665"/>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1</v>
      </c>
      <c r="P197" s="2806"/>
      <c r="Q197" s="21">
        <f t="shared" si="33"/>
        <v>1</v>
      </c>
      <c r="R197" s="663">
        <f t="shared" si="34"/>
        <v>0</v>
      </c>
      <c r="S197" s="316">
        <f t="shared" si="25"/>
        <v>0</v>
      </c>
    </row>
    <row r="198" spans="1:19">
      <c r="A198" s="665"/>
      <c r="B198" s="665"/>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2806"/>
      <c r="Q198" s="21">
        <f t="shared" si="33"/>
        <v>1</v>
      </c>
      <c r="R198" s="663">
        <f t="shared" si="34"/>
        <v>0</v>
      </c>
      <c r="S198" s="316">
        <f t="shared" si="25"/>
        <v>0</v>
      </c>
    </row>
    <row r="199" spans="1:19">
      <c r="A199" s="665"/>
      <c r="B199" s="665"/>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1</v>
      </c>
      <c r="P199" s="2806"/>
      <c r="Q199" s="21">
        <f t="shared" si="33"/>
        <v>1</v>
      </c>
      <c r="R199" s="663">
        <f t="shared" si="34"/>
        <v>0</v>
      </c>
      <c r="S199" s="316">
        <f t="shared" si="25"/>
        <v>0</v>
      </c>
    </row>
    <row r="200" spans="1:19">
      <c r="A200" s="665"/>
      <c r="B200" s="665"/>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2806"/>
      <c r="Q200" s="21">
        <f t="shared" si="33"/>
        <v>1</v>
      </c>
      <c r="R200" s="663">
        <f t="shared" si="34"/>
        <v>0</v>
      </c>
      <c r="S200" s="316">
        <f t="shared" si="25"/>
        <v>0</v>
      </c>
    </row>
    <row r="201" spans="1:19">
      <c r="A201" s="665"/>
      <c r="B201" s="665"/>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1</v>
      </c>
      <c r="P201" s="2806"/>
      <c r="Q201" s="21">
        <f t="shared" si="33"/>
        <v>1</v>
      </c>
      <c r="R201" s="663">
        <f t="shared" si="34"/>
        <v>0</v>
      </c>
      <c r="S201" s="316">
        <f t="shared" si="25"/>
        <v>0</v>
      </c>
    </row>
    <row r="202" spans="1:19">
      <c r="A202" s="665"/>
      <c r="B202" s="665"/>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2806"/>
      <c r="Q202" s="21">
        <f t="shared" si="33"/>
        <v>1</v>
      </c>
      <c r="R202" s="663">
        <f t="shared" si="34"/>
        <v>0</v>
      </c>
      <c r="S202" s="316">
        <f t="shared" si="25"/>
        <v>0</v>
      </c>
    </row>
    <row r="203" spans="1:19">
      <c r="A203" s="665"/>
      <c r="B203" s="665"/>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1</v>
      </c>
      <c r="P203" s="2806"/>
      <c r="Q203" s="21">
        <f t="shared" si="33"/>
        <v>1</v>
      </c>
      <c r="R203" s="663">
        <f t="shared" si="34"/>
        <v>0</v>
      </c>
      <c r="S203" s="316">
        <f t="shared" si="25"/>
        <v>0</v>
      </c>
    </row>
    <row r="204" spans="1:19">
      <c r="A204" s="665"/>
      <c r="B204" s="665"/>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2806"/>
      <c r="Q204" s="21">
        <f t="shared" si="33"/>
        <v>1</v>
      </c>
      <c r="R204" s="663">
        <f t="shared" si="34"/>
        <v>0</v>
      </c>
      <c r="S204" s="316">
        <f t="shared" si="25"/>
        <v>0</v>
      </c>
    </row>
    <row r="205" spans="1:19">
      <c r="A205" s="665"/>
      <c r="B205" s="665"/>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1</v>
      </c>
      <c r="P205" s="2806"/>
      <c r="Q205" s="21">
        <f t="shared" si="33"/>
        <v>1</v>
      </c>
      <c r="R205" s="663">
        <f t="shared" si="34"/>
        <v>0</v>
      </c>
      <c r="S205" s="316">
        <f t="shared" si="25"/>
        <v>0</v>
      </c>
    </row>
    <row r="206" spans="1:19">
      <c r="A206" s="665"/>
      <c r="B206" s="665"/>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2806"/>
      <c r="Q206" s="21">
        <f t="shared" si="33"/>
        <v>1</v>
      </c>
      <c r="R206" s="663">
        <f t="shared" si="34"/>
        <v>0</v>
      </c>
      <c r="S206" s="316">
        <f t="shared" si="25"/>
        <v>0</v>
      </c>
    </row>
    <row r="207" spans="1:19">
      <c r="A207" s="665"/>
      <c r="B207" s="665"/>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1</v>
      </c>
      <c r="P207" s="2806"/>
      <c r="Q207" s="21">
        <f t="shared" si="33"/>
        <v>1</v>
      </c>
      <c r="R207" s="663">
        <f t="shared" si="34"/>
        <v>0</v>
      </c>
      <c r="S207" s="316">
        <f t="shared" si="25"/>
        <v>0</v>
      </c>
    </row>
    <row r="208" spans="1:19">
      <c r="A208" s="665"/>
      <c r="B208" s="665"/>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2806"/>
      <c r="Q208" s="21">
        <f t="shared" si="33"/>
        <v>1</v>
      </c>
      <c r="R208" s="663">
        <f t="shared" si="34"/>
        <v>0</v>
      </c>
      <c r="S208" s="316">
        <f t="shared" si="25"/>
        <v>0</v>
      </c>
    </row>
    <row r="209" spans="1:19">
      <c r="A209" s="665"/>
      <c r="B209" s="665"/>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1</v>
      </c>
      <c r="P209" s="2806"/>
      <c r="Q209" s="21">
        <f t="shared" si="33"/>
        <v>1</v>
      </c>
      <c r="R209" s="663">
        <f t="shared" si="34"/>
        <v>0</v>
      </c>
      <c r="S209" s="316">
        <f t="shared" si="25"/>
        <v>0</v>
      </c>
    </row>
    <row r="210" spans="1:19">
      <c r="A210" s="665"/>
      <c r="B210" s="665"/>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2806"/>
      <c r="Q210" s="21">
        <f t="shared" si="33"/>
        <v>1</v>
      </c>
      <c r="R210" s="663">
        <f t="shared" si="34"/>
        <v>0</v>
      </c>
      <c r="S210" s="316">
        <f t="shared" si="25"/>
        <v>0</v>
      </c>
    </row>
    <row r="211" spans="1:19">
      <c r="A211" s="665"/>
      <c r="B211" s="665"/>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1</v>
      </c>
      <c r="P211" s="2806"/>
      <c r="Q211" s="21">
        <f t="shared" si="33"/>
        <v>1</v>
      </c>
      <c r="R211" s="663">
        <f t="shared" si="34"/>
        <v>0</v>
      </c>
      <c r="S211" s="316">
        <f t="shared" si="25"/>
        <v>0</v>
      </c>
    </row>
    <row r="212" spans="1:19">
      <c r="A212" s="665"/>
      <c r="B212" s="665"/>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2806"/>
      <c r="Q212" s="21">
        <f t="shared" si="33"/>
        <v>1</v>
      </c>
      <c r="R212" s="663">
        <f t="shared" si="34"/>
        <v>0</v>
      </c>
      <c r="S212" s="316">
        <f t="shared" si="25"/>
        <v>0</v>
      </c>
    </row>
    <row r="213" spans="1:19">
      <c r="A213" s="665"/>
      <c r="B213" s="665"/>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1</v>
      </c>
      <c r="P213" s="2806"/>
      <c r="Q213" s="21">
        <f t="shared" si="33"/>
        <v>1</v>
      </c>
      <c r="R213" s="663">
        <f t="shared" si="34"/>
        <v>0</v>
      </c>
      <c r="S213" s="316">
        <f t="shared" si="25"/>
        <v>0</v>
      </c>
    </row>
    <row r="214" spans="1:19">
      <c r="A214" s="665"/>
      <c r="B214" s="665"/>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2806"/>
      <c r="Q214" s="21">
        <f t="shared" si="33"/>
        <v>1</v>
      </c>
      <c r="R214" s="663">
        <f t="shared" si="34"/>
        <v>0</v>
      </c>
      <c r="S214" s="316">
        <f t="shared" si="25"/>
        <v>0</v>
      </c>
    </row>
    <row r="215" spans="1:19">
      <c r="A215" s="665"/>
      <c r="B215" s="665"/>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1</v>
      </c>
      <c r="P215" s="2806"/>
      <c r="Q215" s="21">
        <f t="shared" si="33"/>
        <v>1</v>
      </c>
      <c r="R215" s="663">
        <f t="shared" si="34"/>
        <v>0</v>
      </c>
      <c r="S215" s="316">
        <f t="shared" si="25"/>
        <v>0</v>
      </c>
    </row>
    <row r="216" spans="1:19">
      <c r="A216" s="665"/>
      <c r="B216" s="665"/>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2806"/>
      <c r="Q216" s="21">
        <f t="shared" si="33"/>
        <v>1</v>
      </c>
      <c r="R216" s="663">
        <f t="shared" si="34"/>
        <v>0</v>
      </c>
      <c r="S216" s="316">
        <f t="shared" ref="S216:S279" si="35">ROUND(R216*B216/10000,0)</f>
        <v>0</v>
      </c>
    </row>
    <row r="217" spans="1:19">
      <c r="A217" s="665"/>
      <c r="B217" s="665"/>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1</v>
      </c>
      <c r="P217" s="2806"/>
      <c r="Q217" s="21">
        <f t="shared" si="33"/>
        <v>1</v>
      </c>
      <c r="R217" s="663">
        <f t="shared" si="34"/>
        <v>0</v>
      </c>
      <c r="S217" s="316">
        <f t="shared" si="35"/>
        <v>0</v>
      </c>
    </row>
    <row r="218" spans="1:19">
      <c r="A218" s="665"/>
      <c r="B218" s="665"/>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2806"/>
      <c r="Q218" s="21">
        <f t="shared" ref="Q218:Q281" si="43">(SUMIF($17:$17,P218,$18:$18)-SUMIF($17:$17,$P$24,$18:$18)+100)/100</f>
        <v>1</v>
      </c>
      <c r="R218" s="663">
        <f t="shared" ref="R218:R281" si="44">IF(B218="",0,ROUND($R$24*C218*E218*G218*I218*K218*M218*O218*Q218,0))</f>
        <v>0</v>
      </c>
      <c r="S218" s="316">
        <f t="shared" si="35"/>
        <v>0</v>
      </c>
    </row>
    <row r="219" spans="1:19">
      <c r="A219" s="665"/>
      <c r="B219" s="665"/>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1</v>
      </c>
      <c r="P219" s="2806"/>
      <c r="Q219" s="21">
        <f t="shared" si="43"/>
        <v>1</v>
      </c>
      <c r="R219" s="663">
        <f t="shared" si="44"/>
        <v>0</v>
      </c>
      <c r="S219" s="316">
        <f t="shared" si="35"/>
        <v>0</v>
      </c>
    </row>
    <row r="220" spans="1:19">
      <c r="A220" s="665"/>
      <c r="B220" s="665"/>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2806"/>
      <c r="Q220" s="21">
        <f t="shared" si="43"/>
        <v>1</v>
      </c>
      <c r="R220" s="663">
        <f t="shared" si="44"/>
        <v>0</v>
      </c>
      <c r="S220" s="316">
        <f t="shared" si="35"/>
        <v>0</v>
      </c>
    </row>
    <row r="221" spans="1:19">
      <c r="A221" s="665"/>
      <c r="B221" s="665"/>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1</v>
      </c>
      <c r="P221" s="2806"/>
      <c r="Q221" s="21">
        <f t="shared" si="43"/>
        <v>1</v>
      </c>
      <c r="R221" s="663">
        <f t="shared" si="44"/>
        <v>0</v>
      </c>
      <c r="S221" s="316">
        <f t="shared" si="35"/>
        <v>0</v>
      </c>
    </row>
    <row r="222" spans="1:19">
      <c r="A222" s="665"/>
      <c r="B222" s="665"/>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2806"/>
      <c r="Q222" s="21">
        <f t="shared" si="43"/>
        <v>1</v>
      </c>
      <c r="R222" s="663">
        <f t="shared" si="44"/>
        <v>0</v>
      </c>
      <c r="S222" s="316">
        <f t="shared" si="35"/>
        <v>0</v>
      </c>
    </row>
    <row r="223" spans="1:19">
      <c r="A223" s="665"/>
      <c r="B223" s="665"/>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1</v>
      </c>
      <c r="P223" s="2806"/>
      <c r="Q223" s="21">
        <f t="shared" si="43"/>
        <v>1</v>
      </c>
      <c r="R223" s="663">
        <f t="shared" si="44"/>
        <v>0</v>
      </c>
      <c r="S223" s="316">
        <f t="shared" si="35"/>
        <v>0</v>
      </c>
    </row>
    <row r="224" spans="1:19">
      <c r="A224" s="665"/>
      <c r="B224" s="665"/>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2806"/>
      <c r="Q224" s="21">
        <f t="shared" si="43"/>
        <v>1</v>
      </c>
      <c r="R224" s="663">
        <f t="shared" si="44"/>
        <v>0</v>
      </c>
      <c r="S224" s="316">
        <f t="shared" si="35"/>
        <v>0</v>
      </c>
    </row>
    <row r="225" spans="1:19">
      <c r="A225" s="665"/>
      <c r="B225" s="665"/>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1</v>
      </c>
      <c r="P225" s="2806"/>
      <c r="Q225" s="21">
        <f t="shared" si="43"/>
        <v>1</v>
      </c>
      <c r="R225" s="663">
        <f t="shared" si="44"/>
        <v>0</v>
      </c>
      <c r="S225" s="316">
        <f t="shared" si="35"/>
        <v>0</v>
      </c>
    </row>
    <row r="226" spans="1:19">
      <c r="A226" s="665"/>
      <c r="B226" s="665"/>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2806"/>
      <c r="Q226" s="21">
        <f t="shared" si="43"/>
        <v>1</v>
      </c>
      <c r="R226" s="663">
        <f t="shared" si="44"/>
        <v>0</v>
      </c>
      <c r="S226" s="316">
        <f t="shared" si="35"/>
        <v>0</v>
      </c>
    </row>
    <row r="227" spans="1:19">
      <c r="A227" s="665"/>
      <c r="B227" s="665"/>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1</v>
      </c>
      <c r="P227" s="2806"/>
      <c r="Q227" s="21">
        <f t="shared" si="43"/>
        <v>1</v>
      </c>
      <c r="R227" s="663">
        <f t="shared" si="44"/>
        <v>0</v>
      </c>
      <c r="S227" s="316">
        <f t="shared" si="35"/>
        <v>0</v>
      </c>
    </row>
    <row r="228" spans="1:19">
      <c r="A228" s="665"/>
      <c r="B228" s="665"/>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2806"/>
      <c r="Q228" s="21">
        <f t="shared" si="43"/>
        <v>1</v>
      </c>
      <c r="R228" s="663">
        <f t="shared" si="44"/>
        <v>0</v>
      </c>
      <c r="S228" s="316">
        <f t="shared" si="35"/>
        <v>0</v>
      </c>
    </row>
    <row r="229" spans="1:19">
      <c r="A229" s="665"/>
      <c r="B229" s="665"/>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1</v>
      </c>
      <c r="P229" s="2806"/>
      <c r="Q229" s="21">
        <f t="shared" si="43"/>
        <v>1</v>
      </c>
      <c r="R229" s="663">
        <f t="shared" si="44"/>
        <v>0</v>
      </c>
      <c r="S229" s="316">
        <f t="shared" si="35"/>
        <v>0</v>
      </c>
    </row>
    <row r="230" spans="1:19">
      <c r="A230" s="665"/>
      <c r="B230" s="665"/>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2806"/>
      <c r="Q230" s="21">
        <f t="shared" si="43"/>
        <v>1</v>
      </c>
      <c r="R230" s="663">
        <f t="shared" si="44"/>
        <v>0</v>
      </c>
      <c r="S230" s="316">
        <f t="shared" si="35"/>
        <v>0</v>
      </c>
    </row>
    <row r="231" spans="1:19">
      <c r="A231" s="665"/>
      <c r="B231" s="665"/>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1</v>
      </c>
      <c r="P231" s="2806"/>
      <c r="Q231" s="21">
        <f t="shared" si="43"/>
        <v>1</v>
      </c>
      <c r="R231" s="663">
        <f t="shared" si="44"/>
        <v>0</v>
      </c>
      <c r="S231" s="316">
        <f t="shared" si="35"/>
        <v>0</v>
      </c>
    </row>
    <row r="232" spans="1:19">
      <c r="A232" s="665"/>
      <c r="B232" s="665"/>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2806"/>
      <c r="Q232" s="21">
        <f t="shared" si="43"/>
        <v>1</v>
      </c>
      <c r="R232" s="663">
        <f t="shared" si="44"/>
        <v>0</v>
      </c>
      <c r="S232" s="316">
        <f t="shared" si="35"/>
        <v>0</v>
      </c>
    </row>
    <row r="233" spans="1:19">
      <c r="A233" s="665"/>
      <c r="B233" s="665"/>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1</v>
      </c>
      <c r="P233" s="2806"/>
      <c r="Q233" s="21">
        <f t="shared" si="43"/>
        <v>1</v>
      </c>
      <c r="R233" s="663">
        <f t="shared" si="44"/>
        <v>0</v>
      </c>
      <c r="S233" s="316">
        <f t="shared" si="35"/>
        <v>0</v>
      </c>
    </row>
    <row r="234" spans="1:19">
      <c r="A234" s="665"/>
      <c r="B234" s="665"/>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2806"/>
      <c r="Q234" s="21">
        <f t="shared" si="43"/>
        <v>1</v>
      </c>
      <c r="R234" s="663">
        <f t="shared" si="44"/>
        <v>0</v>
      </c>
      <c r="S234" s="316">
        <f t="shared" si="35"/>
        <v>0</v>
      </c>
    </row>
    <row r="235" spans="1:19">
      <c r="A235" s="665"/>
      <c r="B235" s="665"/>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1</v>
      </c>
      <c r="P235" s="2806"/>
      <c r="Q235" s="21">
        <f t="shared" si="43"/>
        <v>1</v>
      </c>
      <c r="R235" s="663">
        <f t="shared" si="44"/>
        <v>0</v>
      </c>
      <c r="S235" s="316">
        <f t="shared" si="35"/>
        <v>0</v>
      </c>
    </row>
    <row r="236" spans="1:19">
      <c r="A236" s="665"/>
      <c r="B236" s="665"/>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2806"/>
      <c r="Q236" s="21">
        <f t="shared" si="43"/>
        <v>1</v>
      </c>
      <c r="R236" s="663">
        <f t="shared" si="44"/>
        <v>0</v>
      </c>
      <c r="S236" s="316">
        <f t="shared" si="35"/>
        <v>0</v>
      </c>
    </row>
    <row r="237" spans="1:19">
      <c r="A237" s="665"/>
      <c r="B237" s="665"/>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1</v>
      </c>
      <c r="P237" s="2806"/>
      <c r="Q237" s="21">
        <f t="shared" si="43"/>
        <v>1</v>
      </c>
      <c r="R237" s="663">
        <f t="shared" si="44"/>
        <v>0</v>
      </c>
      <c r="S237" s="316">
        <f t="shared" si="35"/>
        <v>0</v>
      </c>
    </row>
    <row r="238" spans="1:19">
      <c r="A238" s="665"/>
      <c r="B238" s="665"/>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2806"/>
      <c r="Q238" s="21">
        <f t="shared" si="43"/>
        <v>1</v>
      </c>
      <c r="R238" s="663">
        <f t="shared" si="44"/>
        <v>0</v>
      </c>
      <c r="S238" s="316">
        <f t="shared" si="35"/>
        <v>0</v>
      </c>
    </row>
    <row r="239" spans="1:19">
      <c r="A239" s="665"/>
      <c r="B239" s="665"/>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1</v>
      </c>
      <c r="P239" s="2806"/>
      <c r="Q239" s="21">
        <f t="shared" si="43"/>
        <v>1</v>
      </c>
      <c r="R239" s="663">
        <f t="shared" si="44"/>
        <v>0</v>
      </c>
      <c r="S239" s="316">
        <f t="shared" si="35"/>
        <v>0</v>
      </c>
    </row>
    <row r="240" spans="1:19">
      <c r="A240" s="665"/>
      <c r="B240" s="665"/>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2806"/>
      <c r="Q240" s="21">
        <f t="shared" si="43"/>
        <v>1</v>
      </c>
      <c r="R240" s="663">
        <f t="shared" si="44"/>
        <v>0</v>
      </c>
      <c r="S240" s="316">
        <f t="shared" si="35"/>
        <v>0</v>
      </c>
    </row>
    <row r="241" spans="1:19">
      <c r="A241" s="665"/>
      <c r="B241" s="665"/>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1</v>
      </c>
      <c r="P241" s="2806"/>
      <c r="Q241" s="21">
        <f t="shared" si="43"/>
        <v>1</v>
      </c>
      <c r="R241" s="663">
        <f t="shared" si="44"/>
        <v>0</v>
      </c>
      <c r="S241" s="316">
        <f t="shared" si="35"/>
        <v>0</v>
      </c>
    </row>
    <row r="242" spans="1:19">
      <c r="A242" s="665"/>
      <c r="B242" s="665"/>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2806"/>
      <c r="Q242" s="21">
        <f t="shared" si="43"/>
        <v>1</v>
      </c>
      <c r="R242" s="663">
        <f t="shared" si="44"/>
        <v>0</v>
      </c>
      <c r="S242" s="316">
        <f t="shared" si="35"/>
        <v>0</v>
      </c>
    </row>
    <row r="243" spans="1:19">
      <c r="A243" s="665"/>
      <c r="B243" s="665"/>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1</v>
      </c>
      <c r="P243" s="2806"/>
      <c r="Q243" s="21">
        <f t="shared" si="43"/>
        <v>1</v>
      </c>
      <c r="R243" s="663">
        <f t="shared" si="44"/>
        <v>0</v>
      </c>
      <c r="S243" s="316">
        <f t="shared" si="35"/>
        <v>0</v>
      </c>
    </row>
    <row r="244" spans="1:19">
      <c r="A244" s="665"/>
      <c r="B244" s="665"/>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2806"/>
      <c r="Q244" s="21">
        <f t="shared" si="43"/>
        <v>1</v>
      </c>
      <c r="R244" s="663">
        <f t="shared" si="44"/>
        <v>0</v>
      </c>
      <c r="S244" s="316">
        <f t="shared" si="35"/>
        <v>0</v>
      </c>
    </row>
    <row r="245" spans="1:19">
      <c r="A245" s="665"/>
      <c r="B245" s="665"/>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1</v>
      </c>
      <c r="P245" s="2806"/>
      <c r="Q245" s="21">
        <f t="shared" si="43"/>
        <v>1</v>
      </c>
      <c r="R245" s="663">
        <f t="shared" si="44"/>
        <v>0</v>
      </c>
      <c r="S245" s="316">
        <f t="shared" si="35"/>
        <v>0</v>
      </c>
    </row>
    <row r="246" spans="1:19">
      <c r="A246" s="665"/>
      <c r="B246" s="665"/>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2806"/>
      <c r="Q246" s="21">
        <f t="shared" si="43"/>
        <v>1</v>
      </c>
      <c r="R246" s="663">
        <f t="shared" si="44"/>
        <v>0</v>
      </c>
      <c r="S246" s="316">
        <f t="shared" si="35"/>
        <v>0</v>
      </c>
    </row>
    <row r="247" spans="1:19">
      <c r="A247" s="665"/>
      <c r="B247" s="665"/>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1</v>
      </c>
      <c r="P247" s="2806"/>
      <c r="Q247" s="21">
        <f t="shared" si="43"/>
        <v>1</v>
      </c>
      <c r="R247" s="663">
        <f t="shared" si="44"/>
        <v>0</v>
      </c>
      <c r="S247" s="316">
        <f t="shared" si="35"/>
        <v>0</v>
      </c>
    </row>
    <row r="248" spans="1:19">
      <c r="A248" s="665"/>
      <c r="B248" s="665"/>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2806"/>
      <c r="Q248" s="21">
        <f t="shared" si="43"/>
        <v>1</v>
      </c>
      <c r="R248" s="663">
        <f t="shared" si="44"/>
        <v>0</v>
      </c>
      <c r="S248" s="316">
        <f t="shared" si="35"/>
        <v>0</v>
      </c>
    </row>
    <row r="249" spans="1:19">
      <c r="A249" s="665"/>
      <c r="B249" s="665"/>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1</v>
      </c>
      <c r="P249" s="2806"/>
      <c r="Q249" s="21">
        <f t="shared" si="43"/>
        <v>1</v>
      </c>
      <c r="R249" s="663">
        <f t="shared" si="44"/>
        <v>0</v>
      </c>
      <c r="S249" s="316">
        <f t="shared" si="35"/>
        <v>0</v>
      </c>
    </row>
    <row r="250" spans="1:19">
      <c r="A250" s="665"/>
      <c r="B250" s="665"/>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2806"/>
      <c r="Q250" s="21">
        <f t="shared" si="43"/>
        <v>1</v>
      </c>
      <c r="R250" s="663">
        <f t="shared" si="44"/>
        <v>0</v>
      </c>
      <c r="S250" s="316">
        <f t="shared" si="35"/>
        <v>0</v>
      </c>
    </row>
    <row r="251" spans="1:19">
      <c r="A251" s="665"/>
      <c r="B251" s="665"/>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1</v>
      </c>
      <c r="P251" s="2806"/>
      <c r="Q251" s="21">
        <f t="shared" si="43"/>
        <v>1</v>
      </c>
      <c r="R251" s="663">
        <f t="shared" si="44"/>
        <v>0</v>
      </c>
      <c r="S251" s="316">
        <f t="shared" si="35"/>
        <v>0</v>
      </c>
    </row>
    <row r="252" spans="1:19">
      <c r="A252" s="665"/>
      <c r="B252" s="665"/>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2806"/>
      <c r="Q252" s="21">
        <f t="shared" si="43"/>
        <v>1</v>
      </c>
      <c r="R252" s="663">
        <f t="shared" si="44"/>
        <v>0</v>
      </c>
      <c r="S252" s="316">
        <f t="shared" si="35"/>
        <v>0</v>
      </c>
    </row>
    <row r="253" spans="1:19">
      <c r="A253" s="665"/>
      <c r="B253" s="665"/>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1</v>
      </c>
      <c r="P253" s="2806"/>
      <c r="Q253" s="21">
        <f t="shared" si="43"/>
        <v>1</v>
      </c>
      <c r="R253" s="663">
        <f t="shared" si="44"/>
        <v>0</v>
      </c>
      <c r="S253" s="316">
        <f t="shared" si="35"/>
        <v>0</v>
      </c>
    </row>
    <row r="254" spans="1:19">
      <c r="A254" s="665"/>
      <c r="B254" s="665"/>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2806"/>
      <c r="Q254" s="21">
        <f t="shared" si="43"/>
        <v>1</v>
      </c>
      <c r="R254" s="663">
        <f t="shared" si="44"/>
        <v>0</v>
      </c>
      <c r="S254" s="316">
        <f t="shared" si="35"/>
        <v>0</v>
      </c>
    </row>
    <row r="255" spans="1:19">
      <c r="A255" s="665"/>
      <c r="B255" s="665"/>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1</v>
      </c>
      <c r="P255" s="2806"/>
      <c r="Q255" s="21">
        <f t="shared" si="43"/>
        <v>1</v>
      </c>
      <c r="R255" s="663">
        <f t="shared" si="44"/>
        <v>0</v>
      </c>
      <c r="S255" s="316">
        <f t="shared" si="35"/>
        <v>0</v>
      </c>
    </row>
    <row r="256" spans="1:19">
      <c r="A256" s="665"/>
      <c r="B256" s="665"/>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2806"/>
      <c r="Q256" s="21">
        <f t="shared" si="43"/>
        <v>1</v>
      </c>
      <c r="R256" s="663">
        <f t="shared" si="44"/>
        <v>0</v>
      </c>
      <c r="S256" s="316">
        <f t="shared" si="35"/>
        <v>0</v>
      </c>
    </row>
    <row r="257" spans="1:19">
      <c r="A257" s="665"/>
      <c r="B257" s="665"/>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1</v>
      </c>
      <c r="P257" s="2806"/>
      <c r="Q257" s="21">
        <f t="shared" si="43"/>
        <v>1</v>
      </c>
      <c r="R257" s="663">
        <f t="shared" si="44"/>
        <v>0</v>
      </c>
      <c r="S257" s="316">
        <f t="shared" si="35"/>
        <v>0</v>
      </c>
    </row>
    <row r="258" spans="1:19">
      <c r="A258" s="665"/>
      <c r="B258" s="665"/>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2806"/>
      <c r="Q258" s="21">
        <f t="shared" si="43"/>
        <v>1</v>
      </c>
      <c r="R258" s="663">
        <f t="shared" si="44"/>
        <v>0</v>
      </c>
      <c r="S258" s="316">
        <f t="shared" si="35"/>
        <v>0</v>
      </c>
    </row>
    <row r="259" spans="1:19">
      <c r="A259" s="665"/>
      <c r="B259" s="665"/>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1</v>
      </c>
      <c r="P259" s="2806"/>
      <c r="Q259" s="21">
        <f t="shared" si="43"/>
        <v>1</v>
      </c>
      <c r="R259" s="663">
        <f t="shared" si="44"/>
        <v>0</v>
      </c>
      <c r="S259" s="316">
        <f t="shared" si="35"/>
        <v>0</v>
      </c>
    </row>
    <row r="260" spans="1:19">
      <c r="A260" s="665"/>
      <c r="B260" s="665"/>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2806"/>
      <c r="Q260" s="21">
        <f t="shared" si="43"/>
        <v>1</v>
      </c>
      <c r="R260" s="663">
        <f t="shared" si="44"/>
        <v>0</v>
      </c>
      <c r="S260" s="316">
        <f t="shared" si="35"/>
        <v>0</v>
      </c>
    </row>
    <row r="261" spans="1:19">
      <c r="A261" s="665"/>
      <c r="B261" s="665"/>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1</v>
      </c>
      <c r="P261" s="2806"/>
      <c r="Q261" s="21">
        <f t="shared" si="43"/>
        <v>1</v>
      </c>
      <c r="R261" s="663">
        <f t="shared" si="44"/>
        <v>0</v>
      </c>
      <c r="S261" s="316">
        <f t="shared" si="35"/>
        <v>0</v>
      </c>
    </row>
    <row r="262" spans="1:19">
      <c r="A262" s="665"/>
      <c r="B262" s="665"/>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2806"/>
      <c r="Q262" s="21">
        <f t="shared" si="43"/>
        <v>1</v>
      </c>
      <c r="R262" s="663">
        <f t="shared" si="44"/>
        <v>0</v>
      </c>
      <c r="S262" s="316">
        <f t="shared" si="35"/>
        <v>0</v>
      </c>
    </row>
    <row r="263" spans="1:19">
      <c r="A263" s="665"/>
      <c r="B263" s="665"/>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1</v>
      </c>
      <c r="P263" s="2806"/>
      <c r="Q263" s="21">
        <f t="shared" si="43"/>
        <v>1</v>
      </c>
      <c r="R263" s="663">
        <f t="shared" si="44"/>
        <v>0</v>
      </c>
      <c r="S263" s="316">
        <f t="shared" si="35"/>
        <v>0</v>
      </c>
    </row>
    <row r="264" spans="1:19">
      <c r="A264" s="665"/>
      <c r="B264" s="665"/>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2806"/>
      <c r="Q264" s="21">
        <f t="shared" si="43"/>
        <v>1</v>
      </c>
      <c r="R264" s="663">
        <f t="shared" si="44"/>
        <v>0</v>
      </c>
      <c r="S264" s="316">
        <f t="shared" si="35"/>
        <v>0</v>
      </c>
    </row>
    <row r="265" spans="1:19">
      <c r="A265" s="665"/>
      <c r="B265" s="665"/>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1</v>
      </c>
      <c r="P265" s="2806"/>
      <c r="Q265" s="21">
        <f t="shared" si="43"/>
        <v>1</v>
      </c>
      <c r="R265" s="663">
        <f t="shared" si="44"/>
        <v>0</v>
      </c>
      <c r="S265" s="316">
        <f t="shared" si="35"/>
        <v>0</v>
      </c>
    </row>
    <row r="266" spans="1:19">
      <c r="A266" s="665"/>
      <c r="B266" s="665"/>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2806"/>
      <c r="Q266" s="21">
        <f t="shared" si="43"/>
        <v>1</v>
      </c>
      <c r="R266" s="663">
        <f t="shared" si="44"/>
        <v>0</v>
      </c>
      <c r="S266" s="316">
        <f t="shared" si="35"/>
        <v>0</v>
      </c>
    </row>
    <row r="267" spans="1:19">
      <c r="A267" s="665"/>
      <c r="B267" s="665"/>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1</v>
      </c>
      <c r="P267" s="2806"/>
      <c r="Q267" s="21">
        <f t="shared" si="43"/>
        <v>1</v>
      </c>
      <c r="R267" s="663">
        <f t="shared" si="44"/>
        <v>0</v>
      </c>
      <c r="S267" s="316">
        <f t="shared" si="35"/>
        <v>0</v>
      </c>
    </row>
    <row r="268" spans="1:19">
      <c r="A268" s="665"/>
      <c r="B268" s="665"/>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2806"/>
      <c r="Q268" s="21">
        <f t="shared" si="43"/>
        <v>1</v>
      </c>
      <c r="R268" s="663">
        <f t="shared" si="44"/>
        <v>0</v>
      </c>
      <c r="S268" s="316">
        <f t="shared" si="35"/>
        <v>0</v>
      </c>
    </row>
    <row r="269" spans="1:19">
      <c r="A269" s="665"/>
      <c r="B269" s="665"/>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1</v>
      </c>
      <c r="P269" s="2806"/>
      <c r="Q269" s="21">
        <f t="shared" si="43"/>
        <v>1</v>
      </c>
      <c r="R269" s="663">
        <f t="shared" si="44"/>
        <v>0</v>
      </c>
      <c r="S269" s="316">
        <f t="shared" si="35"/>
        <v>0</v>
      </c>
    </row>
    <row r="270" spans="1:19">
      <c r="A270" s="665"/>
      <c r="B270" s="665"/>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2806"/>
      <c r="Q270" s="21">
        <f t="shared" si="43"/>
        <v>1</v>
      </c>
      <c r="R270" s="663">
        <f t="shared" si="44"/>
        <v>0</v>
      </c>
      <c r="S270" s="316">
        <f t="shared" si="35"/>
        <v>0</v>
      </c>
    </row>
    <row r="271" spans="1:19">
      <c r="A271" s="665"/>
      <c r="B271" s="665"/>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1</v>
      </c>
      <c r="P271" s="2806"/>
      <c r="Q271" s="21">
        <f t="shared" si="43"/>
        <v>1</v>
      </c>
      <c r="R271" s="663">
        <f t="shared" si="44"/>
        <v>0</v>
      </c>
      <c r="S271" s="316">
        <f t="shared" si="35"/>
        <v>0</v>
      </c>
    </row>
    <row r="272" spans="1:19">
      <c r="A272" s="665"/>
      <c r="B272" s="665"/>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2806"/>
      <c r="Q272" s="21">
        <f t="shared" si="43"/>
        <v>1</v>
      </c>
      <c r="R272" s="663">
        <f t="shared" si="44"/>
        <v>0</v>
      </c>
      <c r="S272" s="316">
        <f t="shared" si="35"/>
        <v>0</v>
      </c>
    </row>
    <row r="273" spans="1:19">
      <c r="A273" s="665"/>
      <c r="B273" s="665"/>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1</v>
      </c>
      <c r="P273" s="2806"/>
      <c r="Q273" s="21">
        <f t="shared" si="43"/>
        <v>1</v>
      </c>
      <c r="R273" s="663">
        <f t="shared" si="44"/>
        <v>0</v>
      </c>
      <c r="S273" s="316">
        <f t="shared" si="35"/>
        <v>0</v>
      </c>
    </row>
    <row r="274" spans="1:19">
      <c r="A274" s="665"/>
      <c r="B274" s="665"/>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2806"/>
      <c r="Q274" s="21">
        <f t="shared" si="43"/>
        <v>1</v>
      </c>
      <c r="R274" s="663">
        <f t="shared" si="44"/>
        <v>0</v>
      </c>
      <c r="S274" s="316">
        <f t="shared" si="35"/>
        <v>0</v>
      </c>
    </row>
    <row r="275" spans="1:19">
      <c r="A275" s="665"/>
      <c r="B275" s="665"/>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1</v>
      </c>
      <c r="P275" s="2806"/>
      <c r="Q275" s="21">
        <f t="shared" si="43"/>
        <v>1</v>
      </c>
      <c r="R275" s="663">
        <f t="shared" si="44"/>
        <v>0</v>
      </c>
      <c r="S275" s="316">
        <f t="shared" si="35"/>
        <v>0</v>
      </c>
    </row>
    <row r="276" spans="1:19">
      <c r="A276" s="665"/>
      <c r="B276" s="665"/>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2806"/>
      <c r="Q276" s="21">
        <f t="shared" si="43"/>
        <v>1</v>
      </c>
      <c r="R276" s="663">
        <f t="shared" si="44"/>
        <v>0</v>
      </c>
      <c r="S276" s="316">
        <f t="shared" si="35"/>
        <v>0</v>
      </c>
    </row>
    <row r="277" spans="1:19">
      <c r="A277" s="665"/>
      <c r="B277" s="665"/>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1</v>
      </c>
      <c r="P277" s="2806"/>
      <c r="Q277" s="21">
        <f t="shared" si="43"/>
        <v>1</v>
      </c>
      <c r="R277" s="663">
        <f t="shared" si="44"/>
        <v>0</v>
      </c>
      <c r="S277" s="316">
        <f t="shared" si="35"/>
        <v>0</v>
      </c>
    </row>
    <row r="278" spans="1:19">
      <c r="A278" s="665"/>
      <c r="B278" s="665"/>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2806"/>
      <c r="Q278" s="21">
        <f t="shared" si="43"/>
        <v>1</v>
      </c>
      <c r="R278" s="663">
        <f t="shared" si="44"/>
        <v>0</v>
      </c>
      <c r="S278" s="316">
        <f t="shared" si="35"/>
        <v>0</v>
      </c>
    </row>
    <row r="279" spans="1:19">
      <c r="A279" s="665"/>
      <c r="B279" s="665"/>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1</v>
      </c>
      <c r="P279" s="2806"/>
      <c r="Q279" s="21">
        <f t="shared" si="43"/>
        <v>1</v>
      </c>
      <c r="R279" s="663">
        <f t="shared" si="44"/>
        <v>0</v>
      </c>
      <c r="S279" s="316">
        <f t="shared" si="35"/>
        <v>0</v>
      </c>
    </row>
    <row r="280" spans="1:19">
      <c r="A280" s="665"/>
      <c r="B280" s="665"/>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2806"/>
      <c r="Q280" s="21">
        <f t="shared" si="43"/>
        <v>1</v>
      </c>
      <c r="R280" s="663">
        <f t="shared" si="44"/>
        <v>0</v>
      </c>
      <c r="S280" s="316">
        <f t="shared" ref="S280:S343" si="45">ROUND(R280*B280/10000,0)</f>
        <v>0</v>
      </c>
    </row>
    <row r="281" spans="1:19">
      <c r="A281" s="665"/>
      <c r="B281" s="665"/>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1</v>
      </c>
      <c r="P281" s="2806"/>
      <c r="Q281" s="21">
        <f t="shared" si="43"/>
        <v>1</v>
      </c>
      <c r="R281" s="663">
        <f t="shared" si="44"/>
        <v>0</v>
      </c>
      <c r="S281" s="316">
        <f t="shared" si="45"/>
        <v>0</v>
      </c>
    </row>
    <row r="282" spans="1:19">
      <c r="A282" s="665"/>
      <c r="B282" s="665"/>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2806"/>
      <c r="Q282" s="21">
        <f t="shared" ref="Q282:Q345" si="53">(SUMIF($17:$17,P282,$18:$18)-SUMIF($17:$17,$P$24,$18:$18)+100)/100</f>
        <v>1</v>
      </c>
      <c r="R282" s="663">
        <f t="shared" ref="R282:R345" si="54">IF(B282="",0,ROUND($R$24*C282*E282*G282*I282*K282*M282*O282*Q282,0))</f>
        <v>0</v>
      </c>
      <c r="S282" s="316">
        <f t="shared" si="45"/>
        <v>0</v>
      </c>
    </row>
    <row r="283" spans="1:19">
      <c r="A283" s="665"/>
      <c r="B283" s="665"/>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1</v>
      </c>
      <c r="P283" s="2806"/>
      <c r="Q283" s="21">
        <f t="shared" si="53"/>
        <v>1</v>
      </c>
      <c r="R283" s="663">
        <f t="shared" si="54"/>
        <v>0</v>
      </c>
      <c r="S283" s="316">
        <f t="shared" si="45"/>
        <v>0</v>
      </c>
    </row>
    <row r="284" spans="1:19">
      <c r="A284" s="665"/>
      <c r="B284" s="665"/>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2806"/>
      <c r="Q284" s="21">
        <f t="shared" si="53"/>
        <v>1</v>
      </c>
      <c r="R284" s="663">
        <f t="shared" si="54"/>
        <v>0</v>
      </c>
      <c r="S284" s="316">
        <f t="shared" si="45"/>
        <v>0</v>
      </c>
    </row>
    <row r="285" spans="1:19">
      <c r="A285" s="665"/>
      <c r="B285" s="665"/>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1</v>
      </c>
      <c r="P285" s="2806"/>
      <c r="Q285" s="21">
        <f t="shared" si="53"/>
        <v>1</v>
      </c>
      <c r="R285" s="663">
        <f t="shared" si="54"/>
        <v>0</v>
      </c>
      <c r="S285" s="316">
        <f t="shared" si="45"/>
        <v>0</v>
      </c>
    </row>
    <row r="286" spans="1:19">
      <c r="A286" s="665"/>
      <c r="B286" s="665"/>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2806"/>
      <c r="Q286" s="21">
        <f t="shared" si="53"/>
        <v>1</v>
      </c>
      <c r="R286" s="663">
        <f t="shared" si="54"/>
        <v>0</v>
      </c>
      <c r="S286" s="316">
        <f t="shared" si="45"/>
        <v>0</v>
      </c>
    </row>
    <row r="287" spans="1:19">
      <c r="A287" s="665"/>
      <c r="B287" s="665"/>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1</v>
      </c>
      <c r="P287" s="2806"/>
      <c r="Q287" s="21">
        <f t="shared" si="53"/>
        <v>1</v>
      </c>
      <c r="R287" s="663">
        <f t="shared" si="54"/>
        <v>0</v>
      </c>
      <c r="S287" s="316">
        <f t="shared" si="45"/>
        <v>0</v>
      </c>
    </row>
    <row r="288" spans="1:19">
      <c r="A288" s="665"/>
      <c r="B288" s="665"/>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2806"/>
      <c r="Q288" s="21">
        <f t="shared" si="53"/>
        <v>1</v>
      </c>
      <c r="R288" s="663">
        <f t="shared" si="54"/>
        <v>0</v>
      </c>
      <c r="S288" s="316">
        <f t="shared" si="45"/>
        <v>0</v>
      </c>
    </row>
    <row r="289" spans="1:19">
      <c r="A289" s="665"/>
      <c r="B289" s="665"/>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1</v>
      </c>
      <c r="P289" s="2806"/>
      <c r="Q289" s="21">
        <f t="shared" si="53"/>
        <v>1</v>
      </c>
      <c r="R289" s="663">
        <f t="shared" si="54"/>
        <v>0</v>
      </c>
      <c r="S289" s="316">
        <f t="shared" si="45"/>
        <v>0</v>
      </c>
    </row>
    <row r="290" spans="1:19">
      <c r="A290" s="665"/>
      <c r="B290" s="665"/>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2806"/>
      <c r="Q290" s="21">
        <f t="shared" si="53"/>
        <v>1</v>
      </c>
      <c r="R290" s="663">
        <f t="shared" si="54"/>
        <v>0</v>
      </c>
      <c r="S290" s="316">
        <f t="shared" si="45"/>
        <v>0</v>
      </c>
    </row>
    <row r="291" spans="1:19">
      <c r="A291" s="665"/>
      <c r="B291" s="665"/>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1</v>
      </c>
      <c r="P291" s="2806"/>
      <c r="Q291" s="21">
        <f t="shared" si="53"/>
        <v>1</v>
      </c>
      <c r="R291" s="663">
        <f t="shared" si="54"/>
        <v>0</v>
      </c>
      <c r="S291" s="316">
        <f t="shared" si="45"/>
        <v>0</v>
      </c>
    </row>
    <row r="292" spans="1:19">
      <c r="A292" s="665"/>
      <c r="B292" s="665"/>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2806"/>
      <c r="Q292" s="21">
        <f t="shared" si="53"/>
        <v>1</v>
      </c>
      <c r="R292" s="663">
        <f t="shared" si="54"/>
        <v>0</v>
      </c>
      <c r="S292" s="316">
        <f t="shared" si="45"/>
        <v>0</v>
      </c>
    </row>
    <row r="293" spans="1:19">
      <c r="A293" s="665"/>
      <c r="B293" s="665"/>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1</v>
      </c>
      <c r="P293" s="2806"/>
      <c r="Q293" s="21">
        <f t="shared" si="53"/>
        <v>1</v>
      </c>
      <c r="R293" s="663">
        <f t="shared" si="54"/>
        <v>0</v>
      </c>
      <c r="S293" s="316">
        <f t="shared" si="45"/>
        <v>0</v>
      </c>
    </row>
    <row r="294" spans="1:19">
      <c r="A294" s="665"/>
      <c r="B294" s="665"/>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2806"/>
      <c r="Q294" s="21">
        <f t="shared" si="53"/>
        <v>1</v>
      </c>
      <c r="R294" s="663">
        <f t="shared" si="54"/>
        <v>0</v>
      </c>
      <c r="S294" s="316">
        <f t="shared" si="45"/>
        <v>0</v>
      </c>
    </row>
    <row r="295" spans="1:19">
      <c r="A295" s="665"/>
      <c r="B295" s="665"/>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1</v>
      </c>
      <c r="P295" s="2806"/>
      <c r="Q295" s="21">
        <f t="shared" si="53"/>
        <v>1</v>
      </c>
      <c r="R295" s="663">
        <f t="shared" si="54"/>
        <v>0</v>
      </c>
      <c r="S295" s="316">
        <f t="shared" si="45"/>
        <v>0</v>
      </c>
    </row>
    <row r="296" spans="1:19">
      <c r="A296" s="665"/>
      <c r="B296" s="665"/>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2806"/>
      <c r="Q296" s="21">
        <f t="shared" si="53"/>
        <v>1</v>
      </c>
      <c r="R296" s="663">
        <f t="shared" si="54"/>
        <v>0</v>
      </c>
      <c r="S296" s="316">
        <f t="shared" si="45"/>
        <v>0</v>
      </c>
    </row>
    <row r="297" spans="1:19">
      <c r="A297" s="665"/>
      <c r="B297" s="665"/>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1</v>
      </c>
      <c r="P297" s="2806"/>
      <c r="Q297" s="21">
        <f t="shared" si="53"/>
        <v>1</v>
      </c>
      <c r="R297" s="663">
        <f t="shared" si="54"/>
        <v>0</v>
      </c>
      <c r="S297" s="316">
        <f t="shared" si="45"/>
        <v>0</v>
      </c>
    </row>
    <row r="298" spans="1:19">
      <c r="A298" s="665"/>
      <c r="B298" s="665"/>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2806"/>
      <c r="Q298" s="21">
        <f t="shared" si="53"/>
        <v>1</v>
      </c>
      <c r="R298" s="663">
        <f t="shared" si="54"/>
        <v>0</v>
      </c>
      <c r="S298" s="316">
        <f t="shared" si="45"/>
        <v>0</v>
      </c>
    </row>
    <row r="299" spans="1:19">
      <c r="A299" s="665"/>
      <c r="B299" s="665"/>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1</v>
      </c>
      <c r="P299" s="2806"/>
      <c r="Q299" s="21">
        <f t="shared" si="53"/>
        <v>1</v>
      </c>
      <c r="R299" s="663">
        <f t="shared" si="54"/>
        <v>0</v>
      </c>
      <c r="S299" s="316">
        <f t="shared" si="45"/>
        <v>0</v>
      </c>
    </row>
    <row r="300" spans="1:19">
      <c r="A300" s="665"/>
      <c r="B300" s="665"/>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2806"/>
      <c r="Q300" s="21">
        <f t="shared" si="53"/>
        <v>1</v>
      </c>
      <c r="R300" s="663">
        <f t="shared" si="54"/>
        <v>0</v>
      </c>
      <c r="S300" s="316">
        <f t="shared" si="45"/>
        <v>0</v>
      </c>
    </row>
    <row r="301" spans="1:19">
      <c r="A301" s="665"/>
      <c r="B301" s="665"/>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1</v>
      </c>
      <c r="P301" s="2806"/>
      <c r="Q301" s="21">
        <f t="shared" si="53"/>
        <v>1</v>
      </c>
      <c r="R301" s="663">
        <f t="shared" si="54"/>
        <v>0</v>
      </c>
      <c r="S301" s="316">
        <f t="shared" si="45"/>
        <v>0</v>
      </c>
    </row>
    <row r="302" spans="1:19">
      <c r="A302" s="665"/>
      <c r="B302" s="665"/>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2806"/>
      <c r="Q302" s="21">
        <f t="shared" si="53"/>
        <v>1</v>
      </c>
      <c r="R302" s="663">
        <f t="shared" si="54"/>
        <v>0</v>
      </c>
      <c r="S302" s="316">
        <f t="shared" si="45"/>
        <v>0</v>
      </c>
    </row>
    <row r="303" spans="1:19">
      <c r="A303" s="665"/>
      <c r="B303" s="665"/>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1</v>
      </c>
      <c r="P303" s="2806"/>
      <c r="Q303" s="21">
        <f t="shared" si="53"/>
        <v>1</v>
      </c>
      <c r="R303" s="663">
        <f t="shared" si="54"/>
        <v>0</v>
      </c>
      <c r="S303" s="316">
        <f t="shared" si="45"/>
        <v>0</v>
      </c>
    </row>
    <row r="304" spans="1:19">
      <c r="A304" s="665"/>
      <c r="B304" s="665"/>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2806"/>
      <c r="Q304" s="21">
        <f t="shared" si="53"/>
        <v>1</v>
      </c>
      <c r="R304" s="663">
        <f t="shared" si="54"/>
        <v>0</v>
      </c>
      <c r="S304" s="316">
        <f t="shared" si="45"/>
        <v>0</v>
      </c>
    </row>
    <row r="305" spans="1:19">
      <c r="A305" s="665"/>
      <c r="B305" s="665"/>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1</v>
      </c>
      <c r="P305" s="2806"/>
      <c r="Q305" s="21">
        <f t="shared" si="53"/>
        <v>1</v>
      </c>
      <c r="R305" s="663">
        <f t="shared" si="54"/>
        <v>0</v>
      </c>
      <c r="S305" s="316">
        <f t="shared" si="45"/>
        <v>0</v>
      </c>
    </row>
    <row r="306" spans="1:19">
      <c r="A306" s="665"/>
      <c r="B306" s="665"/>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2806"/>
      <c r="Q306" s="21">
        <f t="shared" si="53"/>
        <v>1</v>
      </c>
      <c r="R306" s="663">
        <f t="shared" si="54"/>
        <v>0</v>
      </c>
      <c r="S306" s="316">
        <f t="shared" si="45"/>
        <v>0</v>
      </c>
    </row>
    <row r="307" spans="1:19">
      <c r="A307" s="665"/>
      <c r="B307" s="665"/>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1</v>
      </c>
      <c r="P307" s="2806"/>
      <c r="Q307" s="21">
        <f t="shared" si="53"/>
        <v>1</v>
      </c>
      <c r="R307" s="663">
        <f t="shared" si="54"/>
        <v>0</v>
      </c>
      <c r="S307" s="316">
        <f t="shared" si="45"/>
        <v>0</v>
      </c>
    </row>
    <row r="308" spans="1:19">
      <c r="A308" s="665"/>
      <c r="B308" s="665"/>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2806"/>
      <c r="Q308" s="21">
        <f t="shared" si="53"/>
        <v>1</v>
      </c>
      <c r="R308" s="663">
        <f t="shared" si="54"/>
        <v>0</v>
      </c>
      <c r="S308" s="316">
        <f t="shared" si="45"/>
        <v>0</v>
      </c>
    </row>
    <row r="309" spans="1:19">
      <c r="A309" s="665"/>
      <c r="B309" s="665"/>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1</v>
      </c>
      <c r="P309" s="2806"/>
      <c r="Q309" s="21">
        <f t="shared" si="53"/>
        <v>1</v>
      </c>
      <c r="R309" s="663">
        <f t="shared" si="54"/>
        <v>0</v>
      </c>
      <c r="S309" s="316">
        <f t="shared" si="45"/>
        <v>0</v>
      </c>
    </row>
    <row r="310" spans="1:19">
      <c r="A310" s="665"/>
      <c r="B310" s="665"/>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2806"/>
      <c r="Q310" s="21">
        <f t="shared" si="53"/>
        <v>1</v>
      </c>
      <c r="R310" s="663">
        <f t="shared" si="54"/>
        <v>0</v>
      </c>
      <c r="S310" s="316">
        <f t="shared" si="45"/>
        <v>0</v>
      </c>
    </row>
    <row r="311" spans="1:19">
      <c r="A311" s="665"/>
      <c r="B311" s="665"/>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1</v>
      </c>
      <c r="P311" s="2806"/>
      <c r="Q311" s="21">
        <f t="shared" si="53"/>
        <v>1</v>
      </c>
      <c r="R311" s="663">
        <f t="shared" si="54"/>
        <v>0</v>
      </c>
      <c r="S311" s="316">
        <f t="shared" si="45"/>
        <v>0</v>
      </c>
    </row>
    <row r="312" spans="1:19">
      <c r="A312" s="665"/>
      <c r="B312" s="665"/>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2806"/>
      <c r="Q312" s="21">
        <f t="shared" si="53"/>
        <v>1</v>
      </c>
      <c r="R312" s="663">
        <f t="shared" si="54"/>
        <v>0</v>
      </c>
      <c r="S312" s="316">
        <f t="shared" si="45"/>
        <v>0</v>
      </c>
    </row>
    <row r="313" spans="1:19">
      <c r="A313" s="665"/>
      <c r="B313" s="665"/>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1</v>
      </c>
      <c r="P313" s="2806"/>
      <c r="Q313" s="21">
        <f t="shared" si="53"/>
        <v>1</v>
      </c>
      <c r="R313" s="663">
        <f t="shared" si="54"/>
        <v>0</v>
      </c>
      <c r="S313" s="316">
        <f t="shared" si="45"/>
        <v>0</v>
      </c>
    </row>
    <row r="314" spans="1:19">
      <c r="A314" s="665"/>
      <c r="B314" s="665"/>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2806"/>
      <c r="Q314" s="21">
        <f t="shared" si="53"/>
        <v>1</v>
      </c>
      <c r="R314" s="663">
        <f t="shared" si="54"/>
        <v>0</v>
      </c>
      <c r="S314" s="316">
        <f t="shared" si="45"/>
        <v>0</v>
      </c>
    </row>
    <row r="315" spans="1:19">
      <c r="A315" s="665"/>
      <c r="B315" s="665"/>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1</v>
      </c>
      <c r="P315" s="2806"/>
      <c r="Q315" s="21">
        <f t="shared" si="53"/>
        <v>1</v>
      </c>
      <c r="R315" s="663">
        <f t="shared" si="54"/>
        <v>0</v>
      </c>
      <c r="S315" s="316">
        <f t="shared" si="45"/>
        <v>0</v>
      </c>
    </row>
    <row r="316" spans="1:19">
      <c r="A316" s="665"/>
      <c r="B316" s="665"/>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2806"/>
      <c r="Q316" s="21">
        <f t="shared" si="53"/>
        <v>1</v>
      </c>
      <c r="R316" s="663">
        <f t="shared" si="54"/>
        <v>0</v>
      </c>
      <c r="S316" s="316">
        <f t="shared" si="45"/>
        <v>0</v>
      </c>
    </row>
    <row r="317" spans="1:19">
      <c r="A317" s="665"/>
      <c r="B317" s="665"/>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1</v>
      </c>
      <c r="P317" s="2806"/>
      <c r="Q317" s="21">
        <f t="shared" si="53"/>
        <v>1</v>
      </c>
      <c r="R317" s="663">
        <f t="shared" si="54"/>
        <v>0</v>
      </c>
      <c r="S317" s="316">
        <f t="shared" si="45"/>
        <v>0</v>
      </c>
    </row>
    <row r="318" spans="1:19">
      <c r="A318" s="665"/>
      <c r="B318" s="665"/>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2806"/>
      <c r="Q318" s="21">
        <f t="shared" si="53"/>
        <v>1</v>
      </c>
      <c r="R318" s="663">
        <f t="shared" si="54"/>
        <v>0</v>
      </c>
      <c r="S318" s="316">
        <f t="shared" si="45"/>
        <v>0</v>
      </c>
    </row>
    <row r="319" spans="1:19">
      <c r="A319" s="665"/>
      <c r="B319" s="665"/>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1</v>
      </c>
      <c r="P319" s="2806"/>
      <c r="Q319" s="21">
        <f t="shared" si="53"/>
        <v>1</v>
      </c>
      <c r="R319" s="663">
        <f t="shared" si="54"/>
        <v>0</v>
      </c>
      <c r="S319" s="316">
        <f t="shared" si="45"/>
        <v>0</v>
      </c>
    </row>
    <row r="320" spans="1:19">
      <c r="A320" s="665"/>
      <c r="B320" s="665"/>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2806"/>
      <c r="Q320" s="21">
        <f t="shared" si="53"/>
        <v>1</v>
      </c>
      <c r="R320" s="663">
        <f t="shared" si="54"/>
        <v>0</v>
      </c>
      <c r="S320" s="316">
        <f t="shared" si="45"/>
        <v>0</v>
      </c>
    </row>
    <row r="321" spans="1:19">
      <c r="A321" s="665"/>
      <c r="B321" s="665"/>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1</v>
      </c>
      <c r="P321" s="2806"/>
      <c r="Q321" s="21">
        <f t="shared" si="53"/>
        <v>1</v>
      </c>
      <c r="R321" s="663">
        <f t="shared" si="54"/>
        <v>0</v>
      </c>
      <c r="S321" s="316">
        <f t="shared" si="45"/>
        <v>0</v>
      </c>
    </row>
    <row r="322" spans="1:19">
      <c r="A322" s="665"/>
      <c r="B322" s="665"/>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2806"/>
      <c r="Q322" s="21">
        <f t="shared" si="53"/>
        <v>1</v>
      </c>
      <c r="R322" s="663">
        <f t="shared" si="54"/>
        <v>0</v>
      </c>
      <c r="S322" s="316">
        <f t="shared" si="45"/>
        <v>0</v>
      </c>
    </row>
    <row r="323" spans="1:19">
      <c r="A323" s="665"/>
      <c r="B323" s="665"/>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1</v>
      </c>
      <c r="P323" s="2806"/>
      <c r="Q323" s="21">
        <f t="shared" si="53"/>
        <v>1</v>
      </c>
      <c r="R323" s="663">
        <f t="shared" si="54"/>
        <v>0</v>
      </c>
      <c r="S323" s="316">
        <f t="shared" si="45"/>
        <v>0</v>
      </c>
    </row>
    <row r="324" spans="1:19">
      <c r="A324" s="665"/>
      <c r="B324" s="665"/>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2806"/>
      <c r="Q324" s="21">
        <f t="shared" si="53"/>
        <v>1</v>
      </c>
      <c r="R324" s="663">
        <f t="shared" si="54"/>
        <v>0</v>
      </c>
      <c r="S324" s="316">
        <f t="shared" si="45"/>
        <v>0</v>
      </c>
    </row>
    <row r="325" spans="1:19">
      <c r="A325" s="665"/>
      <c r="B325" s="665"/>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1</v>
      </c>
      <c r="P325" s="2806"/>
      <c r="Q325" s="21">
        <f t="shared" si="53"/>
        <v>1</v>
      </c>
      <c r="R325" s="663">
        <f t="shared" si="54"/>
        <v>0</v>
      </c>
      <c r="S325" s="316">
        <f t="shared" si="45"/>
        <v>0</v>
      </c>
    </row>
    <row r="326" spans="1:19">
      <c r="A326" s="665"/>
      <c r="B326" s="665"/>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1</v>
      </c>
      <c r="R326" s="663">
        <f t="shared" si="54"/>
        <v>0</v>
      </c>
      <c r="S326" s="316">
        <f t="shared" si="45"/>
        <v>0</v>
      </c>
    </row>
    <row r="327" spans="1:19">
      <c r="A327" s="665"/>
      <c r="B327" s="665"/>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1</v>
      </c>
      <c r="R327" s="663">
        <f t="shared" si="54"/>
        <v>0</v>
      </c>
      <c r="S327" s="316">
        <f t="shared" si="45"/>
        <v>0</v>
      </c>
    </row>
    <row r="328" spans="1:19">
      <c r="A328" s="665"/>
      <c r="B328" s="665"/>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1</v>
      </c>
      <c r="R328" s="663">
        <f t="shared" si="54"/>
        <v>0</v>
      </c>
      <c r="S328" s="316">
        <f t="shared" si="45"/>
        <v>0</v>
      </c>
    </row>
    <row r="329" spans="1:19">
      <c r="A329" s="665"/>
      <c r="B329" s="665"/>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1</v>
      </c>
      <c r="R329" s="663">
        <f t="shared" si="54"/>
        <v>0</v>
      </c>
      <c r="S329" s="316">
        <f t="shared" si="45"/>
        <v>0</v>
      </c>
    </row>
    <row r="330" spans="1:19">
      <c r="A330" s="665"/>
      <c r="B330" s="665"/>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1</v>
      </c>
      <c r="R330" s="663">
        <f t="shared" si="54"/>
        <v>0</v>
      </c>
      <c r="S330" s="316">
        <f t="shared" si="45"/>
        <v>0</v>
      </c>
    </row>
    <row r="331" spans="1:19">
      <c r="A331" s="665"/>
      <c r="B331" s="665"/>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1</v>
      </c>
      <c r="R331" s="663">
        <f t="shared" si="54"/>
        <v>0</v>
      </c>
      <c r="S331" s="316">
        <f t="shared" si="45"/>
        <v>0</v>
      </c>
    </row>
    <row r="332" spans="1:19">
      <c r="A332" s="665"/>
      <c r="B332" s="665"/>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1</v>
      </c>
      <c r="R332" s="663">
        <f t="shared" si="54"/>
        <v>0</v>
      </c>
      <c r="S332" s="316">
        <f t="shared" si="45"/>
        <v>0</v>
      </c>
    </row>
    <row r="333" spans="1:19">
      <c r="A333" s="665"/>
      <c r="B333" s="665"/>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1</v>
      </c>
      <c r="R333" s="663">
        <f t="shared" si="54"/>
        <v>0</v>
      </c>
      <c r="S333" s="316">
        <f t="shared" si="45"/>
        <v>0</v>
      </c>
    </row>
    <row r="334" spans="1:19">
      <c r="A334" s="665"/>
      <c r="B334" s="665"/>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1</v>
      </c>
      <c r="R334" s="663">
        <f t="shared" si="54"/>
        <v>0</v>
      </c>
      <c r="S334" s="316">
        <f t="shared" si="45"/>
        <v>0</v>
      </c>
    </row>
    <row r="335" spans="1:19">
      <c r="A335" s="665"/>
      <c r="B335" s="665"/>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1</v>
      </c>
      <c r="R335" s="663">
        <f t="shared" si="54"/>
        <v>0</v>
      </c>
      <c r="S335" s="316">
        <f t="shared" si="45"/>
        <v>0</v>
      </c>
    </row>
    <row r="336" spans="1:19">
      <c r="A336" s="665"/>
      <c r="B336" s="665"/>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1</v>
      </c>
      <c r="R336" s="663">
        <f t="shared" si="54"/>
        <v>0</v>
      </c>
      <c r="S336" s="316">
        <f t="shared" si="45"/>
        <v>0</v>
      </c>
    </row>
    <row r="337" spans="1:19">
      <c r="A337" s="665"/>
      <c r="B337" s="665"/>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1</v>
      </c>
      <c r="R337" s="663">
        <f t="shared" si="54"/>
        <v>0</v>
      </c>
      <c r="S337" s="316">
        <f t="shared" si="45"/>
        <v>0</v>
      </c>
    </row>
    <row r="338" spans="1:19">
      <c r="A338" s="665"/>
      <c r="B338" s="665"/>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1</v>
      </c>
      <c r="R338" s="663">
        <f t="shared" si="54"/>
        <v>0</v>
      </c>
      <c r="S338" s="316">
        <f t="shared" si="45"/>
        <v>0</v>
      </c>
    </row>
    <row r="339" spans="1:19">
      <c r="A339" s="665"/>
      <c r="B339" s="665"/>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1</v>
      </c>
      <c r="R339" s="663">
        <f t="shared" si="54"/>
        <v>0</v>
      </c>
      <c r="S339" s="316">
        <f t="shared" si="45"/>
        <v>0</v>
      </c>
    </row>
    <row r="340" spans="1:19">
      <c r="A340" s="665"/>
      <c r="B340" s="665"/>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1</v>
      </c>
      <c r="R340" s="663">
        <f t="shared" si="54"/>
        <v>0</v>
      </c>
      <c r="S340" s="316">
        <f t="shared" si="45"/>
        <v>0</v>
      </c>
    </row>
    <row r="341" spans="1:19">
      <c r="A341" s="665"/>
      <c r="B341" s="665"/>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1</v>
      </c>
      <c r="R341" s="663">
        <f t="shared" si="54"/>
        <v>0</v>
      </c>
      <c r="S341" s="316">
        <f t="shared" si="45"/>
        <v>0</v>
      </c>
    </row>
    <row r="342" spans="1:19">
      <c r="A342" s="665"/>
      <c r="B342" s="665"/>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1</v>
      </c>
      <c r="R342" s="663">
        <f t="shared" si="54"/>
        <v>0</v>
      </c>
      <c r="S342" s="316">
        <f t="shared" si="45"/>
        <v>0</v>
      </c>
    </row>
    <row r="343" spans="1:19">
      <c r="A343" s="665"/>
      <c r="B343" s="665"/>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1</v>
      </c>
      <c r="R343" s="663">
        <f t="shared" si="54"/>
        <v>0</v>
      </c>
      <c r="S343" s="316">
        <f t="shared" si="45"/>
        <v>0</v>
      </c>
    </row>
    <row r="344" spans="1:19">
      <c r="A344" s="665"/>
      <c r="B344" s="665"/>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1</v>
      </c>
      <c r="R344" s="663">
        <f t="shared" si="54"/>
        <v>0</v>
      </c>
      <c r="S344" s="316">
        <f t="shared" ref="S344:S407" si="55">ROUND(R344*B344/10000,0)</f>
        <v>0</v>
      </c>
    </row>
    <row r="345" spans="1:19">
      <c r="A345" s="665"/>
      <c r="B345" s="665"/>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1</v>
      </c>
      <c r="R345" s="663">
        <f t="shared" si="54"/>
        <v>0</v>
      </c>
      <c r="S345" s="316">
        <f t="shared" si="55"/>
        <v>0</v>
      </c>
    </row>
    <row r="346" spans="1:19">
      <c r="A346" s="665"/>
      <c r="B346" s="665"/>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1</v>
      </c>
      <c r="R346" s="663">
        <f t="shared" ref="R346:R409" si="64">IF(B346="",0,ROUND($R$24*C346*E346*G346*I346*K346*M346*O346*Q346,0))</f>
        <v>0</v>
      </c>
      <c r="S346" s="316">
        <f t="shared" si="55"/>
        <v>0</v>
      </c>
    </row>
    <row r="347" spans="1:19">
      <c r="A347" s="665"/>
      <c r="B347" s="665"/>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1</v>
      </c>
      <c r="R347" s="663">
        <f t="shared" si="64"/>
        <v>0</v>
      </c>
      <c r="S347" s="316">
        <f t="shared" si="55"/>
        <v>0</v>
      </c>
    </row>
    <row r="348" spans="1:19">
      <c r="A348" s="665"/>
      <c r="B348" s="665"/>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1</v>
      </c>
      <c r="R348" s="663">
        <f t="shared" si="64"/>
        <v>0</v>
      </c>
      <c r="S348" s="316">
        <f t="shared" si="55"/>
        <v>0</v>
      </c>
    </row>
    <row r="349" spans="1:19">
      <c r="A349" s="665"/>
      <c r="B349" s="665"/>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1</v>
      </c>
      <c r="R349" s="663">
        <f t="shared" si="64"/>
        <v>0</v>
      </c>
      <c r="S349" s="316">
        <f t="shared" si="55"/>
        <v>0</v>
      </c>
    </row>
    <row r="350" spans="1:19">
      <c r="A350" s="665"/>
      <c r="B350" s="665"/>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1</v>
      </c>
      <c r="R350" s="663">
        <f t="shared" si="64"/>
        <v>0</v>
      </c>
      <c r="S350" s="316">
        <f t="shared" si="55"/>
        <v>0</v>
      </c>
    </row>
    <row r="351" spans="1:19">
      <c r="A351" s="665"/>
      <c r="B351" s="665"/>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1</v>
      </c>
      <c r="R351" s="663">
        <f t="shared" si="64"/>
        <v>0</v>
      </c>
      <c r="S351" s="316">
        <f t="shared" si="55"/>
        <v>0</v>
      </c>
    </row>
    <row r="352" spans="1:19">
      <c r="A352" s="665"/>
      <c r="B352" s="665"/>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1</v>
      </c>
      <c r="R352" s="663">
        <f t="shared" si="64"/>
        <v>0</v>
      </c>
      <c r="S352" s="316">
        <f t="shared" si="55"/>
        <v>0</v>
      </c>
    </row>
    <row r="353" spans="1:19">
      <c r="A353" s="665"/>
      <c r="B353" s="665"/>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1</v>
      </c>
      <c r="R353" s="663">
        <f t="shared" si="64"/>
        <v>0</v>
      </c>
      <c r="S353" s="316">
        <f t="shared" si="55"/>
        <v>0</v>
      </c>
    </row>
    <row r="354" spans="1:19">
      <c r="A354" s="665"/>
      <c r="B354" s="665"/>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1</v>
      </c>
      <c r="R354" s="663">
        <f t="shared" si="64"/>
        <v>0</v>
      </c>
      <c r="S354" s="316">
        <f t="shared" si="55"/>
        <v>0</v>
      </c>
    </row>
    <row r="355" spans="1:19">
      <c r="A355" s="665"/>
      <c r="B355" s="665"/>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1</v>
      </c>
      <c r="R355" s="663">
        <f t="shared" si="64"/>
        <v>0</v>
      </c>
      <c r="S355" s="316">
        <f t="shared" si="55"/>
        <v>0</v>
      </c>
    </row>
    <row r="356" spans="1:19">
      <c r="A356" s="665"/>
      <c r="B356" s="665"/>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1</v>
      </c>
      <c r="R356" s="663">
        <f t="shared" si="64"/>
        <v>0</v>
      </c>
      <c r="S356" s="316">
        <f t="shared" si="55"/>
        <v>0</v>
      </c>
    </row>
    <row r="357" spans="1:19">
      <c r="A357" s="665"/>
      <c r="B357" s="665"/>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1</v>
      </c>
      <c r="R357" s="663">
        <f t="shared" si="64"/>
        <v>0</v>
      </c>
      <c r="S357" s="316">
        <f t="shared" si="55"/>
        <v>0</v>
      </c>
    </row>
    <row r="358" spans="1:19">
      <c r="A358" s="665"/>
      <c r="B358" s="665"/>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1</v>
      </c>
      <c r="R358" s="663">
        <f t="shared" si="64"/>
        <v>0</v>
      </c>
      <c r="S358" s="316">
        <f t="shared" si="55"/>
        <v>0</v>
      </c>
    </row>
    <row r="359" spans="1:19">
      <c r="A359" s="665"/>
      <c r="B359" s="665"/>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1</v>
      </c>
      <c r="R359" s="663">
        <f t="shared" si="64"/>
        <v>0</v>
      </c>
      <c r="S359" s="316">
        <f t="shared" si="55"/>
        <v>0</v>
      </c>
    </row>
    <row r="360" spans="1:19">
      <c r="A360" s="665"/>
      <c r="B360" s="665"/>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1</v>
      </c>
      <c r="R360" s="663">
        <f t="shared" si="64"/>
        <v>0</v>
      </c>
      <c r="S360" s="316">
        <f t="shared" si="55"/>
        <v>0</v>
      </c>
    </row>
    <row r="361" spans="1:19">
      <c r="A361" s="665"/>
      <c r="B361" s="665"/>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1</v>
      </c>
      <c r="R361" s="663">
        <f t="shared" si="64"/>
        <v>0</v>
      </c>
      <c r="S361" s="316">
        <f t="shared" si="55"/>
        <v>0</v>
      </c>
    </row>
    <row r="362" spans="1:19">
      <c r="A362" s="665"/>
      <c r="B362" s="665"/>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1</v>
      </c>
      <c r="R362" s="663">
        <f t="shared" si="64"/>
        <v>0</v>
      </c>
      <c r="S362" s="316">
        <f t="shared" si="55"/>
        <v>0</v>
      </c>
    </row>
    <row r="363" spans="1:19">
      <c r="A363" s="665"/>
      <c r="B363" s="665"/>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1</v>
      </c>
      <c r="R363" s="663">
        <f t="shared" si="64"/>
        <v>0</v>
      </c>
      <c r="S363" s="316">
        <f t="shared" si="55"/>
        <v>0</v>
      </c>
    </row>
    <row r="364" spans="1:19">
      <c r="A364" s="665"/>
      <c r="B364" s="665"/>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1</v>
      </c>
      <c r="R364" s="663">
        <f t="shared" si="64"/>
        <v>0</v>
      </c>
      <c r="S364" s="316">
        <f t="shared" si="55"/>
        <v>0</v>
      </c>
    </row>
    <row r="365" spans="1:19">
      <c r="A365" s="665"/>
      <c r="B365" s="665"/>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1</v>
      </c>
      <c r="R365" s="663">
        <f t="shared" si="64"/>
        <v>0</v>
      </c>
      <c r="S365" s="316">
        <f t="shared" si="55"/>
        <v>0</v>
      </c>
    </row>
    <row r="366" spans="1:19">
      <c r="A366" s="665"/>
      <c r="B366" s="665"/>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1</v>
      </c>
      <c r="R366" s="663">
        <f t="shared" si="64"/>
        <v>0</v>
      </c>
      <c r="S366" s="316">
        <f t="shared" si="55"/>
        <v>0</v>
      </c>
    </row>
    <row r="367" spans="1:19">
      <c r="A367" s="665"/>
      <c r="B367" s="665"/>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1</v>
      </c>
      <c r="R367" s="663">
        <f t="shared" si="64"/>
        <v>0</v>
      </c>
      <c r="S367" s="316">
        <f t="shared" si="55"/>
        <v>0</v>
      </c>
    </row>
    <row r="368" spans="1:19">
      <c r="A368" s="665"/>
      <c r="B368" s="665"/>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1</v>
      </c>
      <c r="R368" s="663">
        <f t="shared" si="64"/>
        <v>0</v>
      </c>
      <c r="S368" s="316">
        <f t="shared" si="55"/>
        <v>0</v>
      </c>
    </row>
    <row r="369" spans="1:19">
      <c r="A369" s="665"/>
      <c r="B369" s="665"/>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1</v>
      </c>
      <c r="R369" s="663">
        <f t="shared" si="64"/>
        <v>0</v>
      </c>
      <c r="S369" s="316">
        <f t="shared" si="55"/>
        <v>0</v>
      </c>
    </row>
    <row r="370" spans="1:19">
      <c r="A370" s="665"/>
      <c r="B370" s="665"/>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1</v>
      </c>
      <c r="R370" s="663">
        <f t="shared" si="64"/>
        <v>0</v>
      </c>
      <c r="S370" s="316">
        <f t="shared" si="55"/>
        <v>0</v>
      </c>
    </row>
    <row r="371" spans="1:19">
      <c r="A371" s="665"/>
      <c r="B371" s="665"/>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1</v>
      </c>
      <c r="R371" s="663">
        <f t="shared" si="64"/>
        <v>0</v>
      </c>
      <c r="S371" s="316">
        <f t="shared" si="55"/>
        <v>0</v>
      </c>
    </row>
    <row r="372" spans="1:19">
      <c r="A372" s="665"/>
      <c r="B372" s="665"/>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1</v>
      </c>
      <c r="R372" s="663">
        <f t="shared" si="64"/>
        <v>0</v>
      </c>
      <c r="S372" s="316">
        <f t="shared" si="55"/>
        <v>0</v>
      </c>
    </row>
    <row r="373" spans="1:19">
      <c r="A373" s="665"/>
      <c r="B373" s="665"/>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1</v>
      </c>
      <c r="R373" s="663">
        <f t="shared" si="64"/>
        <v>0</v>
      </c>
      <c r="S373" s="316">
        <f t="shared" si="55"/>
        <v>0</v>
      </c>
    </row>
    <row r="374" spans="1:19">
      <c r="A374" s="665"/>
      <c r="B374" s="665"/>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1</v>
      </c>
      <c r="R374" s="663">
        <f t="shared" si="64"/>
        <v>0</v>
      </c>
      <c r="S374" s="316">
        <f t="shared" si="55"/>
        <v>0</v>
      </c>
    </row>
    <row r="375" spans="1:19">
      <c r="A375" s="665"/>
      <c r="B375" s="665"/>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1</v>
      </c>
      <c r="R375" s="663">
        <f t="shared" si="64"/>
        <v>0</v>
      </c>
      <c r="S375" s="316">
        <f t="shared" si="55"/>
        <v>0</v>
      </c>
    </row>
    <row r="376" spans="1:19">
      <c r="A376" s="665"/>
      <c r="B376" s="665"/>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1</v>
      </c>
      <c r="R376" s="663">
        <f t="shared" si="64"/>
        <v>0</v>
      </c>
      <c r="S376" s="316">
        <f t="shared" si="55"/>
        <v>0</v>
      </c>
    </row>
    <row r="377" spans="1:19">
      <c r="A377" s="665"/>
      <c r="B377" s="665"/>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1</v>
      </c>
      <c r="R377" s="663">
        <f t="shared" si="64"/>
        <v>0</v>
      </c>
      <c r="S377" s="316">
        <f t="shared" si="55"/>
        <v>0</v>
      </c>
    </row>
    <row r="378" spans="1:19">
      <c r="A378" s="665"/>
      <c r="B378" s="665"/>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1</v>
      </c>
      <c r="R378" s="663">
        <f t="shared" si="64"/>
        <v>0</v>
      </c>
      <c r="S378" s="316">
        <f t="shared" si="55"/>
        <v>0</v>
      </c>
    </row>
    <row r="379" spans="1:19">
      <c r="A379" s="665"/>
      <c r="B379" s="665"/>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1</v>
      </c>
      <c r="R379" s="663">
        <f t="shared" si="64"/>
        <v>0</v>
      </c>
      <c r="S379" s="316">
        <f t="shared" si="55"/>
        <v>0</v>
      </c>
    </row>
    <row r="380" spans="1:19">
      <c r="A380" s="665"/>
      <c r="B380" s="665"/>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1</v>
      </c>
      <c r="R380" s="663">
        <f t="shared" si="64"/>
        <v>0</v>
      </c>
      <c r="S380" s="316">
        <f t="shared" si="55"/>
        <v>0</v>
      </c>
    </row>
    <row r="381" spans="1:19">
      <c r="A381" s="665"/>
      <c r="B381" s="665"/>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1</v>
      </c>
      <c r="R381" s="663">
        <f t="shared" si="64"/>
        <v>0</v>
      </c>
      <c r="S381" s="316">
        <f t="shared" si="55"/>
        <v>0</v>
      </c>
    </row>
    <row r="382" spans="1:19">
      <c r="A382" s="665"/>
      <c r="B382" s="665"/>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1</v>
      </c>
      <c r="R382" s="663">
        <f t="shared" si="64"/>
        <v>0</v>
      </c>
      <c r="S382" s="316">
        <f t="shared" si="55"/>
        <v>0</v>
      </c>
    </row>
    <row r="383" spans="1:19">
      <c r="A383" s="665"/>
      <c r="B383" s="665"/>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1</v>
      </c>
      <c r="R383" s="663">
        <f t="shared" si="64"/>
        <v>0</v>
      </c>
      <c r="S383" s="316">
        <f t="shared" si="55"/>
        <v>0</v>
      </c>
    </row>
    <row r="384" spans="1:19">
      <c r="A384" s="665"/>
      <c r="B384" s="665"/>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1</v>
      </c>
      <c r="R384" s="663">
        <f t="shared" si="64"/>
        <v>0</v>
      </c>
      <c r="S384" s="316">
        <f t="shared" si="55"/>
        <v>0</v>
      </c>
    </row>
    <row r="385" spans="1:19">
      <c r="A385" s="665"/>
      <c r="B385" s="665"/>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1</v>
      </c>
      <c r="R385" s="663">
        <f t="shared" si="64"/>
        <v>0</v>
      </c>
      <c r="S385" s="316">
        <f t="shared" si="55"/>
        <v>0</v>
      </c>
    </row>
    <row r="386" spans="1:19">
      <c r="A386" s="665"/>
      <c r="B386" s="665"/>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1</v>
      </c>
      <c r="R386" s="663">
        <f t="shared" si="64"/>
        <v>0</v>
      </c>
      <c r="S386" s="316">
        <f t="shared" si="55"/>
        <v>0</v>
      </c>
    </row>
    <row r="387" spans="1:19">
      <c r="A387" s="665"/>
      <c r="B387" s="665"/>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1</v>
      </c>
      <c r="R387" s="663">
        <f t="shared" si="64"/>
        <v>0</v>
      </c>
      <c r="S387" s="316">
        <f t="shared" si="55"/>
        <v>0</v>
      </c>
    </row>
    <row r="388" spans="1:19">
      <c r="A388" s="665"/>
      <c r="B388" s="665"/>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1</v>
      </c>
      <c r="R388" s="663">
        <f t="shared" si="64"/>
        <v>0</v>
      </c>
      <c r="S388" s="316">
        <f t="shared" si="55"/>
        <v>0</v>
      </c>
    </row>
    <row r="389" spans="1:19">
      <c r="A389" s="665"/>
      <c r="B389" s="665"/>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1</v>
      </c>
      <c r="R389" s="663">
        <f t="shared" si="64"/>
        <v>0</v>
      </c>
      <c r="S389" s="316">
        <f t="shared" si="55"/>
        <v>0</v>
      </c>
    </row>
    <row r="390" spans="1:19">
      <c r="A390" s="665"/>
      <c r="B390" s="665"/>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1</v>
      </c>
      <c r="R390" s="663">
        <f t="shared" si="64"/>
        <v>0</v>
      </c>
      <c r="S390" s="316">
        <f t="shared" si="55"/>
        <v>0</v>
      </c>
    </row>
    <row r="391" spans="1:19">
      <c r="A391" s="665"/>
      <c r="B391" s="665"/>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1</v>
      </c>
      <c r="R391" s="663">
        <f t="shared" si="64"/>
        <v>0</v>
      </c>
      <c r="S391" s="316">
        <f t="shared" si="55"/>
        <v>0</v>
      </c>
    </row>
    <row r="392" spans="1:19">
      <c r="A392" s="665"/>
      <c r="B392" s="665"/>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1</v>
      </c>
      <c r="R392" s="663">
        <f t="shared" si="64"/>
        <v>0</v>
      </c>
      <c r="S392" s="316">
        <f t="shared" si="55"/>
        <v>0</v>
      </c>
    </row>
    <row r="393" spans="1:19">
      <c r="A393" s="665"/>
      <c r="B393" s="665"/>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1</v>
      </c>
      <c r="R393" s="663">
        <f t="shared" si="64"/>
        <v>0</v>
      </c>
      <c r="S393" s="316">
        <f t="shared" si="55"/>
        <v>0</v>
      </c>
    </row>
    <row r="394" spans="1:19">
      <c r="A394" s="665"/>
      <c r="B394" s="665"/>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1</v>
      </c>
      <c r="R394" s="663">
        <f t="shared" si="64"/>
        <v>0</v>
      </c>
      <c r="S394" s="316">
        <f t="shared" si="55"/>
        <v>0</v>
      </c>
    </row>
    <row r="395" spans="1:19">
      <c r="A395" s="665"/>
      <c r="B395" s="665"/>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1</v>
      </c>
      <c r="R395" s="663">
        <f t="shared" si="64"/>
        <v>0</v>
      </c>
      <c r="S395" s="316">
        <f t="shared" si="55"/>
        <v>0</v>
      </c>
    </row>
    <row r="396" spans="1:19">
      <c r="A396" s="665"/>
      <c r="B396" s="665"/>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1</v>
      </c>
      <c r="R396" s="663">
        <f t="shared" si="64"/>
        <v>0</v>
      </c>
      <c r="S396" s="316">
        <f t="shared" si="55"/>
        <v>0</v>
      </c>
    </row>
    <row r="397" spans="1:19">
      <c r="A397" s="665"/>
      <c r="B397" s="665"/>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1</v>
      </c>
      <c r="R397" s="663">
        <f t="shared" si="64"/>
        <v>0</v>
      </c>
      <c r="S397" s="316">
        <f t="shared" si="55"/>
        <v>0</v>
      </c>
    </row>
    <row r="398" spans="1:19">
      <c r="A398" s="665"/>
      <c r="B398" s="665"/>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1</v>
      </c>
      <c r="R398" s="663">
        <f t="shared" si="64"/>
        <v>0</v>
      </c>
      <c r="S398" s="316">
        <f t="shared" si="55"/>
        <v>0</v>
      </c>
    </row>
    <row r="399" spans="1:19">
      <c r="A399" s="665"/>
      <c r="B399" s="665"/>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1</v>
      </c>
      <c r="R399" s="663">
        <f t="shared" si="64"/>
        <v>0</v>
      </c>
      <c r="S399" s="316">
        <f t="shared" si="55"/>
        <v>0</v>
      </c>
    </row>
    <row r="400" spans="1:19">
      <c r="A400" s="665"/>
      <c r="B400" s="665"/>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1</v>
      </c>
      <c r="R400" s="663">
        <f t="shared" si="64"/>
        <v>0</v>
      </c>
      <c r="S400" s="316">
        <f t="shared" si="55"/>
        <v>0</v>
      </c>
    </row>
    <row r="401" spans="1:19">
      <c r="A401" s="665"/>
      <c r="B401" s="665"/>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1</v>
      </c>
      <c r="R401" s="663">
        <f t="shared" si="64"/>
        <v>0</v>
      </c>
      <c r="S401" s="316">
        <f t="shared" si="55"/>
        <v>0</v>
      </c>
    </row>
    <row r="402" spans="1:19">
      <c r="A402" s="665"/>
      <c r="B402" s="665"/>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1</v>
      </c>
      <c r="R402" s="663">
        <f t="shared" si="64"/>
        <v>0</v>
      </c>
      <c r="S402" s="316">
        <f t="shared" si="55"/>
        <v>0</v>
      </c>
    </row>
    <row r="403" spans="1:19">
      <c r="A403" s="665"/>
      <c r="B403" s="665"/>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1</v>
      </c>
      <c r="R403" s="663">
        <f t="shared" si="64"/>
        <v>0</v>
      </c>
      <c r="S403" s="316">
        <f t="shared" si="55"/>
        <v>0</v>
      </c>
    </row>
    <row r="404" spans="1:19">
      <c r="A404" s="665"/>
      <c r="B404" s="665"/>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1</v>
      </c>
      <c r="R404" s="663">
        <f t="shared" si="64"/>
        <v>0</v>
      </c>
      <c r="S404" s="316">
        <f t="shared" si="55"/>
        <v>0</v>
      </c>
    </row>
    <row r="405" spans="1:19">
      <c r="A405" s="665"/>
      <c r="B405" s="665"/>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1</v>
      </c>
      <c r="R405" s="663">
        <f t="shared" si="64"/>
        <v>0</v>
      </c>
      <c r="S405" s="316">
        <f t="shared" si="55"/>
        <v>0</v>
      </c>
    </row>
    <row r="406" spans="1:19">
      <c r="A406" s="665"/>
      <c r="B406" s="665"/>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1</v>
      </c>
      <c r="R406" s="663">
        <f t="shared" si="64"/>
        <v>0</v>
      </c>
      <c r="S406" s="316">
        <f t="shared" si="55"/>
        <v>0</v>
      </c>
    </row>
    <row r="407" spans="1:19">
      <c r="A407" s="665"/>
      <c r="B407" s="665"/>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1</v>
      </c>
      <c r="R407" s="663">
        <f t="shared" si="64"/>
        <v>0</v>
      </c>
      <c r="S407" s="316">
        <f t="shared" si="55"/>
        <v>0</v>
      </c>
    </row>
    <row r="408" spans="1:19">
      <c r="A408" s="665"/>
      <c r="B408" s="665"/>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1</v>
      </c>
      <c r="R408" s="663">
        <f t="shared" si="64"/>
        <v>0</v>
      </c>
      <c r="S408" s="316">
        <f t="shared" ref="S408:S471" si="65">ROUND(R408*B408/10000,0)</f>
        <v>0</v>
      </c>
    </row>
    <row r="409" spans="1:19">
      <c r="A409" s="665"/>
      <c r="B409" s="665"/>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1</v>
      </c>
      <c r="R409" s="663">
        <f t="shared" si="64"/>
        <v>0</v>
      </c>
      <c r="S409" s="316">
        <f t="shared" si="65"/>
        <v>0</v>
      </c>
    </row>
    <row r="410" spans="1:19">
      <c r="A410" s="665"/>
      <c r="B410" s="665"/>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1</v>
      </c>
      <c r="R410" s="663">
        <f t="shared" ref="R410:R473" si="74">IF(B410="",0,ROUND($R$24*C410*E410*G410*I410*K410*M410*O410*Q410,0))</f>
        <v>0</v>
      </c>
      <c r="S410" s="316">
        <f t="shared" si="65"/>
        <v>0</v>
      </c>
    </row>
    <row r="411" spans="1:19">
      <c r="A411" s="665"/>
      <c r="B411" s="665"/>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1</v>
      </c>
      <c r="R411" s="663">
        <f t="shared" si="74"/>
        <v>0</v>
      </c>
      <c r="S411" s="316">
        <f t="shared" si="65"/>
        <v>0</v>
      </c>
    </row>
    <row r="412" spans="1:19">
      <c r="A412" s="665"/>
      <c r="B412" s="665"/>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1</v>
      </c>
      <c r="R412" s="663">
        <f t="shared" si="74"/>
        <v>0</v>
      </c>
      <c r="S412" s="316">
        <f t="shared" si="65"/>
        <v>0</v>
      </c>
    </row>
    <row r="413" spans="1:19">
      <c r="A413" s="665"/>
      <c r="B413" s="665"/>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1</v>
      </c>
      <c r="R413" s="663">
        <f t="shared" si="74"/>
        <v>0</v>
      </c>
      <c r="S413" s="316">
        <f t="shared" si="65"/>
        <v>0</v>
      </c>
    </row>
    <row r="414" spans="1:19">
      <c r="A414" s="665"/>
      <c r="B414" s="665"/>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1</v>
      </c>
      <c r="R414" s="663">
        <f t="shared" si="74"/>
        <v>0</v>
      </c>
      <c r="S414" s="316">
        <f t="shared" si="65"/>
        <v>0</v>
      </c>
    </row>
    <row r="415" spans="1:19">
      <c r="A415" s="665"/>
      <c r="B415" s="665"/>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1</v>
      </c>
      <c r="R415" s="663">
        <f t="shared" si="74"/>
        <v>0</v>
      </c>
      <c r="S415" s="316">
        <f t="shared" si="65"/>
        <v>0</v>
      </c>
    </row>
    <row r="416" spans="1:19">
      <c r="A416" s="665"/>
      <c r="B416" s="665"/>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1</v>
      </c>
      <c r="R416" s="663">
        <f t="shared" si="74"/>
        <v>0</v>
      </c>
      <c r="S416" s="316">
        <f t="shared" si="65"/>
        <v>0</v>
      </c>
    </row>
    <row r="417" spans="1:19">
      <c r="A417" s="665"/>
      <c r="B417" s="665"/>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1</v>
      </c>
      <c r="R417" s="663">
        <f t="shared" si="74"/>
        <v>0</v>
      </c>
      <c r="S417" s="316">
        <f t="shared" si="65"/>
        <v>0</v>
      </c>
    </row>
    <row r="418" spans="1:19">
      <c r="A418" s="665"/>
      <c r="B418" s="665"/>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1</v>
      </c>
      <c r="R418" s="663">
        <f t="shared" si="74"/>
        <v>0</v>
      </c>
      <c r="S418" s="316">
        <f t="shared" si="65"/>
        <v>0</v>
      </c>
    </row>
    <row r="419" spans="1:19">
      <c r="A419" s="665"/>
      <c r="B419" s="665"/>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1</v>
      </c>
      <c r="R419" s="663">
        <f t="shared" si="74"/>
        <v>0</v>
      </c>
      <c r="S419" s="316">
        <f t="shared" si="65"/>
        <v>0</v>
      </c>
    </row>
    <row r="420" spans="1:19">
      <c r="A420" s="665"/>
      <c r="B420" s="665"/>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1</v>
      </c>
      <c r="R420" s="663">
        <f t="shared" si="74"/>
        <v>0</v>
      </c>
      <c r="S420" s="316">
        <f t="shared" si="65"/>
        <v>0</v>
      </c>
    </row>
    <row r="421" spans="1:19">
      <c r="A421" s="665"/>
      <c r="B421" s="665"/>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1</v>
      </c>
      <c r="R421" s="663">
        <f t="shared" si="74"/>
        <v>0</v>
      </c>
      <c r="S421" s="316">
        <f t="shared" si="65"/>
        <v>0</v>
      </c>
    </row>
    <row r="422" spans="1:19">
      <c r="A422" s="665"/>
      <c r="B422" s="665"/>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1</v>
      </c>
      <c r="R422" s="663">
        <f t="shared" si="74"/>
        <v>0</v>
      </c>
      <c r="S422" s="316">
        <f t="shared" si="65"/>
        <v>0</v>
      </c>
    </row>
    <row r="423" spans="1:19">
      <c r="A423" s="665"/>
      <c r="B423" s="665"/>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1</v>
      </c>
      <c r="R423" s="663">
        <f t="shared" si="74"/>
        <v>0</v>
      </c>
      <c r="S423" s="316">
        <f t="shared" si="65"/>
        <v>0</v>
      </c>
    </row>
    <row r="424" spans="1:19">
      <c r="A424" s="665"/>
      <c r="B424" s="665"/>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1</v>
      </c>
      <c r="R424" s="663">
        <f t="shared" si="74"/>
        <v>0</v>
      </c>
      <c r="S424" s="316">
        <f t="shared" si="65"/>
        <v>0</v>
      </c>
    </row>
    <row r="425" spans="1:19">
      <c r="A425" s="665"/>
      <c r="B425" s="665"/>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1</v>
      </c>
      <c r="R425" s="663">
        <f t="shared" si="74"/>
        <v>0</v>
      </c>
      <c r="S425" s="316">
        <f t="shared" si="65"/>
        <v>0</v>
      </c>
    </row>
    <row r="426" spans="1:19">
      <c r="A426" s="665"/>
      <c r="B426" s="665"/>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1</v>
      </c>
      <c r="R426" s="663">
        <f t="shared" si="74"/>
        <v>0</v>
      </c>
      <c r="S426" s="316">
        <f t="shared" si="65"/>
        <v>0</v>
      </c>
    </row>
    <row r="427" spans="1:19">
      <c r="A427" s="665"/>
      <c r="B427" s="665"/>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1</v>
      </c>
      <c r="R427" s="663">
        <f t="shared" si="74"/>
        <v>0</v>
      </c>
      <c r="S427" s="316">
        <f t="shared" si="65"/>
        <v>0</v>
      </c>
    </row>
    <row r="428" spans="1:19">
      <c r="A428" s="665"/>
      <c r="B428" s="665"/>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1</v>
      </c>
      <c r="R428" s="663">
        <f t="shared" si="74"/>
        <v>0</v>
      </c>
      <c r="S428" s="316">
        <f t="shared" si="65"/>
        <v>0</v>
      </c>
    </row>
    <row r="429" spans="1:19">
      <c r="A429" s="665"/>
      <c r="B429" s="665"/>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1</v>
      </c>
      <c r="R429" s="663">
        <f t="shared" si="74"/>
        <v>0</v>
      </c>
      <c r="S429" s="316">
        <f t="shared" si="65"/>
        <v>0</v>
      </c>
    </row>
    <row r="430" spans="1:19">
      <c r="A430" s="665"/>
      <c r="B430" s="665"/>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1</v>
      </c>
      <c r="R430" s="663">
        <f t="shared" si="74"/>
        <v>0</v>
      </c>
      <c r="S430" s="316">
        <f t="shared" si="65"/>
        <v>0</v>
      </c>
    </row>
    <row r="431" spans="1:19">
      <c r="A431" s="665"/>
      <c r="B431" s="665"/>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1</v>
      </c>
      <c r="R431" s="663">
        <f t="shared" si="74"/>
        <v>0</v>
      </c>
      <c r="S431" s="316">
        <f t="shared" si="65"/>
        <v>0</v>
      </c>
    </row>
    <row r="432" spans="1:19">
      <c r="A432" s="665"/>
      <c r="B432" s="665"/>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1</v>
      </c>
      <c r="R432" s="663">
        <f t="shared" si="74"/>
        <v>0</v>
      </c>
      <c r="S432" s="316">
        <f t="shared" si="65"/>
        <v>0</v>
      </c>
    </row>
    <row r="433" spans="1:19">
      <c r="A433" s="665"/>
      <c r="B433" s="665"/>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1</v>
      </c>
      <c r="R433" s="663">
        <f t="shared" si="74"/>
        <v>0</v>
      </c>
      <c r="S433" s="316">
        <f t="shared" si="65"/>
        <v>0</v>
      </c>
    </row>
    <row r="434" spans="1:19">
      <c r="A434" s="665"/>
      <c r="B434" s="665"/>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1</v>
      </c>
      <c r="R434" s="663">
        <f t="shared" si="74"/>
        <v>0</v>
      </c>
      <c r="S434" s="316">
        <f t="shared" si="65"/>
        <v>0</v>
      </c>
    </row>
    <row r="435" spans="1:19">
      <c r="A435" s="665"/>
      <c r="B435" s="665"/>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1</v>
      </c>
      <c r="R435" s="663">
        <f t="shared" si="74"/>
        <v>0</v>
      </c>
      <c r="S435" s="316">
        <f t="shared" si="65"/>
        <v>0</v>
      </c>
    </row>
    <row r="436" spans="1:19">
      <c r="A436" s="665"/>
      <c r="B436" s="665"/>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1</v>
      </c>
      <c r="R436" s="663">
        <f t="shared" si="74"/>
        <v>0</v>
      </c>
      <c r="S436" s="316">
        <f t="shared" si="65"/>
        <v>0</v>
      </c>
    </row>
    <row r="437" spans="1:19">
      <c r="A437" s="665"/>
      <c r="B437" s="665"/>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1</v>
      </c>
      <c r="R437" s="663">
        <f t="shared" si="74"/>
        <v>0</v>
      </c>
      <c r="S437" s="316">
        <f t="shared" si="65"/>
        <v>0</v>
      </c>
    </row>
    <row r="438" spans="1:19">
      <c r="A438" s="665"/>
      <c r="B438" s="665"/>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1</v>
      </c>
      <c r="R438" s="663">
        <f t="shared" si="74"/>
        <v>0</v>
      </c>
      <c r="S438" s="316">
        <f t="shared" si="65"/>
        <v>0</v>
      </c>
    </row>
    <row r="439" spans="1:19">
      <c r="A439" s="665"/>
      <c r="B439" s="665"/>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1</v>
      </c>
      <c r="R439" s="663">
        <f t="shared" si="74"/>
        <v>0</v>
      </c>
      <c r="S439" s="316">
        <f t="shared" si="65"/>
        <v>0</v>
      </c>
    </row>
    <row r="440" spans="1:19">
      <c r="A440" s="665"/>
      <c r="B440" s="665"/>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1</v>
      </c>
      <c r="R440" s="663">
        <f t="shared" si="74"/>
        <v>0</v>
      </c>
      <c r="S440" s="316">
        <f t="shared" si="65"/>
        <v>0</v>
      </c>
    </row>
    <row r="441" spans="1:19">
      <c r="A441" s="665"/>
      <c r="B441" s="665"/>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1</v>
      </c>
      <c r="R441" s="663">
        <f t="shared" si="74"/>
        <v>0</v>
      </c>
      <c r="S441" s="316">
        <f t="shared" si="65"/>
        <v>0</v>
      </c>
    </row>
    <row r="442" spans="1:19">
      <c r="A442" s="665"/>
      <c r="B442" s="665"/>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1</v>
      </c>
      <c r="R442" s="663">
        <f t="shared" si="74"/>
        <v>0</v>
      </c>
      <c r="S442" s="316">
        <f t="shared" si="65"/>
        <v>0</v>
      </c>
    </row>
    <row r="443" spans="1:19">
      <c r="A443" s="665"/>
      <c r="B443" s="665"/>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1</v>
      </c>
      <c r="R443" s="663">
        <f t="shared" si="74"/>
        <v>0</v>
      </c>
      <c r="S443" s="316">
        <f t="shared" si="65"/>
        <v>0</v>
      </c>
    </row>
    <row r="444" spans="1:19">
      <c r="A444" s="665"/>
      <c r="B444" s="665"/>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1</v>
      </c>
      <c r="R444" s="663">
        <f t="shared" si="74"/>
        <v>0</v>
      </c>
      <c r="S444" s="316">
        <f t="shared" si="65"/>
        <v>0</v>
      </c>
    </row>
    <row r="445" spans="1:19">
      <c r="A445" s="665"/>
      <c r="B445" s="665"/>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1</v>
      </c>
      <c r="R445" s="663">
        <f t="shared" si="74"/>
        <v>0</v>
      </c>
      <c r="S445" s="316">
        <f t="shared" si="65"/>
        <v>0</v>
      </c>
    </row>
    <row r="446" spans="1:19">
      <c r="A446" s="665"/>
      <c r="B446" s="665"/>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1</v>
      </c>
      <c r="R446" s="663">
        <f t="shared" si="74"/>
        <v>0</v>
      </c>
      <c r="S446" s="316">
        <f t="shared" si="65"/>
        <v>0</v>
      </c>
    </row>
    <row r="447" spans="1:19">
      <c r="A447" s="665"/>
      <c r="B447" s="665"/>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1</v>
      </c>
      <c r="R447" s="663">
        <f t="shared" si="74"/>
        <v>0</v>
      </c>
      <c r="S447" s="316">
        <f t="shared" si="65"/>
        <v>0</v>
      </c>
    </row>
    <row r="448" spans="1:19">
      <c r="A448" s="665"/>
      <c r="B448" s="665"/>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1</v>
      </c>
      <c r="R448" s="663">
        <f t="shared" si="74"/>
        <v>0</v>
      </c>
      <c r="S448" s="316">
        <f t="shared" si="65"/>
        <v>0</v>
      </c>
    </row>
    <row r="449" spans="1:19">
      <c r="A449" s="665"/>
      <c r="B449" s="665"/>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1</v>
      </c>
      <c r="R449" s="663">
        <f t="shared" si="74"/>
        <v>0</v>
      </c>
      <c r="S449" s="316">
        <f t="shared" si="65"/>
        <v>0</v>
      </c>
    </row>
    <row r="450" spans="1:19">
      <c r="A450" s="665"/>
      <c r="B450" s="665"/>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1</v>
      </c>
      <c r="R450" s="663">
        <f t="shared" si="74"/>
        <v>0</v>
      </c>
      <c r="S450" s="316">
        <f t="shared" si="65"/>
        <v>0</v>
      </c>
    </row>
    <row r="451" spans="1:19">
      <c r="A451" s="665"/>
      <c r="B451" s="665"/>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1</v>
      </c>
      <c r="R451" s="663">
        <f t="shared" si="74"/>
        <v>0</v>
      </c>
      <c r="S451" s="316">
        <f t="shared" si="65"/>
        <v>0</v>
      </c>
    </row>
    <row r="452" spans="1:19">
      <c r="A452" s="665"/>
      <c r="B452" s="665"/>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1</v>
      </c>
      <c r="R452" s="663">
        <f t="shared" si="74"/>
        <v>0</v>
      </c>
      <c r="S452" s="316">
        <f t="shared" si="65"/>
        <v>0</v>
      </c>
    </row>
    <row r="453" spans="1:19">
      <c r="A453" s="665"/>
      <c r="B453" s="665"/>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1</v>
      </c>
      <c r="R453" s="663">
        <f t="shared" si="74"/>
        <v>0</v>
      </c>
      <c r="S453" s="316">
        <f t="shared" si="65"/>
        <v>0</v>
      </c>
    </row>
    <row r="454" spans="1:19">
      <c r="A454" s="665"/>
      <c r="B454" s="665"/>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1</v>
      </c>
      <c r="R454" s="663">
        <f t="shared" si="74"/>
        <v>0</v>
      </c>
      <c r="S454" s="316">
        <f t="shared" si="65"/>
        <v>0</v>
      </c>
    </row>
    <row r="455" spans="1:19">
      <c r="A455" s="665"/>
      <c r="B455" s="665"/>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1</v>
      </c>
      <c r="R455" s="663">
        <f t="shared" si="74"/>
        <v>0</v>
      </c>
      <c r="S455" s="316">
        <f t="shared" si="65"/>
        <v>0</v>
      </c>
    </row>
    <row r="456" spans="1:19">
      <c r="A456" s="665"/>
      <c r="B456" s="665"/>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1</v>
      </c>
      <c r="R456" s="663">
        <f t="shared" si="74"/>
        <v>0</v>
      </c>
      <c r="S456" s="316">
        <f t="shared" si="65"/>
        <v>0</v>
      </c>
    </row>
    <row r="457" spans="1:19">
      <c r="A457" s="665"/>
      <c r="B457" s="665"/>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1</v>
      </c>
      <c r="R457" s="663">
        <f t="shared" si="74"/>
        <v>0</v>
      </c>
      <c r="S457" s="316">
        <f t="shared" si="65"/>
        <v>0</v>
      </c>
    </row>
    <row r="458" spans="1:19">
      <c r="A458" s="665"/>
      <c r="B458" s="665"/>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1</v>
      </c>
      <c r="R458" s="663">
        <f t="shared" si="74"/>
        <v>0</v>
      </c>
      <c r="S458" s="316">
        <f t="shared" si="65"/>
        <v>0</v>
      </c>
    </row>
    <row r="459" spans="1:19">
      <c r="A459" s="665"/>
      <c r="B459" s="665"/>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1</v>
      </c>
      <c r="R459" s="663">
        <f t="shared" si="74"/>
        <v>0</v>
      </c>
      <c r="S459" s="316">
        <f t="shared" si="65"/>
        <v>0</v>
      </c>
    </row>
    <row r="460" spans="1:19">
      <c r="A460" s="665"/>
      <c r="B460" s="665"/>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1</v>
      </c>
      <c r="R460" s="663">
        <f t="shared" si="74"/>
        <v>0</v>
      </c>
      <c r="S460" s="316">
        <f t="shared" si="65"/>
        <v>0</v>
      </c>
    </row>
    <row r="461" spans="1:19">
      <c r="A461" s="665"/>
      <c r="B461" s="665"/>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1</v>
      </c>
      <c r="R461" s="663">
        <f t="shared" si="74"/>
        <v>0</v>
      </c>
      <c r="S461" s="316">
        <f t="shared" si="65"/>
        <v>0</v>
      </c>
    </row>
    <row r="462" spans="1:19">
      <c r="A462" s="665"/>
      <c r="B462" s="665"/>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1</v>
      </c>
      <c r="R462" s="663">
        <f t="shared" si="74"/>
        <v>0</v>
      </c>
      <c r="S462" s="316">
        <f t="shared" si="65"/>
        <v>0</v>
      </c>
    </row>
    <row r="463" spans="1:19">
      <c r="A463" s="665"/>
      <c r="B463" s="665"/>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1</v>
      </c>
      <c r="R463" s="663">
        <f t="shared" si="74"/>
        <v>0</v>
      </c>
      <c r="S463" s="316">
        <f t="shared" si="65"/>
        <v>0</v>
      </c>
    </row>
    <row r="464" spans="1:19">
      <c r="A464" s="665"/>
      <c r="B464" s="665"/>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1</v>
      </c>
      <c r="R464" s="663">
        <f t="shared" si="74"/>
        <v>0</v>
      </c>
      <c r="S464" s="316">
        <f t="shared" si="65"/>
        <v>0</v>
      </c>
    </row>
    <row r="465" spans="1:19">
      <c r="A465" s="665"/>
      <c r="B465" s="665"/>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1</v>
      </c>
      <c r="R465" s="663">
        <f t="shared" si="74"/>
        <v>0</v>
      </c>
      <c r="S465" s="316">
        <f t="shared" si="65"/>
        <v>0</v>
      </c>
    </row>
    <row r="466" spans="1:19">
      <c r="A466" s="665"/>
      <c r="B466" s="665"/>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1</v>
      </c>
      <c r="R466" s="663">
        <f t="shared" si="74"/>
        <v>0</v>
      </c>
      <c r="S466" s="316">
        <f t="shared" si="65"/>
        <v>0</v>
      </c>
    </row>
    <row r="467" spans="1:19">
      <c r="A467" s="665"/>
      <c r="B467" s="665"/>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1</v>
      </c>
      <c r="R467" s="663">
        <f t="shared" si="74"/>
        <v>0</v>
      </c>
      <c r="S467" s="316">
        <f t="shared" si="65"/>
        <v>0</v>
      </c>
    </row>
    <row r="468" spans="1:19">
      <c r="A468" s="665"/>
      <c r="B468" s="665"/>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1</v>
      </c>
      <c r="R468" s="663">
        <f t="shared" si="74"/>
        <v>0</v>
      </c>
      <c r="S468" s="316">
        <f t="shared" si="65"/>
        <v>0</v>
      </c>
    </row>
    <row r="469" spans="1:19">
      <c r="A469" s="665"/>
      <c r="B469" s="665"/>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1</v>
      </c>
      <c r="R469" s="663">
        <f t="shared" si="74"/>
        <v>0</v>
      </c>
      <c r="S469" s="316">
        <f t="shared" si="65"/>
        <v>0</v>
      </c>
    </row>
    <row r="470" spans="1:19">
      <c r="A470" s="665"/>
      <c r="B470" s="665"/>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1</v>
      </c>
      <c r="R470" s="663">
        <f t="shared" si="74"/>
        <v>0</v>
      </c>
      <c r="S470" s="316">
        <f t="shared" si="65"/>
        <v>0</v>
      </c>
    </row>
    <row r="471" spans="1:19">
      <c r="A471" s="665"/>
      <c r="B471" s="665"/>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1</v>
      </c>
      <c r="R471" s="663">
        <f t="shared" si="74"/>
        <v>0</v>
      </c>
      <c r="S471" s="316">
        <f t="shared" si="65"/>
        <v>0</v>
      </c>
    </row>
    <row r="472" spans="1:19">
      <c r="A472" s="665"/>
      <c r="B472" s="665"/>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1</v>
      </c>
      <c r="R472" s="663">
        <f t="shared" si="74"/>
        <v>0</v>
      </c>
      <c r="S472" s="316">
        <f t="shared" ref="S472:S524" si="75">ROUND(R472*B472/10000,0)</f>
        <v>0</v>
      </c>
    </row>
    <row r="473" spans="1:19">
      <c r="A473" s="665"/>
      <c r="B473" s="665"/>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1</v>
      </c>
      <c r="R473" s="663">
        <f t="shared" si="74"/>
        <v>0</v>
      </c>
      <c r="S473" s="316">
        <f t="shared" si="75"/>
        <v>0</v>
      </c>
    </row>
    <row r="474" spans="1:19">
      <c r="A474" s="665"/>
      <c r="B474" s="665"/>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1</v>
      </c>
      <c r="P474" s="667"/>
      <c r="Q474" s="21">
        <f t="shared" ref="Q474:Q524" si="83">(SUMIF($17:$17,P474,$18:$18)-SUMIF($17:$17,$P$24,$18:$18)+100)/100</f>
        <v>1</v>
      </c>
      <c r="R474" s="663">
        <f t="shared" ref="R474:R524" si="84">IF(B474="",0,ROUND($R$24*C474*E474*G474*I474*K474*M474*O474*Q474,0))</f>
        <v>0</v>
      </c>
      <c r="S474" s="316">
        <f t="shared" si="75"/>
        <v>0</v>
      </c>
    </row>
    <row r="475" spans="1:19">
      <c r="A475" s="665"/>
      <c r="B475" s="665"/>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1</v>
      </c>
      <c r="R475" s="663">
        <f t="shared" si="84"/>
        <v>0</v>
      </c>
      <c r="S475" s="316">
        <f t="shared" si="75"/>
        <v>0</v>
      </c>
    </row>
    <row r="476" spans="1:19">
      <c r="A476" s="665"/>
      <c r="B476" s="665"/>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1</v>
      </c>
      <c r="R476" s="663">
        <f t="shared" si="84"/>
        <v>0</v>
      </c>
      <c r="S476" s="316">
        <f t="shared" si="75"/>
        <v>0</v>
      </c>
    </row>
    <row r="477" spans="1:19">
      <c r="A477" s="665"/>
      <c r="B477" s="665"/>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1</v>
      </c>
      <c r="R477" s="663">
        <f t="shared" si="84"/>
        <v>0</v>
      </c>
      <c r="S477" s="316">
        <f t="shared" si="75"/>
        <v>0</v>
      </c>
    </row>
    <row r="478" spans="1:19">
      <c r="A478" s="665"/>
      <c r="B478" s="665"/>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1</v>
      </c>
      <c r="R478" s="663">
        <f t="shared" si="84"/>
        <v>0</v>
      </c>
      <c r="S478" s="316">
        <f t="shared" si="75"/>
        <v>0</v>
      </c>
    </row>
    <row r="479" spans="1:19">
      <c r="A479" s="665"/>
      <c r="B479" s="665"/>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1</v>
      </c>
      <c r="R479" s="663">
        <f t="shared" si="84"/>
        <v>0</v>
      </c>
      <c r="S479" s="316">
        <f t="shared" si="75"/>
        <v>0</v>
      </c>
    </row>
    <row r="480" spans="1:19">
      <c r="A480" s="665"/>
      <c r="B480" s="665"/>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1</v>
      </c>
      <c r="R480" s="663">
        <f t="shared" si="84"/>
        <v>0</v>
      </c>
      <c r="S480" s="316">
        <f t="shared" si="75"/>
        <v>0</v>
      </c>
    </row>
    <row r="481" spans="1:19">
      <c r="A481" s="665"/>
      <c r="B481" s="665"/>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1</v>
      </c>
      <c r="R481" s="663">
        <f t="shared" si="84"/>
        <v>0</v>
      </c>
      <c r="S481" s="316">
        <f t="shared" si="75"/>
        <v>0</v>
      </c>
    </row>
    <row r="482" spans="1:19">
      <c r="A482" s="665"/>
      <c r="B482" s="665"/>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1</v>
      </c>
      <c r="R482" s="663">
        <f t="shared" si="84"/>
        <v>0</v>
      </c>
      <c r="S482" s="316">
        <f t="shared" si="75"/>
        <v>0</v>
      </c>
    </row>
    <row r="483" spans="1:19">
      <c r="A483" s="665"/>
      <c r="B483" s="665"/>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1</v>
      </c>
      <c r="R483" s="663">
        <f t="shared" si="84"/>
        <v>0</v>
      </c>
      <c r="S483" s="316">
        <f t="shared" si="75"/>
        <v>0</v>
      </c>
    </row>
    <row r="484" spans="1:19">
      <c r="A484" s="665"/>
      <c r="B484" s="665"/>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1</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1</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1</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1</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1</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1</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1</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1</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1</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1</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1</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1</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1</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1</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1</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1</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1</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1</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1</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1</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1</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1</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1</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1</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1</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1</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1</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1</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1</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1</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1</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1</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1</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1</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1</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1</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1</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1</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1</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1</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1</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topLeftCell="A79" workbookViewId="0">
      <selection activeCell="R69" sqref="R69"/>
    </sheetView>
  </sheetViews>
  <sheetFormatPr defaultRowHeight="13.5"/>
  <sheetData>
    <row r="1" spans="1:18">
      <c r="A1" s="3465" t="s">
        <v>4919</v>
      </c>
    </row>
    <row r="7" spans="1:18">
      <c r="R7">
        <f>3718.5/273</f>
        <v>13.62087912087912</v>
      </c>
    </row>
    <row r="8" spans="1:18">
      <c r="R8">
        <v>136209</v>
      </c>
    </row>
    <row r="34" spans="1:18">
      <c r="A34" s="3465" t="s">
        <v>4920</v>
      </c>
      <c r="B34">
        <v>30000</v>
      </c>
      <c r="R34">
        <f>105/8</f>
        <v>13.125</v>
      </c>
    </row>
    <row r="35" spans="1:18">
      <c r="R35">
        <v>131250</v>
      </c>
    </row>
    <row r="65" spans="1:18">
      <c r="A65" s="3465" t="s">
        <v>4921</v>
      </c>
    </row>
    <row r="67" spans="1:18">
      <c r="R67">
        <f>3202/245</f>
        <v>13.06938775510204</v>
      </c>
    </row>
    <row r="68" spans="1:18">
      <c r="R68">
        <v>130694</v>
      </c>
    </row>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t="s">
        <v>3920</v>
      </c>
      <c r="D1" s="1745"/>
      <c r="E1" s="1745"/>
      <c r="F1" s="1747" t="s">
        <v>1263</v>
      </c>
      <c r="G1" s="1559"/>
      <c r="H1" s="1748" t="str">
        <f>IF(G1="现房","——","估价对象范围")</f>
        <v>估价对象范围</v>
      </c>
      <c r="I1" s="1749"/>
    </row>
    <row r="2" spans="1:12" ht="21.75" customHeight="1" thickBot="1">
      <c r="A2" s="3718" t="str">
        <f>项目基本情况!S2</f>
        <v>北京市房地产</v>
      </c>
      <c r="B2" s="3719"/>
      <c r="C2" s="3719"/>
      <c r="D2" s="3719"/>
      <c r="E2" s="3719"/>
      <c r="F2" s="3719"/>
      <c r="G2" s="3719"/>
      <c r="H2" s="3719"/>
      <c r="I2" s="3720"/>
    </row>
    <row r="3" spans="1:12" ht="12.75">
      <c r="A3" s="3722" t="s">
        <v>1264</v>
      </c>
      <c r="B3" s="3723"/>
      <c r="C3" s="3723"/>
      <c r="D3" s="3723"/>
      <c r="E3" s="3723"/>
      <c r="F3" s="3723"/>
      <c r="G3" s="3723"/>
      <c r="H3" s="3723"/>
      <c r="I3" s="3723"/>
    </row>
    <row r="4" spans="1:12" ht="14.25">
      <c r="A4" s="1752" t="s">
        <v>1265</v>
      </c>
      <c r="B4" s="1753" t="s">
        <v>1266</v>
      </c>
      <c r="C4" s="1754" t="s">
        <v>4912</v>
      </c>
      <c r="D4" s="1754" t="s">
        <v>4910</v>
      </c>
      <c r="E4" s="3724" t="s">
        <v>1267</v>
      </c>
      <c r="F4" s="3725"/>
      <c r="G4" s="3725"/>
      <c r="H4" s="3725"/>
      <c r="I4" s="3726"/>
      <c r="K4" s="146" t="str">
        <f>IF(ISNUMBER(FIND("比较法",'结果表-机械车库'!C4)),"比较法",IF(ISNUMBER(FIND("成本法",'结果表-机械车库'!C4)),"成本法",IF(ISNUMBER(FIND("假设开发法",'结果表-机械车库'!C4)),"假设开发法",IF(ISNUMBER(FIND("收益法",'结果表-机械车库'!C4)),"收益法","基准地价系数修正法"))))</f>
        <v>成本法</v>
      </c>
      <c r="L4" s="146" t="str">
        <f>IF(ISNUMBER(FIND("比较法",'结果表-机械车库'!D4)),"比较法",IF(ISNUMBER(FIND("成本法",'结果表-机械车库'!D4)),"成本法",IF(ISNUMBER(FIND("假设开发法",'结果表-机械车库'!D4)),"假设开发法",IF(ISNUMBER(FIND("收益法",'结果表-机械车库'!D4)),"收益法","基准地价系数修正法"))))</f>
        <v>收益法</v>
      </c>
    </row>
    <row r="5" spans="1:12" ht="12.75">
      <c r="A5" s="3698" t="s">
        <v>1268</v>
      </c>
      <c r="B5" s="3685">
        <v>25</v>
      </c>
      <c r="C5" s="3701"/>
      <c r="D5" s="3721"/>
      <c r="E5" s="131" t="s">
        <v>1269</v>
      </c>
      <c r="F5" s="1755"/>
      <c r="G5" s="1755"/>
      <c r="H5" s="1755"/>
      <c r="I5" s="1371"/>
    </row>
    <row r="6" spans="1:12" ht="12.75">
      <c r="A6" s="3698"/>
      <c r="B6" s="3685"/>
      <c r="C6" s="3702"/>
      <c r="D6" s="3721"/>
      <c r="E6" s="131" t="s">
        <v>1270</v>
      </c>
      <c r="F6" s="1755"/>
      <c r="G6" s="1755"/>
      <c r="H6" s="1755"/>
      <c r="I6" s="1371"/>
    </row>
    <row r="7" spans="1:12" ht="12.75">
      <c r="A7" s="3698"/>
      <c r="B7" s="3685"/>
      <c r="C7" s="3703"/>
      <c r="D7" s="3721"/>
      <c r="E7" s="131" t="s">
        <v>1271</v>
      </c>
      <c r="F7" s="1755"/>
      <c r="G7" s="1755"/>
      <c r="H7" s="1755"/>
      <c r="I7" s="1371"/>
    </row>
    <row r="8" spans="1:12" ht="12.75">
      <c r="A8" s="3698" t="s">
        <v>1272</v>
      </c>
      <c r="B8" s="3685">
        <v>15</v>
      </c>
      <c r="C8" s="3701"/>
      <c r="D8" s="3721"/>
      <c r="E8" s="131" t="s">
        <v>1273</v>
      </c>
      <c r="F8" s="1755"/>
      <c r="G8" s="1755"/>
      <c r="H8" s="1755"/>
      <c r="I8" s="1371"/>
    </row>
    <row r="9" spans="1:12" ht="12.75">
      <c r="A9" s="3698"/>
      <c r="B9" s="3685"/>
      <c r="C9" s="3703"/>
      <c r="D9" s="3721"/>
      <c r="E9" s="131" t="s">
        <v>1274</v>
      </c>
      <c r="F9" s="1755"/>
      <c r="G9" s="1755"/>
      <c r="H9" s="1755"/>
      <c r="I9" s="1371"/>
    </row>
    <row r="10" spans="1:12" ht="12.75">
      <c r="A10" s="3698" t="s">
        <v>1275</v>
      </c>
      <c r="B10" s="3685">
        <v>15</v>
      </c>
      <c r="C10" s="3701"/>
      <c r="D10" s="3721"/>
      <c r="E10" s="131" t="s">
        <v>1276</v>
      </c>
      <c r="F10" s="1755"/>
      <c r="G10" s="1755"/>
      <c r="H10" s="1755"/>
      <c r="I10" s="1371"/>
    </row>
    <row r="11" spans="1:12" ht="12.75">
      <c r="A11" s="3698"/>
      <c r="B11" s="3685"/>
      <c r="C11" s="3703"/>
      <c r="D11" s="3721"/>
      <c r="E11" s="131" t="s">
        <v>1277</v>
      </c>
      <c r="F11" s="1755"/>
      <c r="G11" s="1755"/>
      <c r="H11" s="1755"/>
      <c r="I11" s="1371"/>
    </row>
    <row r="12" spans="1:12" ht="12.75">
      <c r="A12" s="3698" t="s">
        <v>1278</v>
      </c>
      <c r="B12" s="3685">
        <v>15</v>
      </c>
      <c r="C12" s="3701"/>
      <c r="D12" s="3721"/>
      <c r="E12" s="131" t="s">
        <v>1279</v>
      </c>
      <c r="F12" s="1755"/>
      <c r="G12" s="1755"/>
      <c r="H12" s="1755"/>
      <c r="I12" s="1371"/>
    </row>
    <row r="13" spans="1:12" ht="12.75">
      <c r="A13" s="3698"/>
      <c r="B13" s="3685"/>
      <c r="C13" s="3703"/>
      <c r="D13" s="3721"/>
      <c r="E13" s="131" t="s">
        <v>1280</v>
      </c>
      <c r="F13" s="1755"/>
      <c r="G13" s="1755"/>
      <c r="H13" s="1755"/>
      <c r="I13" s="1371"/>
    </row>
    <row r="14" spans="1:12" ht="12.75">
      <c r="A14" s="3698" t="s">
        <v>1281</v>
      </c>
      <c r="B14" s="3685">
        <v>30</v>
      </c>
      <c r="C14" s="3701">
        <v>7</v>
      </c>
      <c r="D14" s="3721">
        <v>3</v>
      </c>
      <c r="E14" s="131" t="s">
        <v>1282</v>
      </c>
      <c r="F14" s="1755"/>
      <c r="G14" s="1755"/>
      <c r="H14" s="1755"/>
      <c r="I14" s="1371"/>
    </row>
    <row r="15" spans="1:12" ht="12.75">
      <c r="A15" s="3698"/>
      <c r="B15" s="3685"/>
      <c r="C15" s="3702"/>
      <c r="D15" s="3721"/>
      <c r="E15" s="131" t="s">
        <v>1283</v>
      </c>
      <c r="F15" s="1755"/>
      <c r="G15" s="1755"/>
      <c r="H15" s="1755"/>
      <c r="I15" s="1371"/>
    </row>
    <row r="16" spans="1:12" ht="12.75">
      <c r="A16" s="3698"/>
      <c r="B16" s="3685"/>
      <c r="C16" s="3703"/>
      <c r="D16" s="3721"/>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708" t="s">
        <v>2129</v>
      </c>
      <c r="F18" s="3709"/>
      <c r="G18" s="3709"/>
      <c r="H18" s="3709"/>
      <c r="I18" s="3709"/>
      <c r="K18" s="302" t="s">
        <v>1289</v>
      </c>
      <c r="L18" s="302">
        <f>IF(C1="",'数据-汇总表'!E3,SUMIF(项目类型,C1,'数据-汇总表'!E17:E26)+SUMIF(项目类型,C1,'数据-汇总表'!I17:I26))</f>
        <v>29.05</v>
      </c>
      <c r="M18" s="302">
        <f>IF(C1="",'数据-汇总表'!E3,SUMIF(项目类型,C1,'数据-汇总表'!E17:E26))</f>
        <v>29.05</v>
      </c>
    </row>
    <row r="19" spans="1:36" ht="15">
      <c r="A19" s="1759" t="s">
        <v>1290</v>
      </c>
      <c r="B19" s="1760" t="s">
        <v>1291</v>
      </c>
      <c r="C19" s="134">
        <f ca="1">SUMIF(INDIRECT("'"&amp;C4&amp;"'"&amp;"!A:A"),'结果表-机械车库'!B19,INDIRECT("'"&amp;C4&amp;"'"&amp;"!B:B"))</f>
        <v>36.516800000000003</v>
      </c>
      <c r="D19" s="135">
        <f ca="1">SUMIF(INDIRECT("'"&amp;D4&amp;"'"&amp;"!A:A"),'结果表-机械车库'!B19,INDIRECT("'"&amp;D4&amp;"'"&amp;"!B:B"))</f>
        <v>15.0589</v>
      </c>
      <c r="E19" s="1759" t="s">
        <v>1292</v>
      </c>
      <c r="F19" s="1760" t="s">
        <v>1291</v>
      </c>
      <c r="G19" s="136">
        <f ca="1">ROUND(C19*$C$18+D19*$D$18,0)</f>
        <v>30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SUMIF(INDIRECT("'"&amp;C4&amp;"'"&amp;"!A:A"),'结果表-机械车库'!B20,INDIRECT("'"&amp;C4&amp;"'"&amp;"!B:B"))</f>
        <v>6057</v>
      </c>
      <c r="D20" s="138">
        <f ca="1">SUMIF(INDIRECT("'"&amp;D4&amp;"'"&amp;"!A:A"),'结果表-机械车库'!B20,INDIRECT("'"&amp;D4&amp;"'"&amp;"!B:B"))</f>
        <v>2498</v>
      </c>
      <c r="E20" s="1762"/>
      <c r="F20" s="1025" t="s">
        <v>1295</v>
      </c>
      <c r="G20" s="139">
        <f ca="1">ROUND(C20*$C$18+D20*$D$18,0)</f>
        <v>4989</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1.4249314358950524</v>
      </c>
      <c r="E22" s="129"/>
      <c r="F22" s="129"/>
      <c r="G22" s="129"/>
      <c r="H22" s="129"/>
      <c r="I22" s="129"/>
    </row>
    <row r="23" spans="1:36" ht="13.5" thickBot="1">
      <c r="A23" s="1745"/>
      <c r="B23" s="1745"/>
      <c r="C23" s="1745"/>
      <c r="D23" s="1745"/>
      <c r="E23" s="129"/>
      <c r="F23" s="129"/>
      <c r="G23" s="129"/>
      <c r="H23" s="129"/>
      <c r="I23" s="129"/>
    </row>
    <row r="24" spans="1:36" ht="14.25">
      <c r="A24" s="3692" t="s">
        <v>1299</v>
      </c>
      <c r="B24" s="1760" t="s">
        <v>1291</v>
      </c>
      <c r="C24" s="136">
        <f>IF(B30=0,0,D30)</f>
        <v>0</v>
      </c>
      <c r="D24" s="1767"/>
      <c r="E24" s="129"/>
      <c r="F24" s="129"/>
      <c r="G24" s="129"/>
      <c r="H24" s="129"/>
      <c r="I24" s="129"/>
    </row>
    <row r="25" spans="1:36" ht="14.25">
      <c r="A25" s="369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1" t="s">
        <v>1305</v>
      </c>
      <c r="B32" s="1772"/>
      <c r="C32" s="144">
        <f ca="1">IF(D32="总价",G19-C24,G20-C25)</f>
        <v>4989</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712" t="s">
        <v>1312</v>
      </c>
      <c r="B36" s="1785" t="s">
        <v>1313</v>
      </c>
      <c r="C36" s="145"/>
      <c r="D36" s="1786"/>
      <c r="E36" s="1787"/>
      <c r="F36" s="1788"/>
      <c r="G36" s="129"/>
      <c r="H36" s="129"/>
      <c r="I36" s="129"/>
    </row>
    <row r="37" spans="1:15" ht="15.75" thickBot="1">
      <c r="A37" s="3713"/>
      <c r="B37" s="1672" t="s">
        <v>1314</v>
      </c>
      <c r="C37" s="147"/>
      <c r="D37" s="1138"/>
      <c r="E37" s="1138"/>
      <c r="F37" s="1788"/>
      <c r="G37" s="129"/>
      <c r="H37" s="129"/>
      <c r="I37" s="129"/>
    </row>
    <row r="38" spans="1:15" ht="15.75" thickBot="1">
      <c r="A38" s="3714"/>
      <c r="B38" s="1789" t="s">
        <v>1315</v>
      </c>
      <c r="C38" s="674"/>
      <c r="D38" s="1790" t="s">
        <v>1316</v>
      </c>
      <c r="E38" s="1138"/>
      <c r="F38" s="1788"/>
      <c r="G38" s="129"/>
      <c r="H38" s="129"/>
      <c r="I38" s="129"/>
    </row>
    <row r="39" spans="1:15" ht="15">
      <c r="A39" s="1762" t="s">
        <v>1317</v>
      </c>
      <c r="B39" s="1791" t="s">
        <v>1301</v>
      </c>
      <c r="C39" s="1792" t="s">
        <v>1302</v>
      </c>
      <c r="D39" s="1792" t="s">
        <v>1320</v>
      </c>
      <c r="E39" s="1793" t="s">
        <v>1303</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9" t="s">
        <v>1326</v>
      </c>
      <c r="B45" s="3690"/>
      <c r="C45" s="3691"/>
      <c r="D45" s="155" t="e">
        <f ca="1">ROUND(H101*F45,0)</f>
        <v>#REF!</v>
      </c>
      <c r="E45" s="156" t="s">
        <v>1327</v>
      </c>
      <c r="F45" s="157">
        <v>1</v>
      </c>
      <c r="G45" s="158" t="s">
        <v>1328</v>
      </c>
      <c r="H45" s="129"/>
      <c r="I45" s="129"/>
      <c r="J45" s="3767" t="s">
        <v>1329</v>
      </c>
      <c r="K45" s="3767"/>
      <c r="L45" s="3767"/>
      <c r="M45" s="3767"/>
      <c r="N45" s="3767"/>
      <c r="O45" s="3767"/>
    </row>
    <row r="46" spans="1:15" ht="14.25" customHeight="1">
      <c r="A46" s="3686" t="s">
        <v>1330</v>
      </c>
      <c r="B46" s="3687"/>
      <c r="C46" s="3687"/>
      <c r="D46" s="3687"/>
      <c r="E46" s="3687"/>
      <c r="F46" s="3687"/>
      <c r="G46" s="3688"/>
      <c r="H46" s="1804"/>
      <c r="I46" s="159"/>
      <c r="J46" s="3512">
        <v>1</v>
      </c>
      <c r="K46" s="3748" t="s">
        <v>1331</v>
      </c>
      <c r="L46" s="3748"/>
      <c r="M46" s="3768"/>
      <c r="N46" s="3768"/>
      <c r="O46" s="3768"/>
    </row>
    <row r="47" spans="1:15" ht="12" customHeight="1">
      <c r="A47" s="160" t="s">
        <v>1332</v>
      </c>
      <c r="B47" s="161"/>
      <c r="C47" s="162"/>
      <c r="D47" s="1086" t="s">
        <v>1333</v>
      </c>
      <c r="E47" s="302" t="s">
        <v>1334</v>
      </c>
      <c r="F47" s="163" t="s">
        <v>1335</v>
      </c>
      <c r="G47" s="2541" t="s">
        <v>1336</v>
      </c>
      <c r="H47" s="2542"/>
      <c r="I47" s="159"/>
      <c r="J47" s="3512">
        <v>2</v>
      </c>
      <c r="K47" s="3748" t="s">
        <v>1337</v>
      </c>
      <c r="L47" s="3748"/>
      <c r="M47" s="3769">
        <f>'数据-取费表'!B2</f>
        <v>45126</v>
      </c>
      <c r="N47" s="3769"/>
      <c r="O47" s="3769"/>
    </row>
    <row r="48" spans="1:15" ht="25.5">
      <c r="A48" s="3717" t="s">
        <v>1338</v>
      </c>
      <c r="B48" s="3700"/>
      <c r="C48" s="3700"/>
      <c r="D48" s="3507" t="b">
        <f>IF(H48="情况1",0,IF(H48="情况2",D52,IF(H48="情况3",D53,IF(H48="情况4",D54))))</f>
        <v>0</v>
      </c>
      <c r="E48" s="3522" t="str">
        <f>IF(H48="情况4","(销售额-原购置价)×税（费）率","销售额×税（费）率")</f>
        <v>销售额×税（费）率</v>
      </c>
      <c r="F48" s="2543">
        <f>IF(H48="情况1","免征",'数据-取费表'!B41)</f>
        <v>0</v>
      </c>
      <c r="G48" s="2544" t="s">
        <v>1339</v>
      </c>
      <c r="H48" s="2545"/>
      <c r="I48" s="1804"/>
      <c r="J48" s="3512">
        <v>3</v>
      </c>
      <c r="K48" s="3748" t="s">
        <v>1340</v>
      </c>
      <c r="L48" s="3748"/>
      <c r="M48" s="3770" t="e">
        <f ca="1">H101</f>
        <v>#REF!</v>
      </c>
      <c r="N48" s="3770"/>
      <c r="O48" s="3770"/>
    </row>
    <row r="49" spans="1:35" ht="25.5" customHeight="1">
      <c r="A49" s="3521" t="s">
        <v>1341</v>
      </c>
      <c r="B49" s="3684" t="s">
        <v>1342</v>
      </c>
      <c r="C49" s="3684"/>
      <c r="D49" s="1588">
        <v>0</v>
      </c>
      <c r="E49" s="324" t="s">
        <v>1343</v>
      </c>
      <c r="F49" s="3504" t="s">
        <v>28</v>
      </c>
      <c r="G49" s="3754"/>
      <c r="H49" s="2305" t="s">
        <v>2132</v>
      </c>
      <c r="I49" s="2306"/>
      <c r="J49" s="3512">
        <v>4</v>
      </c>
      <c r="K49" s="3748" t="str">
        <f>IF(项目基本情况!E8="房地产抵押价值","房地产抵押价值","抵押担保权已注销时的房地产抵押价值")</f>
        <v>房地产抵押价值</v>
      </c>
      <c r="L49" s="3748"/>
      <c r="M49" s="3770" t="str">
        <f ca="1">IF(项目基本情况!E8="房地产抵押价值",H107,H109)</f>
        <v>——</v>
      </c>
      <c r="N49" s="3770"/>
      <c r="O49" s="3770"/>
    </row>
    <row r="50" spans="1:35" ht="25.5" customHeight="1">
      <c r="A50" s="2546"/>
      <c r="B50" s="3684" t="s">
        <v>1344</v>
      </c>
      <c r="C50" s="3684"/>
      <c r="D50" s="2547"/>
      <c r="E50" s="332"/>
      <c r="F50" s="3504"/>
      <c r="G50" s="3755"/>
      <c r="H50" s="2307" t="s">
        <v>2133</v>
      </c>
      <c r="I50" s="2306"/>
      <c r="J50" s="3767" t="s">
        <v>1345</v>
      </c>
      <c r="K50" s="3767"/>
      <c r="L50" s="3767"/>
      <c r="M50" s="3767"/>
      <c r="N50" s="3767"/>
      <c r="O50" s="3767"/>
    </row>
    <row r="51" spans="1:35" ht="20.45" customHeight="1">
      <c r="A51" s="2548"/>
      <c r="B51" s="3684" t="s">
        <v>1346</v>
      </c>
      <c r="C51" s="3684"/>
      <c r="D51" s="1086"/>
      <c r="E51" s="327"/>
      <c r="F51" s="3504"/>
      <c r="G51" s="3756"/>
      <c r="H51" s="2307" t="s">
        <v>2134</v>
      </c>
      <c r="I51" s="2306"/>
      <c r="J51" s="3506" t="s">
        <v>1347</v>
      </c>
      <c r="K51" s="3748" t="s">
        <v>1348</v>
      </c>
      <c r="L51" s="3748"/>
      <c r="M51" s="3506" t="s">
        <v>1349</v>
      </c>
      <c r="N51" s="3506" t="s">
        <v>1350</v>
      </c>
      <c r="O51" s="3506" t="s">
        <v>1351</v>
      </c>
    </row>
    <row r="52" spans="1:35" ht="24" customHeight="1">
      <c r="A52" s="3524" t="s">
        <v>1352</v>
      </c>
      <c r="B52" s="3684" t="s">
        <v>1353</v>
      </c>
      <c r="C52" s="3684"/>
      <c r="D52" s="1086" t="e">
        <f ca="1">ROUND(D45*'数据-取费表'!B41/(1+'数据-取费表'!C42),0)</f>
        <v>#REF!</v>
      </c>
      <c r="E52" s="3522" t="s">
        <v>1354</v>
      </c>
      <c r="F52" s="2549">
        <f>'数据-取费表'!B41</f>
        <v>0</v>
      </c>
      <c r="G52" s="2550"/>
      <c r="H52" s="2539"/>
      <c r="I52" s="1805"/>
      <c r="J52" s="3512">
        <v>1</v>
      </c>
      <c r="K52" s="3749" t="s">
        <v>1355</v>
      </c>
      <c r="L52" s="3749"/>
      <c r="M52" s="2520" t="b">
        <f>D48</f>
        <v>0</v>
      </c>
      <c r="N52" s="3512" t="str">
        <f>E48</f>
        <v>销售额×税（费）率</v>
      </c>
      <c r="O52" s="2521">
        <f>F48</f>
        <v>0</v>
      </c>
    </row>
    <row r="53" spans="1:35" ht="12" customHeight="1">
      <c r="A53" s="3524" t="s">
        <v>1356</v>
      </c>
      <c r="B53" s="3710" t="s">
        <v>2289</v>
      </c>
      <c r="C53" s="3711"/>
      <c r="D53" s="1086" t="e">
        <f ca="1">ROUND(D45*'数据-取费表'!B41/(1+'数据-取费表'!C42),0)</f>
        <v>#REF!</v>
      </c>
      <c r="E53" s="3522" t="s">
        <v>1354</v>
      </c>
      <c r="F53" s="2549">
        <f>'数据-取费表'!B41</f>
        <v>0</v>
      </c>
      <c r="G53" s="2550"/>
      <c r="H53" s="2539"/>
      <c r="I53" s="1805"/>
      <c r="J53" s="3512">
        <v>2</v>
      </c>
      <c r="K53" s="3749" t="s">
        <v>1357</v>
      </c>
      <c r="L53" s="3749"/>
      <c r="M53" s="2520" t="e">
        <f t="shared" ref="M53:O54" ca="1" si="0">D55</f>
        <v>#REF!</v>
      </c>
      <c r="N53" s="3512" t="str">
        <f t="shared" si="0"/>
        <v>销售额×税（费）率</v>
      </c>
      <c r="O53" s="2521" t="str">
        <f t="shared" si="0"/>
        <v>免征</v>
      </c>
    </row>
    <row r="54" spans="1:35" ht="12" customHeight="1">
      <c r="A54" s="3524" t="s">
        <v>1358</v>
      </c>
      <c r="B54" s="3710" t="s">
        <v>2290</v>
      </c>
      <c r="C54" s="3711"/>
      <c r="D54" s="1086" t="e">
        <f ca="1">C68</f>
        <v>#REF!</v>
      </c>
      <c r="E54" s="327" t="s">
        <v>1359</v>
      </c>
      <c r="F54" s="2549">
        <f>'数据-取费表'!B41</f>
        <v>0</v>
      </c>
      <c r="G54" s="2550"/>
      <c r="H54" s="2551"/>
      <c r="I54" s="1805"/>
      <c r="J54" s="3512">
        <v>3</v>
      </c>
      <c r="K54" s="3749" t="s">
        <v>1360</v>
      </c>
      <c r="L54" s="3749"/>
      <c r="M54" s="2520" t="e">
        <f t="shared" ca="1" si="0"/>
        <v>#REF!</v>
      </c>
      <c r="N54" s="3512" t="str">
        <f t="shared" si="0"/>
        <v>增值额×税（费）率</v>
      </c>
      <c r="O54" s="2522" t="str">
        <f t="shared" si="0"/>
        <v>免征</v>
      </c>
    </row>
    <row r="55" spans="1:35" ht="24" customHeight="1">
      <c r="A55" s="3699" t="s">
        <v>1361</v>
      </c>
      <c r="B55" s="3700"/>
      <c r="C55" s="3700"/>
      <c r="D55" s="3507" t="e">
        <f ca="1">IF(H55="个人住宅",0,ROUND(D45*I55,0))</f>
        <v>#REF!</v>
      </c>
      <c r="E55" s="3522" t="s">
        <v>1362</v>
      </c>
      <c r="F55" s="2549" t="str">
        <f>IF(H55="正常",I55,"免征")</f>
        <v>免征</v>
      </c>
      <c r="G55" s="2550"/>
      <c r="H55" s="2545"/>
      <c r="I55" s="165">
        <f>'数据-取费表'!B49</f>
        <v>5.0000000000000001E-4</v>
      </c>
      <c r="J55" s="3512">
        <f>IF(H59="非个人房产","",4)</f>
        <v>4</v>
      </c>
      <c r="K55" s="3749" t="str">
        <f>IF(H59="非个人房产","——","个人所得税")</f>
        <v>个人所得税</v>
      </c>
      <c r="L55" s="3749"/>
      <c r="M55" s="2523" t="e">
        <f ca="1">D59</f>
        <v>#REF!</v>
      </c>
      <c r="N55" s="3513" t="str">
        <f>E59</f>
        <v>差额计税</v>
      </c>
      <c r="O55" s="2524">
        <f>F59</f>
        <v>0.01</v>
      </c>
    </row>
    <row r="56" spans="1:35" ht="24.75">
      <c r="A56" s="3699" t="s">
        <v>1363</v>
      </c>
      <c r="B56" s="3700"/>
      <c r="C56" s="3700"/>
      <c r="D56" s="3507" t="e">
        <f ca="1">IF(H56="个人住宅",D57,D58)</f>
        <v>#REF!</v>
      </c>
      <c r="E56" s="3522" t="s">
        <v>1364</v>
      </c>
      <c r="F56" s="2549" t="str">
        <f>IF(H56="正常",F58,"免征")</f>
        <v>免征</v>
      </c>
      <c r="G56" s="2552" t="s">
        <v>1365</v>
      </c>
      <c r="H56" s="2553"/>
      <c r="I56" s="1806"/>
      <c r="J56" s="3512" t="str">
        <f>IF(项目基本情况!K6="上海银行",IF(J55="",4,J55+1),"")</f>
        <v/>
      </c>
      <c r="K56" s="3772" t="str">
        <f>IF(项目基本情况!K6="上海银行","其他处置费用","")</f>
        <v/>
      </c>
      <c r="L56" s="3773"/>
      <c r="M56" s="2520" t="str">
        <f>IF(项目基本情况!K6="上海银行",M69,"")</f>
        <v/>
      </c>
      <c r="N56" s="3772" t="str">
        <f>IF(项目基本情况!K6="上海银行","包含处置中涉及的律师、诉讼、拍卖、评估等费用","")</f>
        <v/>
      </c>
      <c r="O56" s="3775"/>
    </row>
    <row r="57" spans="1:35" ht="12.75">
      <c r="A57" s="3524" t="s">
        <v>1341</v>
      </c>
      <c r="B57" s="3710" t="s">
        <v>1366</v>
      </c>
      <c r="C57" s="3711"/>
      <c r="D57" s="1588">
        <v>0</v>
      </c>
      <c r="E57" s="324" t="s">
        <v>1343</v>
      </c>
      <c r="F57" s="302"/>
      <c r="G57" s="2550"/>
      <c r="H57" s="2554"/>
      <c r="I57" s="1806"/>
      <c r="J57" s="3749">
        <f>IF(AND(J55="",J56=""),4,IF(项目基本情况!K6="上海银行",'结果表-机械车库'!J56+1,'结果表-机械车库'!J55+1))</f>
        <v>5</v>
      </c>
      <c r="K57" s="3749" t="s">
        <v>1367</v>
      </c>
      <c r="L57" s="2525" t="s">
        <v>1368</v>
      </c>
      <c r="M57" s="2526"/>
      <c r="N57" s="2527">
        <f ca="1">SUMIF(M52:M56,"&lt;9e307")</f>
        <v>0</v>
      </c>
      <c r="O57" s="2528"/>
      <c r="P57" s="2685" t="e">
        <f ca="1">N57/M49</f>
        <v>#VALUE!</v>
      </c>
    </row>
    <row r="58" spans="1:35" ht="24.75">
      <c r="A58" s="3524" t="s">
        <v>1352</v>
      </c>
      <c r="B58" s="3710" t="s">
        <v>1369</v>
      </c>
      <c r="C58" s="3684"/>
      <c r="D58" s="3507" t="e">
        <f ca="1">IF(H58="转让取得",C81,C97)</f>
        <v>#REF!</v>
      </c>
      <c r="E58" s="3522" t="s">
        <v>1364</v>
      </c>
      <c r="F58" s="302" t="s">
        <v>28</v>
      </c>
      <c r="G58" s="2550"/>
      <c r="H58" s="2553"/>
      <c r="I58" s="1806"/>
      <c r="J58" s="3749"/>
      <c r="K58" s="3749"/>
      <c r="L58" s="2525" t="s">
        <v>1370</v>
      </c>
      <c r="M58" s="2529"/>
      <c r="N58" s="2530" t="str">
        <f ca="1">NUMBERSTRING(INT(N57*10000),2)&amp;"元整"</f>
        <v>零元整</v>
      </c>
      <c r="O58" s="2531"/>
    </row>
    <row r="59" spans="1:35" ht="24.75" thickBot="1">
      <c r="A59" s="3752" t="s">
        <v>1371</v>
      </c>
      <c r="B59" s="3753"/>
      <c r="C59" s="375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2135</v>
      </c>
      <c r="J59" s="3750">
        <f>J57+1</f>
        <v>6</v>
      </c>
      <c r="K59" s="3749" t="s">
        <v>1372</v>
      </c>
      <c r="L59" s="3512" t="s">
        <v>1368</v>
      </c>
      <c r="M59" s="2532"/>
      <c r="N59" s="2533" t="e">
        <f ca="1">M49-N57</f>
        <v>#VALUE!</v>
      </c>
      <c r="O59" s="2534"/>
    </row>
    <row r="60" spans="1:35" ht="12" customHeight="1">
      <c r="A60" s="1807"/>
      <c r="B60" s="1745"/>
      <c r="C60" s="1745"/>
      <c r="D60" s="1745"/>
      <c r="E60" s="1576"/>
      <c r="F60" s="1806"/>
      <c r="G60" s="1806"/>
      <c r="H60" s="1808"/>
      <c r="I60" s="129"/>
      <c r="J60" s="3751"/>
      <c r="K60" s="3749"/>
      <c r="L60" s="2525" t="s">
        <v>1370</v>
      </c>
      <c r="M60" s="2529"/>
      <c r="N60" s="2530" t="e">
        <f ca="1">NUMBERSTRING(INT(N59*10000),2)&amp;"元整"</f>
        <v>#VALUE!</v>
      </c>
      <c r="O60" s="2531"/>
    </row>
    <row r="61" spans="1:35" ht="13.5" thickBot="1">
      <c r="A61" s="3697" t="s">
        <v>1373</v>
      </c>
      <c r="B61" s="3697"/>
      <c r="C61" s="3697"/>
      <c r="D61" s="3697"/>
      <c r="E61" s="3697"/>
      <c r="F61" s="1806"/>
      <c r="G61" s="1806"/>
      <c r="H61" s="1808"/>
      <c r="I61" s="129"/>
      <c r="J61" s="3512">
        <f>J59+1</f>
        <v>7</v>
      </c>
      <c r="K61" s="3749" t="s">
        <v>1374</v>
      </c>
      <c r="L61" s="3749"/>
      <c r="M61" s="2535"/>
      <c r="N61" s="2536" t="e">
        <f ca="1">ROUND(N59*10000/'数据-汇总表'!E3,0)</f>
        <v>#VALUE!</v>
      </c>
      <c r="O61" s="2537"/>
    </row>
    <row r="62" spans="1:35" ht="12.75">
      <c r="A62" s="3715" t="s">
        <v>1375</v>
      </c>
      <c r="B62" s="3716"/>
      <c r="C62" s="3517"/>
      <c r="D62" s="3517" t="s">
        <v>1376</v>
      </c>
      <c r="E62" s="166" t="s">
        <v>1377</v>
      </c>
      <c r="F62" s="1806"/>
      <c r="G62" s="1806"/>
      <c r="H62" s="1808"/>
      <c r="I62" s="129"/>
    </row>
    <row r="63" spans="1:35" ht="12.75">
      <c r="A63" s="173" t="s">
        <v>330</v>
      </c>
      <c r="B63" s="167" t="s">
        <v>1378</v>
      </c>
      <c r="C63" s="2559" t="e">
        <f ca="1">ROUND((C64+C65)/(1+'数据-取费表'!C42),0)</f>
        <v>#REF!</v>
      </c>
      <c r="D63" s="167"/>
      <c r="E63" s="168"/>
      <c r="F63" s="1806"/>
      <c r="G63" s="1806"/>
      <c r="H63" s="1808"/>
      <c r="I63" s="129"/>
      <c r="J63" s="3774" t="s">
        <v>1379</v>
      </c>
      <c r="K63" s="3508" t="s">
        <v>1380</v>
      </c>
      <c r="L63" s="3508"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1381</v>
      </c>
      <c r="C64" s="2560" t="e">
        <f ca="1">D45</f>
        <v>#REF!</v>
      </c>
      <c r="D64" s="170" t="s">
        <v>26</v>
      </c>
      <c r="E64" s="172"/>
      <c r="F64" s="1806"/>
      <c r="G64" s="1806"/>
      <c r="H64" s="1808"/>
      <c r="I64" s="129"/>
      <c r="J64" s="3774"/>
      <c r="K64" s="3508" t="s">
        <v>1382</v>
      </c>
      <c r="L64" s="350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50"/>
      <c r="AI64" s="1751"/>
    </row>
    <row r="65" spans="1:35" ht="14.25" customHeight="1">
      <c r="A65" s="169" t="s">
        <v>326</v>
      </c>
      <c r="B65" s="170" t="s">
        <v>1384</v>
      </c>
      <c r="C65" s="2561"/>
      <c r="D65" s="170"/>
      <c r="E65" s="172"/>
      <c r="F65" s="1806"/>
      <c r="G65" s="1806"/>
      <c r="H65" s="1808"/>
      <c r="I65" s="129"/>
      <c r="J65" s="3774"/>
      <c r="K65" s="3508" t="s">
        <v>1385</v>
      </c>
      <c r="L65" s="3508" t="e">
        <f ca="1">IF(M49&gt;1000,M49*0.1%,IF(AND(M49&gt;500,M49&lt;=1000),M49*0.5%,IF(AND(M49&gt;50,M49&lt;=500),M49*1%,IF(AND(M49&gt;1,M49&lt;=50),M49*1.5%))))</f>
        <v>#VALUE!</v>
      </c>
      <c r="M65" s="302" t="e">
        <f t="shared" ca="1" si="1"/>
        <v>#VALUE!</v>
      </c>
      <c r="N65" s="2539" t="s">
        <v>1383</v>
      </c>
      <c r="Z65" s="1750"/>
      <c r="AI65" s="1751"/>
    </row>
    <row r="66" spans="1:35" ht="14.25" customHeight="1">
      <c r="A66" s="173" t="s">
        <v>327</v>
      </c>
      <c r="B66" s="174" t="s">
        <v>1386</v>
      </c>
      <c r="C66" s="2562"/>
      <c r="D66" s="174" t="s">
        <v>26</v>
      </c>
      <c r="E66" s="1336" t="s">
        <v>671</v>
      </c>
      <c r="F66" s="1806"/>
      <c r="G66" s="1806"/>
      <c r="H66" s="1808"/>
      <c r="I66" s="129"/>
      <c r="J66" s="3774"/>
      <c r="K66" s="3508" t="s">
        <v>1387</v>
      </c>
      <c r="L66" s="3508" t="e">
        <f ca="1">M49*0.5%</f>
        <v>#VALUE!</v>
      </c>
      <c r="M66" s="302" t="e">
        <f ca="1">IF(L66&gt;0.5,0.5,ROUND(L66,0))</f>
        <v>#VALUE!</v>
      </c>
      <c r="N66" s="2539" t="s">
        <v>1388</v>
      </c>
      <c r="Z66" s="1750"/>
      <c r="AI66" s="1751"/>
    </row>
    <row r="67" spans="1:35" ht="14.25" customHeight="1">
      <c r="A67" s="173" t="s">
        <v>328</v>
      </c>
      <c r="B67" s="174" t="s">
        <v>1389</v>
      </c>
      <c r="C67" s="2563" t="e">
        <f ca="1">C63-C66</f>
        <v>#REF!</v>
      </c>
      <c r="D67" s="170" t="s">
        <v>26</v>
      </c>
      <c r="E67" s="172"/>
      <c r="F67" s="1806"/>
      <c r="G67" s="1806"/>
      <c r="H67" s="1808"/>
      <c r="I67" s="129"/>
      <c r="J67" s="3774"/>
      <c r="K67" s="3508" t="s">
        <v>1390</v>
      </c>
      <c r="L67" s="350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1391</v>
      </c>
      <c r="C68" s="2564" t="e">
        <f ca="1">IF(C67&lt;=0,0,ROUND(C67*D68,0))</f>
        <v>#REF!</v>
      </c>
      <c r="D68" s="2565">
        <f>'数据-取费表'!B41</f>
        <v>0</v>
      </c>
      <c r="E68" s="178"/>
      <c r="F68" s="1806"/>
      <c r="G68" s="1806"/>
      <c r="H68" s="1808"/>
      <c r="I68" s="129"/>
      <c r="J68" s="3774"/>
      <c r="K68" s="3508" t="s">
        <v>1392</v>
      </c>
      <c r="L68" s="3508"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774"/>
      <c r="K69" s="3508" t="s">
        <v>1393</v>
      </c>
      <c r="L69" s="3508"/>
      <c r="M69" s="302" t="e">
        <f ca="1">ROUND(SUM(M63:M68),0)</f>
        <v>#VALUE!</v>
      </c>
      <c r="N69" s="2540"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36" t="s">
        <v>1394</v>
      </c>
      <c r="B70" s="3737"/>
      <c r="C70" s="3737"/>
      <c r="D70" s="3737"/>
      <c r="E70" s="3737"/>
      <c r="F70" s="3737"/>
      <c r="G70" s="3737"/>
      <c r="H70" s="3737"/>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15" t="s">
        <v>1375</v>
      </c>
      <c r="B71" s="3716"/>
      <c r="C71" s="3517"/>
      <c r="D71" s="3517" t="s">
        <v>1376</v>
      </c>
      <c r="E71" s="179" t="s">
        <v>1377</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3" t="e">
        <f ca="1">ROUND(D45/(1+'数据-取费表'!C42),0)</f>
        <v>#REF!</v>
      </c>
      <c r="D72" s="170" t="s">
        <v>26</v>
      </c>
      <c r="E72" s="3519"/>
      <c r="F72" s="3518"/>
      <c r="G72" s="351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3" t="e">
        <f ca="1">C74+C78</f>
        <v>#REF!</v>
      </c>
      <c r="D73" s="170" t="s">
        <v>26</v>
      </c>
      <c r="E73" s="3519"/>
      <c r="F73" s="3518"/>
      <c r="G73" s="351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3519"/>
      <c r="F74" s="3518"/>
      <c r="G74" s="351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6"/>
      <c r="D75" s="170" t="s">
        <v>26</v>
      </c>
      <c r="E75" s="184" t="s">
        <v>1399</v>
      </c>
      <c r="F75" s="2567"/>
      <c r="G75" s="184"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9">
        <v>0.05</v>
      </c>
      <c r="E76" s="3710" t="s">
        <v>1402</v>
      </c>
      <c r="F76" s="3684"/>
      <c r="G76" s="3684"/>
      <c r="H76" s="373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0">
        <f>'数据-取费表'!B48+'数据-取费表'!B49</f>
        <v>3.0499999999999999E-2</v>
      </c>
      <c r="E77" s="3507" t="s">
        <v>1404</v>
      </c>
      <c r="F77" s="186"/>
      <c r="G77" s="1820"/>
      <c r="H77" s="352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1" t="e">
        <f ca="1">ROUND(D45*D78/(1+'数据-取费表'!C42),0)</f>
        <v>#REF!</v>
      </c>
      <c r="D78" s="2572">
        <f>'数据-取费表'!B43</f>
        <v>0</v>
      </c>
      <c r="E78" s="3694" t="s">
        <v>1406</v>
      </c>
      <c r="F78" s="3695"/>
      <c r="G78" s="3695"/>
      <c r="H78" s="370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328</v>
      </c>
      <c r="B79" s="174" t="s">
        <v>1407</v>
      </c>
      <c r="C79" s="2563" t="e">
        <f ca="1">C72-C73</f>
        <v>#REF!</v>
      </c>
      <c r="D79" s="170" t="s">
        <v>26</v>
      </c>
      <c r="E79" s="3519"/>
      <c r="F79" s="3518"/>
      <c r="G79" s="351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3" t="e">
        <f ca="1">IF(C79&lt;=0,0,C79/C73)</f>
        <v>#REF!</v>
      </c>
      <c r="D80" s="170" t="s">
        <v>26</v>
      </c>
      <c r="E80" s="3507" t="e">
        <f ca="1">IF(C80&gt;=200%,"增值额超过扣除项目金额200%",IF(C80&gt;=100%,"增值额超过扣除项目金额100%，未超过200%",IF(C80&gt;=50%,"增值额超过扣除项目金额50%，未超过100%",IF(C80&lt;50%,"增值额未超过扣除项目金额50%"))))</f>
        <v>#REF!</v>
      </c>
      <c r="F80" s="3518"/>
      <c r="G80" s="351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36" t="s">
        <v>1410</v>
      </c>
      <c r="B83" s="3737"/>
      <c r="C83" s="3737"/>
      <c r="D83" s="3737"/>
      <c r="E83" s="3737"/>
      <c r="F83" s="3737"/>
      <c r="G83" s="3737"/>
      <c r="H83" s="373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15" t="s">
        <v>1375</v>
      </c>
      <c r="B84" s="3716"/>
      <c r="C84" s="3517"/>
      <c r="D84" s="3517"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3" t="e">
        <f ca="1">ROUND(D45/(1+'数据-取费表'!C42),0)</f>
        <v>#REF!</v>
      </c>
      <c r="D85" s="170" t="s">
        <v>26</v>
      </c>
      <c r="E85" s="3519"/>
      <c r="F85" s="3518"/>
      <c r="G85" s="351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3" t="e">
        <f ca="1">IF(H88="仅含出让金",C87+C90+C91+C92+C93+C94,C87+C91+C92+C93+C94)</f>
        <v>#REF!</v>
      </c>
      <c r="D86" s="2576"/>
      <c r="E86" s="3519"/>
      <c r="F86" s="3518"/>
      <c r="G86" s="351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1">
        <f>C88+C89</f>
        <v>0</v>
      </c>
      <c r="D87" s="2572"/>
      <c r="E87" s="3514"/>
      <c r="F87" s="3515"/>
      <c r="G87" s="3515"/>
      <c r="H87" s="351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7"/>
      <c r="D88" s="2572"/>
      <c r="E88" s="193" t="s">
        <v>1413</v>
      </c>
      <c r="F88" s="3515"/>
      <c r="G88" s="194" t="s">
        <v>1414</v>
      </c>
      <c r="H88" s="1822"/>
      <c r="I88" s="1819"/>
      <c r="J88" s="2516"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1">
        <f>ROUND(C88*D89,0)</f>
        <v>0</v>
      </c>
      <c r="D89" s="2572">
        <f>'数据-取费表'!B48+'数据-取费表'!B49</f>
        <v>3.0499999999999999E-2</v>
      </c>
      <c r="E89" s="193" t="s">
        <v>1415</v>
      </c>
      <c r="F89" s="3515"/>
      <c r="G89" s="3515"/>
      <c r="H89" s="351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7"/>
      <c r="D90" s="2572"/>
      <c r="E90" s="193" t="str">
        <f>IF(H88="-","土地取得成本中已包含该笔费用"," ")</f>
        <v xml:space="preserve"> </v>
      </c>
      <c r="F90" s="3515"/>
      <c r="G90" s="3776" t="s">
        <v>2127</v>
      </c>
      <c r="H90" s="3777"/>
      <c r="I90" s="1819"/>
      <c r="J90" s="2516"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1">
        <f>IF(H91="——",成本法!C33,I91)</f>
        <v>0</v>
      </c>
      <c r="D91" s="2572"/>
      <c r="E91" s="3694" t="s">
        <v>1419</v>
      </c>
      <c r="F91" s="3695"/>
      <c r="G91" s="369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1">
        <f>ROUND((C87+C90+C91)*D92,0)</f>
        <v>0</v>
      </c>
      <c r="D92" s="2578"/>
      <c r="E92" s="3694" t="s">
        <v>1422</v>
      </c>
      <c r="F92" s="3695"/>
      <c r="G92" s="3695"/>
      <c r="H92" s="3704"/>
      <c r="I92" s="1819"/>
      <c r="J92" s="2517"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1" t="e">
        <f ca="1">ROUND(D45*D93/(1+'数据-取费表'!C42),0)</f>
        <v>#REF!</v>
      </c>
      <c r="D93" s="2572">
        <f>'数据-取费表'!B43</f>
        <v>0</v>
      </c>
      <c r="E93" s="3694" t="s">
        <v>1406</v>
      </c>
      <c r="F93" s="3695"/>
      <c r="G93" s="3695"/>
      <c r="H93" s="370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7">
        <f>ROUND((C87+C90+C91)*D94,0)</f>
        <v>0</v>
      </c>
      <c r="D94" s="2572">
        <v>0.2</v>
      </c>
      <c r="E94" s="3705" t="s">
        <v>1426</v>
      </c>
      <c r="F94" s="3706"/>
      <c r="G94" s="3706"/>
      <c r="H94" s="370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328</v>
      </c>
      <c r="B95" s="174" t="s">
        <v>1407</v>
      </c>
      <c r="C95" s="2563" t="e">
        <f ca="1">ROUND(C85-C86,0)</f>
        <v>#REF!</v>
      </c>
      <c r="D95" s="170" t="s">
        <v>26</v>
      </c>
      <c r="E95" s="3519"/>
      <c r="F95" s="3518"/>
      <c r="G95" s="351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3" t="e">
        <f ca="1">IF(C95&lt;=0,0,C95/C86)</f>
        <v>#REF!</v>
      </c>
      <c r="D96" s="170" t="s">
        <v>26</v>
      </c>
      <c r="E96" s="3507" t="e">
        <f ca="1">IF(C96&gt;=200%,"增值额超过扣除项目金额200%",IF(C96&gt;=100%,"增值额超过扣除项目金额100%，未超过200%",IF(C96&gt;=50%,"增值额超过扣除项目金额50%，未超过100%",IF(C96&lt;50%,"增值额未超过扣除项目金额50%"))))</f>
        <v>#REF!</v>
      </c>
      <c r="F96" s="3518"/>
      <c r="G96" s="351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78" t="s">
        <v>1428</v>
      </c>
      <c r="B100" s="3679"/>
      <c r="C100" s="3679"/>
      <c r="D100" s="3696"/>
      <c r="E100" s="3679" t="s">
        <v>1429</v>
      </c>
      <c r="F100" s="3679"/>
      <c r="G100" s="3679"/>
      <c r="H100" s="3696"/>
      <c r="I100" s="129"/>
    </row>
    <row r="101" spans="1:35" ht="18.75" customHeight="1">
      <c r="A101" s="3757" t="s">
        <v>1430</v>
      </c>
      <c r="B101" s="3758"/>
      <c r="C101" s="2580" t="str">
        <f>C4</f>
        <v>成本法 (元)-机械车库</v>
      </c>
      <c r="D101" s="2581" t="str">
        <f>D4</f>
        <v>收益法 (元)-机械车库</v>
      </c>
      <c r="E101" s="3771" t="s">
        <v>1431</v>
      </c>
      <c r="F101" s="3728"/>
      <c r="G101" s="1825" t="s">
        <v>1432</v>
      </c>
      <c r="H101" s="2590" t="e">
        <f ca="1">H118</f>
        <v>#REF!</v>
      </c>
      <c r="I101" s="129"/>
    </row>
    <row r="102" spans="1:35" ht="18.75" customHeight="1">
      <c r="A102" s="3730" t="s">
        <v>1433</v>
      </c>
      <c r="B102" s="2579" t="s">
        <v>1432</v>
      </c>
      <c r="C102" s="2580">
        <f ca="1">IF(D32="楼面单价",ROUND(C19,0),C19)</f>
        <v>36.516800000000003</v>
      </c>
      <c r="D102" s="2581">
        <f ca="1">IF(D32="楼面单价",ROUND(D19,0),D19)</f>
        <v>15.0589</v>
      </c>
      <c r="E102" s="3771"/>
      <c r="F102" s="3728"/>
      <c r="G102" s="1825" t="s">
        <v>1434</v>
      </c>
      <c r="H102" s="2550" t="e">
        <f ca="1">I118</f>
        <v>#REF!</v>
      </c>
      <c r="I102" s="129"/>
    </row>
    <row r="103" spans="1:35" ht="42.75" customHeight="1">
      <c r="A103" s="3730"/>
      <c r="B103" s="2579" t="s">
        <v>1434</v>
      </c>
      <c r="C103" s="2582">
        <f ca="1">C20</f>
        <v>6057</v>
      </c>
      <c r="D103" s="2583">
        <f ca="1">D20</f>
        <v>2498</v>
      </c>
      <c r="E103" s="3765" t="s">
        <v>1435</v>
      </c>
      <c r="F103" s="3766"/>
      <c r="G103" s="1826" t="s">
        <v>1436</v>
      </c>
      <c r="H103" s="2590">
        <f>IF(D36="正常操作",H104+H105+H106,H105+H106)</f>
        <v>0</v>
      </c>
      <c r="I103" s="129"/>
    </row>
    <row r="104" spans="1:35" ht="18.75" customHeight="1">
      <c r="A104" s="3730" t="s">
        <v>1437</v>
      </c>
      <c r="B104" s="2584" t="s">
        <v>1432</v>
      </c>
      <c r="C104" s="2585" t="e">
        <f ca="1">H118</f>
        <v>#REF!</v>
      </c>
      <c r="D104" s="2586"/>
      <c r="E104" s="1672" t="s">
        <v>1438</v>
      </c>
      <c r="F104" s="1664"/>
      <c r="G104" s="1826" t="s">
        <v>1436</v>
      </c>
      <c r="H104" s="2591">
        <f>IF(D36="同一抵押权人同一抵押物续贷",C36&amp;"（续贷，未扣减，详见特别提示）",C36)</f>
        <v>0</v>
      </c>
      <c r="I104" s="129"/>
    </row>
    <row r="105" spans="1:35" ht="18.75" customHeight="1" thickBot="1">
      <c r="A105" s="3731"/>
      <c r="B105" s="2587" t="s">
        <v>1434</v>
      </c>
      <c r="C105" s="2588" t="e">
        <f ca="1">I118</f>
        <v>#REF!</v>
      </c>
      <c r="D105" s="2589"/>
      <c r="E105" s="1672" t="s">
        <v>1439</v>
      </c>
      <c r="F105" s="1664"/>
      <c r="G105" s="1826" t="s">
        <v>1436</v>
      </c>
      <c r="H105" s="2592">
        <f>C37</f>
        <v>0</v>
      </c>
      <c r="I105" s="129"/>
    </row>
    <row r="106" spans="1:35" ht="18.75" customHeight="1">
      <c r="A106" s="1745" t="s">
        <v>1440</v>
      </c>
      <c r="B106" s="1745"/>
      <c r="C106" s="1745"/>
      <c r="D106" s="1745"/>
      <c r="E106" s="1827" t="s">
        <v>1441</v>
      </c>
      <c r="F106" s="1664"/>
      <c r="G106" s="1826" t="s">
        <v>1436</v>
      </c>
      <c r="H106" s="2592">
        <f>C38</f>
        <v>0</v>
      </c>
      <c r="I106" s="129"/>
    </row>
    <row r="107" spans="1:35" ht="18.75" customHeight="1">
      <c r="A107" s="129"/>
      <c r="B107" s="129"/>
      <c r="C107" s="129"/>
      <c r="D107" s="129"/>
      <c r="E107" s="3727" t="str">
        <f>IF(项目基本情况!E8="已注销","——","3.房地产抵押价值")</f>
        <v>3.房地产抵押价值</v>
      </c>
      <c r="F107" s="3728"/>
      <c r="G107" s="1825" t="s">
        <v>1432</v>
      </c>
      <c r="H107" s="2590" t="e">
        <f ca="1">IF(E107="——","——",H101-H103)</f>
        <v>#REF!</v>
      </c>
      <c r="I107" s="129"/>
    </row>
    <row r="108" spans="1:35" ht="18.75" customHeight="1">
      <c r="A108" s="129"/>
      <c r="B108" s="129"/>
      <c r="C108" s="129"/>
      <c r="D108" s="129"/>
      <c r="E108" s="3727"/>
      <c r="F108" s="3728"/>
      <c r="G108" s="1825" t="s">
        <v>1434</v>
      </c>
      <c r="H108" s="2550">
        <f ca="1">IF(H107=H101,H102,ROUND(H107*10000/'数据-汇总表'!E3,0))</f>
        <v>0</v>
      </c>
      <c r="I108" s="129"/>
    </row>
    <row r="109" spans="1:35" ht="18.75" customHeight="1">
      <c r="A109" s="129"/>
      <c r="B109" s="129"/>
      <c r="C109" s="129"/>
      <c r="D109" s="129"/>
      <c r="E109" s="3727" t="str">
        <f>IF(项目基本情况!E8="已注销及未注销","4.抵押担保权已注销时的房地产抵押价值",IF(项目基本情况!E8="已注销","3.抵押担保权已注销时的房地产抵押价值","——"))</f>
        <v>——</v>
      </c>
      <c r="F109" s="3728"/>
      <c r="G109" s="1825" t="s">
        <v>1432</v>
      </c>
      <c r="H109" s="2593" t="str">
        <f>IF(E109="——","——",H101-H105-H106)</f>
        <v>——</v>
      </c>
      <c r="I109" s="129"/>
    </row>
    <row r="110" spans="1:35" ht="18.75" customHeight="1">
      <c r="A110" s="129"/>
      <c r="B110" s="129"/>
      <c r="C110" s="129"/>
      <c r="D110" s="129"/>
      <c r="E110" s="3727"/>
      <c r="F110" s="3728"/>
      <c r="G110" s="1825" t="s">
        <v>1434</v>
      </c>
      <c r="H110" s="2550" t="str">
        <f>IF(H109="——","——",ROUND(H109*10000/'数据-汇总表'!E3,0))</f>
        <v>——</v>
      </c>
      <c r="I110" s="129"/>
    </row>
    <row r="111" spans="1:35" ht="18.75" customHeight="1">
      <c r="A111" s="129"/>
      <c r="B111" s="129"/>
      <c r="C111" s="129"/>
      <c r="D111" s="129"/>
      <c r="E111" s="3759" t="str">
        <f>IF(项目基本情况!E9="抵押净值",IF(OR(项目基本情况!E8="已注销",项目基本情况!E8="房地产抵押价值"),"4.抵押净值","5.抵押净值"),"——")</f>
        <v>——</v>
      </c>
      <c r="F111" s="3729"/>
      <c r="G111" s="1825" t="s">
        <v>1432</v>
      </c>
      <c r="H111" s="2590" t="str">
        <f>IF(E111="——","——",N59)</f>
        <v>——</v>
      </c>
      <c r="I111" s="129"/>
    </row>
    <row r="112" spans="1:35" ht="18.75" customHeight="1" thickBot="1">
      <c r="A112" s="129"/>
      <c r="B112" s="129"/>
      <c r="C112" s="129"/>
      <c r="D112" s="129"/>
      <c r="E112" s="3760"/>
      <c r="F112" s="3761"/>
      <c r="G112" s="1828" t="s">
        <v>1434</v>
      </c>
      <c r="H112" s="2594" t="str">
        <f>IF(E111="——","——",N61)</f>
        <v>——</v>
      </c>
      <c r="I112" s="129"/>
    </row>
    <row r="113" spans="1:27" ht="18.75" customHeight="1">
      <c r="A113" s="129"/>
      <c r="B113" s="129"/>
      <c r="C113" s="129"/>
      <c r="D113" s="129"/>
      <c r="E113" s="3732" t="s">
        <v>1440</v>
      </c>
      <c r="F113" s="3732"/>
      <c r="G113" s="3732"/>
      <c r="H113" s="3732"/>
      <c r="I113" s="129"/>
    </row>
    <row r="114" spans="1:27" ht="3.75" customHeight="1">
      <c r="A114" s="1745"/>
      <c r="B114" s="1745"/>
      <c r="C114" s="1745"/>
      <c r="D114" s="1745"/>
      <c r="E114" s="1807"/>
      <c r="F114" s="1807"/>
      <c r="G114" s="1807"/>
      <c r="H114" s="1807"/>
      <c r="I114" s="1745"/>
    </row>
    <row r="115" spans="1:27" ht="18.75" customHeight="1">
      <c r="A115" s="3742" t="s">
        <v>1442</v>
      </c>
      <c r="B115" s="3743"/>
      <c r="C115" s="3743"/>
      <c r="D115" s="3743"/>
      <c r="E115" s="3743"/>
      <c r="F115" s="3743"/>
      <c r="G115" s="3743"/>
      <c r="H115" s="3743"/>
      <c r="I115" s="3744"/>
    </row>
    <row r="116" spans="1:27" ht="27" customHeight="1">
      <c r="A116" s="3698" t="s">
        <v>1443</v>
      </c>
      <c r="B116" s="3733" t="s">
        <v>1444</v>
      </c>
      <c r="C116" s="3733" t="s">
        <v>1445</v>
      </c>
      <c r="D116" s="3746" t="s">
        <v>1446</v>
      </c>
      <c r="E116" s="3747"/>
      <c r="F116" s="3741" t="s">
        <v>1447</v>
      </c>
      <c r="G116" s="3741"/>
      <c r="H116" s="3698" t="s">
        <v>1448</v>
      </c>
      <c r="I116" s="3698"/>
    </row>
    <row r="117" spans="1:27" ht="18.75" customHeight="1">
      <c r="A117" s="3698"/>
      <c r="B117" s="3734"/>
      <c r="C117" s="3734"/>
      <c r="D117" s="3510" t="s">
        <v>1449</v>
      </c>
      <c r="E117" s="3510" t="s">
        <v>1450</v>
      </c>
      <c r="F117" s="3510" t="s">
        <v>1449</v>
      </c>
      <c r="G117" s="3510" t="s">
        <v>1451</v>
      </c>
      <c r="H117" s="3510" t="s">
        <v>1449</v>
      </c>
      <c r="I117" s="3510" t="s">
        <v>1451</v>
      </c>
    </row>
    <row r="118" spans="1:27" ht="24.75" customHeight="1">
      <c r="A118" s="2595" t="str">
        <f>项目基本情况!S2</f>
        <v>北京市房地产</v>
      </c>
      <c r="B118" s="3510">
        <f>M18</f>
        <v>29.05</v>
      </c>
      <c r="C118" s="3510">
        <f>M19</f>
        <v>0</v>
      </c>
      <c r="D118" s="3510" t="e">
        <f ca="1">ROUND(IF(D32="总价",C34,E118*B118/10000),0)</f>
        <v>#REF!</v>
      </c>
      <c r="E118" s="3510" t="e">
        <f ca="1">ROUND(IF(C33="自定义",IF(D32="楼面单价",C34,D118*10000/B118),I118-G118),0)</f>
        <v>#REF!</v>
      </c>
      <c r="F118" s="3510" t="e">
        <f ca="1">ROUND(IF(D32="总价",C35,G118*B118/10000),0)</f>
        <v>#REF!</v>
      </c>
      <c r="G118" s="3510" t="e">
        <f ca="1">ROUND(IF(D32="楼面单价",C35,F118*10000/B118),0)</f>
        <v>#REF!</v>
      </c>
      <c r="H118" s="3510" t="e">
        <f ca="1">ROUND(IF(D32="总价",C32,I118*B118/10000),0)</f>
        <v>#REF!</v>
      </c>
      <c r="I118" s="3510" t="e">
        <f ca="1">ROUND(IF(D32="楼面单价",C32,H118*10000/B118),0)</f>
        <v>#REF!</v>
      </c>
    </row>
    <row r="119" spans="1:27" ht="18.75" customHeight="1">
      <c r="A119" s="3698" t="s">
        <v>1452</v>
      </c>
      <c r="B119" s="3698"/>
      <c r="C119" s="3698"/>
      <c r="D119" s="3738" t="e">
        <f ca="1">NUMBERSTRING(INT(D118*10000),2)&amp;"元整"</f>
        <v>#REF!</v>
      </c>
      <c r="E119" s="3740"/>
      <c r="F119" s="3738" t="e">
        <f ca="1">NUMBERSTRING(INT(F118*10000),2)&amp;"元整"</f>
        <v>#REF!</v>
      </c>
      <c r="G119" s="3740"/>
      <c r="H119" s="3738" t="e">
        <f ca="1">NUMBERSTRING(INT(H118*10000),2)&amp;"元整"</f>
        <v>#REF!</v>
      </c>
      <c r="I119" s="3740"/>
    </row>
    <row r="120" spans="1:27" ht="18.75" customHeight="1">
      <c r="A120" s="3762" t="str">
        <f>IF(项目基本情况!B9="房地产市场价值","",MID(E103,3,LEN(E103)-2))</f>
        <v>估价师知悉的法定优先受偿款</v>
      </c>
      <c r="B120" s="3763"/>
      <c r="C120" s="3764"/>
      <c r="D120" s="3762">
        <f>H103</f>
        <v>0</v>
      </c>
      <c r="E120" s="3763"/>
      <c r="F120" s="3763"/>
      <c r="G120" s="3763"/>
      <c r="H120" s="3763"/>
      <c r="I120" s="376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38" t="s">
        <v>1452</v>
      </c>
      <c r="B121" s="3739"/>
      <c r="C121" s="3740"/>
      <c r="D121" s="3738" t="str">
        <f>IF(D120=0,"零元整",NUMBERSTRING(INT(D120*10000),2)&amp;"元整")</f>
        <v>零元整</v>
      </c>
      <c r="E121" s="3739"/>
      <c r="F121" s="3739"/>
      <c r="G121" s="3739"/>
      <c r="H121" s="3739"/>
      <c r="I121" s="3740"/>
      <c r="AA121" s="725"/>
    </row>
    <row r="122" spans="1:27" ht="18.75" customHeight="1">
      <c r="A122" s="3729" t="str">
        <f>IF(项目基本情况!B9="房地产市场价值","",MID(E107,3,LEN(E107)-2))</f>
        <v>房地产抵押价值</v>
      </c>
      <c r="B122" s="3729"/>
      <c r="C122" s="3729"/>
      <c r="D122" s="3762" t="e">
        <f ca="1">H107</f>
        <v>#REF!</v>
      </c>
      <c r="E122" s="3763"/>
      <c r="F122" s="3763"/>
      <c r="G122" s="3763"/>
      <c r="H122" s="3763"/>
      <c r="I122" s="3764"/>
      <c r="AA122" s="725"/>
    </row>
    <row r="123" spans="1:27" ht="18.75" customHeight="1">
      <c r="A123" s="3698" t="s">
        <v>1452</v>
      </c>
      <c r="B123" s="3698"/>
      <c r="C123" s="3698"/>
      <c r="D123" s="3738" t="e">
        <f ca="1">NUMBERSTRING(INT(D122*10000),2)&amp;"元整"</f>
        <v>#REF!</v>
      </c>
      <c r="E123" s="3739"/>
      <c r="F123" s="3739"/>
      <c r="G123" s="3739"/>
      <c r="H123" s="3739"/>
      <c r="I123" s="3740"/>
      <c r="AA123" s="725"/>
    </row>
    <row r="124" spans="1:27" ht="18.75" customHeight="1">
      <c r="A124" s="3729" t="str">
        <f>IF(项目基本情况!B9="房地产市场价值","",MID(E109,3,LEN(E109)-2))</f>
        <v/>
      </c>
      <c r="B124" s="3729"/>
      <c r="C124" s="3729"/>
      <c r="D124" s="3762" t="str">
        <f>H109</f>
        <v>——</v>
      </c>
      <c r="E124" s="3763"/>
      <c r="F124" s="3763"/>
      <c r="G124" s="3763"/>
      <c r="H124" s="3763"/>
      <c r="I124" s="3764"/>
      <c r="AA124" s="725"/>
    </row>
    <row r="125" spans="1:27" ht="18.75" customHeight="1">
      <c r="A125" s="3698" t="s">
        <v>1452</v>
      </c>
      <c r="B125" s="3698"/>
      <c r="C125" s="3698"/>
      <c r="D125" s="3738" t="e">
        <f>NUMBERSTRING(INT(D124*10000),2)&amp;"元整"</f>
        <v>#VALUE!</v>
      </c>
      <c r="E125" s="3739"/>
      <c r="F125" s="3739"/>
      <c r="G125" s="3739"/>
      <c r="H125" s="3739"/>
      <c r="I125" s="3740"/>
      <c r="AA125" s="725"/>
    </row>
    <row r="126" spans="1:27" ht="18.75" customHeight="1">
      <c r="A126" s="3729" t="str">
        <f>IF(项目基本情况!B9="房地产市场价值","",MID(E111,3,LEN(E111)-2))</f>
        <v/>
      </c>
      <c r="B126" s="3729"/>
      <c r="C126" s="3729"/>
      <c r="D126" s="3762" t="str">
        <f>H111</f>
        <v>——</v>
      </c>
      <c r="E126" s="3763"/>
      <c r="F126" s="3763"/>
      <c r="G126" s="3763"/>
      <c r="H126" s="3763"/>
      <c r="I126" s="3764"/>
      <c r="AA126" s="725"/>
    </row>
    <row r="127" spans="1:27" ht="18.75" customHeight="1">
      <c r="A127" s="3698" t="s">
        <v>1452</v>
      </c>
      <c r="B127" s="3698"/>
      <c r="C127" s="3698"/>
      <c r="D127" s="3738" t="e">
        <f>NUMBERSTRING(INT(D126*10000),2)&amp;"元整"</f>
        <v>#VALUE!</v>
      </c>
      <c r="E127" s="3739"/>
      <c r="F127" s="3739"/>
      <c r="G127" s="3739"/>
      <c r="H127" s="3739"/>
      <c r="I127" s="3740"/>
      <c r="AA127" s="725"/>
    </row>
    <row r="128" spans="1:27" ht="21.75" customHeight="1">
      <c r="A128" s="3745" t="s">
        <v>1453</v>
      </c>
      <c r="B128" s="3745"/>
      <c r="C128" s="3745"/>
      <c r="D128" s="3745"/>
      <c r="E128" s="3745"/>
      <c r="F128" s="3745"/>
      <c r="G128" s="3745"/>
      <c r="H128" s="3745"/>
      <c r="I128" s="3745"/>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 priority="10" stopIfTrue="1" operator="equal">
      <formula>25</formula>
    </cfRule>
  </conditionalFormatting>
  <conditionalFormatting sqref="C8:C9">
    <cfRule type="cellIs" dxfId="14" priority="9" stopIfTrue="1" operator="equal">
      <formula>15</formula>
    </cfRule>
  </conditionalFormatting>
  <conditionalFormatting sqref="C14:C16">
    <cfRule type="cellIs" dxfId="13" priority="8" stopIfTrue="1" operator="equal">
      <formula>30</formula>
    </cfRule>
  </conditionalFormatting>
  <conditionalFormatting sqref="D5:D7">
    <cfRule type="cellIs" dxfId="12" priority="7" stopIfTrue="1" operator="equal">
      <formula>25</formula>
    </cfRule>
  </conditionalFormatting>
  <conditionalFormatting sqref="D8:D9">
    <cfRule type="cellIs" dxfId="11" priority="6" stopIfTrue="1" operator="equal">
      <formula>15</formula>
    </cfRule>
  </conditionalFormatting>
  <conditionalFormatting sqref="C10:D13">
    <cfRule type="cellIs" dxfId="10" priority="5" stopIfTrue="1" operator="equal">
      <formula>15</formula>
    </cfRule>
  </conditionalFormatting>
  <conditionalFormatting sqref="D14:D16">
    <cfRule type="cellIs" dxfId="9" priority="4" stopIfTrue="1" operator="equal">
      <formula>30</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E36">
    <cfRule type="expression" dxfId="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27" sqref="K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8" t="s">
        <v>4905</v>
      </c>
      <c r="C1" s="1857" t="s">
        <v>1563</v>
      </c>
      <c r="D1" s="198"/>
      <c r="E1" s="198"/>
      <c r="F1" s="198"/>
      <c r="G1" s="1125">
        <f>MATCH(B1,'数据-取费表'!A6:A16,0)+5</f>
        <v>8</v>
      </c>
      <c r="H1" s="1060" t="str">
        <f>IF(ISERROR(FIND("住宅",B1)),"非住宅","住宅")</f>
        <v>非住宅</v>
      </c>
    </row>
    <row r="2" spans="1:9" s="200" customFormat="1" ht="18" customHeight="1">
      <c r="A2" s="201" t="s">
        <v>685</v>
      </c>
      <c r="B2" s="3419">
        <f ca="1">ROUND(IF(D2="——",C52/10000,C52/10000-E2),4)</f>
        <v>36.516800000000003</v>
      </c>
      <c r="C2" s="199" t="s">
        <v>1463</v>
      </c>
      <c r="D2" s="1851" t="s">
        <v>43</v>
      </c>
      <c r="E2" s="1168" t="e">
        <f ca="1">SUMIF(INDIRECT("'"&amp;G2&amp;"'"&amp;"!A:A"),"承租人权益价值",INDIRECT("'"&amp;G2&amp;"'"&amp;"!c:c"))</f>
        <v>#REF!</v>
      </c>
      <c r="F2" s="1852" t="s">
        <v>1463</v>
      </c>
      <c r="G2" s="1853"/>
    </row>
    <row r="3" spans="1:9" s="200" customFormat="1" ht="18" customHeight="1" thickBot="1">
      <c r="A3" s="203" t="s">
        <v>686</v>
      </c>
      <c r="B3" s="204">
        <f ca="1">ROUND(B2*10000/(IF(B1="",'数据-汇总表'!E3,INDIRECT("'数据-取费表'!k"&amp;$G$1))),0)</f>
        <v>6057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42706</v>
      </c>
      <c r="D5" s="211" t="s">
        <v>1469</v>
      </c>
      <c r="E5" s="212" t="s">
        <v>1470</v>
      </c>
      <c r="F5" s="212" t="s">
        <v>1471</v>
      </c>
      <c r="G5" s="213"/>
    </row>
    <row r="6" spans="1:9" s="214" customFormat="1" ht="13.5" customHeight="1">
      <c r="A6" s="778" t="s">
        <v>346</v>
      </c>
      <c r="B6" s="215" t="s">
        <v>1473</v>
      </c>
      <c r="C6" s="216">
        <f ca="1">ROUND(D10*I7,0)</f>
        <v>30326</v>
      </c>
      <c r="D6" s="217"/>
      <c r="E6" s="218"/>
      <c r="F6" s="218"/>
      <c r="G6" s="219"/>
    </row>
    <row r="7" spans="1:9" s="214" customFormat="1" ht="13.5" customHeight="1">
      <c r="A7" s="778" t="s">
        <v>1474</v>
      </c>
      <c r="B7" s="215" t="s">
        <v>1475</v>
      </c>
      <c r="C7" s="220">
        <f ca="1">ROUND(C6*F7,0)</f>
        <v>925</v>
      </c>
      <c r="D7" s="220"/>
      <c r="E7" s="218"/>
      <c r="F7" s="221">
        <f>IF(项目基本情况!B8="出让",0,'数据-取费表'!B48+'数据-取费表'!B49)</f>
        <v>3.0499999999999999E-2</v>
      </c>
      <c r="G7" s="219"/>
      <c r="I7" s="214">
        <f>'土地比较法-住宅、综合'!B62</f>
        <v>503</v>
      </c>
    </row>
    <row r="8" spans="1:9" s="223" customFormat="1">
      <c r="A8" s="778" t="s">
        <v>348</v>
      </c>
      <c r="B8" s="215" t="s">
        <v>1477</v>
      </c>
      <c r="C8" s="220">
        <f ca="1">IF(G8="已包含在土地购买价格中",0,C9+C10)</f>
        <v>11455</v>
      </c>
      <c r="D8" s="222"/>
      <c r="E8" s="220"/>
      <c r="F8" s="221"/>
      <c r="G8" s="1854" t="s">
        <v>3907</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9" s="214" customFormat="1" ht="13.5" customHeight="1">
      <c r="A10" s="779" t="s">
        <v>356</v>
      </c>
      <c r="B10" s="224" t="s">
        <v>1480</v>
      </c>
      <c r="C10" s="225">
        <f ca="1">ROUND(D10*E10,0)</f>
        <v>11455</v>
      </c>
      <c r="D10" s="845">
        <f ca="1">IF(B1="",'数据-汇总表'!E6,IF(INDIRECT("'数据-取费表'!c"&amp;$G$1)="住宅",INDIRECT("'数据-取费表'!s"&amp;$G$1),INDIRECT("'数据-取费表'!k"&amp;$G$1)+INDIRECT("'数据-取费表'!s"&amp;$G$1)))</f>
        <v>60.29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IF(G19="已包含在土地取得成本中","0",ROUND(D19*E19,0))</f>
        <v>0</v>
      </c>
      <c r="D19" s="849">
        <f ca="1">D9+D10</f>
        <v>60.29</v>
      </c>
      <c r="E19" s="211">
        <f>'数据-取费表'!B31</f>
        <v>200</v>
      </c>
      <c r="F19" s="231"/>
      <c r="G19" s="1854" t="s">
        <v>3909</v>
      </c>
    </row>
    <row r="20" spans="1:7" s="214" customFormat="1" ht="13.5" customHeight="1">
      <c r="A20" s="255" t="s">
        <v>1493</v>
      </c>
      <c r="B20" s="210" t="s">
        <v>1494</v>
      </c>
      <c r="C20" s="232">
        <f ca="1">ROUND((C5+C19)*F20,0)</f>
        <v>854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26">
        <f ca="1">ROUND(SUM(C23:C25),0)</f>
        <v>3116</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346</v>
      </c>
      <c r="B23" s="215" t="s">
        <v>1503</v>
      </c>
      <c r="C23" s="1127">
        <f ca="1">ROUND(IF('数据-取费表'!B22&lt;=1,C5*F22*'数据-取费表'!B22,C5*(POWER((1+F22),'数据-取费表'!B22)-1)),0)</f>
        <v>3086</v>
      </c>
      <c r="D23" s="238"/>
      <c r="E23" s="238"/>
      <c r="F23" s="239"/>
      <c r="G23" s="240" t="s">
        <v>1504</v>
      </c>
    </row>
    <row r="24" spans="1:7" s="214" customFormat="1" ht="13.5" customHeight="1">
      <c r="A24" s="780" t="s">
        <v>1474</v>
      </c>
      <c r="B24" s="215" t="s">
        <v>1506</v>
      </c>
      <c r="C24" s="1127">
        <f ca="1">ROUND(IF('数据-取费表'!B22&lt;=1,C19*F22*('数据-取费表'!B19/2+'数据-取费表'!B20),C19*(POWER((1+F22),('数据-取费表'!B19/2+'数据-取费表'!B20))-1)),0)</f>
        <v>0</v>
      </c>
      <c r="D24" s="238"/>
      <c r="E24" s="238"/>
      <c r="F24" s="239"/>
      <c r="G24" s="240" t="s">
        <v>1507</v>
      </c>
    </row>
    <row r="25" spans="1:7" s="214" customFormat="1" ht="24">
      <c r="A25" s="780" t="s">
        <v>348</v>
      </c>
      <c r="B25" s="215" t="s">
        <v>1509</v>
      </c>
      <c r="C25" s="1127">
        <f ca="1">ROUND(IF('数据-取费表'!B22&lt;=1,C20*F22*'数据-取费表'!B22/2,C20*(POWER((1+F22),'数据-取费表'!B22/2)-1)),0)</f>
        <v>30</v>
      </c>
      <c r="D25" s="238"/>
      <c r="E25" s="241"/>
      <c r="F25" s="239"/>
      <c r="G25" s="242" t="s">
        <v>1510</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4356</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ROUND((C5+C19+C20)*F27,0)</f>
        <v>4356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0</v>
      </c>
      <c r="D30" s="236" t="s">
        <v>1498</v>
      </c>
      <c r="E30" s="241"/>
      <c r="F30" s="237">
        <f>'数据-取费表'!B41</f>
        <v>0</v>
      </c>
      <c r="G30" s="234" t="s">
        <v>1520</v>
      </c>
    </row>
    <row r="31" spans="1:7" ht="16.5" customHeight="1">
      <c r="A31" s="209">
        <v>1</v>
      </c>
      <c r="B31" s="210" t="s">
        <v>1521</v>
      </c>
      <c r="C31" s="211">
        <f ca="1">ROUND((C5+C19+C20+C22+C27)/(1-C21-D22-D27-C30),0)</f>
        <v>52217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264070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241160</v>
      </c>
      <c r="D34" s="217"/>
      <c r="E34" s="220"/>
      <c r="F34" s="257"/>
      <c r="G34" s="219"/>
    </row>
    <row r="35" spans="1:7" ht="13.5" customHeight="1">
      <c r="A35" s="780" t="s">
        <v>351</v>
      </c>
      <c r="B35" s="215" t="s">
        <v>1527</v>
      </c>
      <c r="C35" s="220">
        <f ca="1">ROUND(C34*F35,0)</f>
        <v>7235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12058</v>
      </c>
      <c r="D37" s="217">
        <f ca="1">D19</f>
        <v>60.29</v>
      </c>
      <c r="E37" s="249">
        <f>'数据-取费表'!B35</f>
        <v>200</v>
      </c>
      <c r="F37" s="259"/>
      <c r="G37" s="261"/>
    </row>
    <row r="38" spans="1:7" ht="13.5" customHeight="1">
      <c r="A38" s="780" t="s">
        <v>354</v>
      </c>
      <c r="B38" s="215" t="s">
        <v>1533</v>
      </c>
      <c r="C38" s="220">
        <f ca="1">ROUND(C34*F38,0)</f>
        <v>3617</v>
      </c>
      <c r="D38" s="220"/>
      <c r="E38" s="220"/>
      <c r="F38" s="259">
        <f>'数据-取费表'!B36</f>
        <v>1.4999999999999999E-2</v>
      </c>
      <c r="G38" s="219" t="s">
        <v>1528</v>
      </c>
    </row>
    <row r="39" spans="1:7" s="214" customFormat="1" ht="13.5" customHeight="1">
      <c r="A39" s="255" t="s">
        <v>1491</v>
      </c>
      <c r="B39" s="210" t="s">
        <v>1494</v>
      </c>
      <c r="C39" s="232">
        <f ca="1">ROUND(C33*F20,0)</f>
        <v>5281</v>
      </c>
      <c r="D39" s="232"/>
      <c r="E39" s="232"/>
      <c r="F39" s="233">
        <f>F20</f>
        <v>0.02</v>
      </c>
      <c r="G39" s="234" t="s">
        <v>1536</v>
      </c>
    </row>
    <row r="40" spans="1:7" s="214" customFormat="1" ht="13.5" customHeight="1">
      <c r="A40" s="255" t="s">
        <v>1493</v>
      </c>
      <c r="B40" s="210" t="s">
        <v>1497</v>
      </c>
      <c r="C40" s="1325">
        <f>F21</f>
        <v>0.02</v>
      </c>
      <c r="D40" s="236" t="s">
        <v>1539</v>
      </c>
      <c r="E40" s="232"/>
      <c r="F40" s="233">
        <f>F21</f>
        <v>0.02</v>
      </c>
      <c r="G40" s="234" t="s">
        <v>1540</v>
      </c>
    </row>
    <row r="41" spans="1:7" s="214" customFormat="1" ht="13.5" customHeight="1">
      <c r="A41" s="255" t="s">
        <v>1496</v>
      </c>
      <c r="B41" s="210" t="s">
        <v>1501</v>
      </c>
      <c r="C41" s="232">
        <f ca="1">ROUND(SUM(C42:C43),0)</f>
        <v>9561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1503</v>
      </c>
      <c r="C42" s="238">
        <f ca="1">ROUND(IF('数据-取费表'!B22&lt;=1,C33*F22*'数据-取费表'!B20/2,C33*(POWER((1+F22),'数据-取费表'!B20/2)-1)),0)</f>
        <v>9374</v>
      </c>
      <c r="D42" s="238"/>
      <c r="E42" s="238"/>
      <c r="F42" s="239"/>
      <c r="G42" s="3824" t="s">
        <v>1591</v>
      </c>
    </row>
    <row r="43" spans="1:7" ht="13.5" customHeight="1">
      <c r="A43" s="780" t="s">
        <v>347</v>
      </c>
      <c r="B43" s="215" t="s">
        <v>1506</v>
      </c>
      <c r="C43" s="238">
        <f ca="1">ROUND(IF('数据-取费表'!B22&lt;=1,C39*F22*'数据-取费表'!B20/2,C39*(POWER((1+F22),'数据-取费表'!B20/2)-1)),0)</f>
        <v>187</v>
      </c>
      <c r="D43" s="238"/>
      <c r="E43" s="238"/>
      <c r="F43" s="239"/>
      <c r="G43" s="3825"/>
    </row>
    <row r="44" spans="1:7" ht="13.5" customHeight="1">
      <c r="A44" s="780" t="s">
        <v>348</v>
      </c>
      <c r="B44" s="215" t="s">
        <v>1509</v>
      </c>
      <c r="C44" s="238">
        <f ca="1">ROUND(IF('数据-取费表'!B22&lt;=1,C40*F22*'数据-取费表'!B20/2,C40*(POWER((1+F22),'数据-取费表'!B20/2)-1)),4)</f>
        <v>6.9999999999999999E-4</v>
      </c>
      <c r="D44" s="238"/>
      <c r="E44" s="238"/>
      <c r="F44" s="239"/>
      <c r="G44" s="3826"/>
    </row>
    <row r="45" spans="1:7" s="214" customFormat="1" ht="13.5" customHeight="1">
      <c r="A45" s="255" t="s">
        <v>1500</v>
      </c>
      <c r="B45" s="244" t="s">
        <v>1513</v>
      </c>
      <c r="C45" s="245">
        <f ca="1">C46</f>
        <v>26935</v>
      </c>
      <c r="D45" s="235">
        <f ca="1">C47</f>
        <v>2E-3</v>
      </c>
      <c r="E45" s="236" t="s">
        <v>1539</v>
      </c>
      <c r="F45" s="246">
        <f ca="1">F27</f>
        <v>0.1</v>
      </c>
      <c r="G45" s="247" t="s">
        <v>1548</v>
      </c>
    </row>
    <row r="46" spans="1:7" s="214" customFormat="1" ht="13.5" customHeight="1">
      <c r="A46" s="780" t="s">
        <v>346</v>
      </c>
      <c r="B46" s="248" t="s">
        <v>1549</v>
      </c>
      <c r="C46" s="249">
        <f ca="1">ROUND((C33+C39)*F27,0)</f>
        <v>26935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312951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312951</v>
      </c>
      <c r="D51" s="232"/>
      <c r="E51" s="232"/>
      <c r="F51" s="264"/>
      <c r="G51" s="234" t="s">
        <v>1560</v>
      </c>
    </row>
    <row r="52" spans="1:7" s="208" customFormat="1" ht="16.5" thickBot="1">
      <c r="A52" s="265" t="s">
        <v>1561</v>
      </c>
      <c r="B52" s="266"/>
      <c r="C52" s="267">
        <f ca="1">C31+C51</f>
        <v>365168</v>
      </c>
      <c r="D52" s="266"/>
      <c r="E52" s="266"/>
      <c r="F52" s="266"/>
      <c r="G52" s="268"/>
    </row>
    <row r="55" spans="1:7" ht="15">
      <c r="B55" s="270" t="s">
        <v>1562</v>
      </c>
      <c r="C55" s="271"/>
    </row>
    <row r="56" spans="1:7">
      <c r="B56" s="273" t="s">
        <v>802</v>
      </c>
      <c r="C56" s="275">
        <f ca="1">1-C57</f>
        <v>0.14300000000000002</v>
      </c>
    </row>
    <row r="57" spans="1:7">
      <c r="B57" s="273" t="s">
        <v>803</v>
      </c>
      <c r="C57" s="274">
        <f ca="1">ROUND(C51/C52,3)</f>
        <v>0.85699999999999998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4905</v>
      </c>
      <c r="D1" s="1360" t="s">
        <v>43</v>
      </c>
      <c r="E1" s="1361" t="s">
        <v>678</v>
      </c>
      <c r="F1" s="1061">
        <f ca="1">J53</f>
        <v>46.25</v>
      </c>
      <c r="G1" s="1376">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3420">
        <f ca="1">ROUND(D2/10000,4)</f>
        <v>15.0589</v>
      </c>
      <c r="C2" s="1385" t="s">
        <v>805</v>
      </c>
      <c r="D2" s="1469">
        <f ca="1">C40+J29+L46</f>
        <v>150589</v>
      </c>
      <c r="E2" s="1386" t="s">
        <v>880</v>
      </c>
      <c r="F2" s="1387"/>
      <c r="G2" s="2701"/>
      <c r="H2" s="2690"/>
      <c r="I2" s="2690"/>
      <c r="J2" s="2690"/>
      <c r="K2" s="2691"/>
      <c r="L2" s="2690"/>
      <c r="M2" s="2690"/>
    </row>
    <row r="3" spans="1:37" ht="18" customHeight="1" thickBot="1">
      <c r="A3" s="1388" t="s">
        <v>806</v>
      </c>
      <c r="B3" s="1389">
        <f ca="1">IF(ISERROR(D2/F43),0,ROUND(D2/F43,0))</f>
        <v>2498</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10800</v>
      </c>
      <c r="D5" s="1362" t="s">
        <v>693</v>
      </c>
      <c r="E5" s="1070"/>
      <c r="F5" s="1071"/>
      <c r="G5" s="1382"/>
      <c r="H5" s="299">
        <v>1</v>
      </c>
      <c r="I5" s="300" t="s">
        <v>692</v>
      </c>
      <c r="J5" s="1069">
        <f ca="1">J6+J10+J12</f>
        <v>0</v>
      </c>
      <c r="K5" s="1362" t="s">
        <v>693</v>
      </c>
      <c r="L5" s="1070"/>
      <c r="M5" s="1071"/>
    </row>
    <row r="6" spans="1:37" ht="18" customHeight="1">
      <c r="A6" s="1068" t="s">
        <v>398</v>
      </c>
      <c r="B6" s="3833" t="s">
        <v>694</v>
      </c>
      <c r="C6" s="1073">
        <f ca="1">ROUND(F6*F8*F7*(1-F9),0)</f>
        <v>10800</v>
      </c>
      <c r="D6" s="155" t="s">
        <v>2104</v>
      </c>
      <c r="E6" s="302" t="s">
        <v>696</v>
      </c>
      <c r="F6" s="303">
        <f ca="1">INDIRECT("'数据-取费表'!u"&amp;$G$1)</f>
        <v>1000</v>
      </c>
      <c r="G6" s="1382"/>
      <c r="H6" s="1068" t="s">
        <v>398</v>
      </c>
      <c r="I6" s="3833" t="s">
        <v>694</v>
      </c>
      <c r="J6" s="301">
        <f ca="1">ROUND(M6*M8*M7*(1-M9),0)</f>
        <v>0</v>
      </c>
      <c r="K6" s="1374" t="s">
        <v>2105</v>
      </c>
      <c r="L6" s="302" t="s">
        <v>696</v>
      </c>
      <c r="M6" s="303">
        <f ca="1">INDIRECT("'数据-取费表'!z"&amp;$G$1)</f>
        <v>0</v>
      </c>
    </row>
    <row r="7" spans="1:37" ht="18" customHeight="1">
      <c r="A7" s="1072"/>
      <c r="B7" s="3834"/>
      <c r="C7" s="1074"/>
      <c r="D7" s="307"/>
      <c r="E7" s="3509" t="s">
        <v>697</v>
      </c>
      <c r="F7" s="303">
        <f ca="1">IF(INDIRECT("'数据-取费表'!ah"&amp;$G$1)="",INDIRECT("'数据-取费表'!k"&amp;$G$1),INDIRECT("'数据-取费表'!ah"&amp;$G$1))</f>
        <v>1</v>
      </c>
      <c r="G7" s="1382"/>
      <c r="H7" s="304"/>
      <c r="I7" s="3834"/>
      <c r="J7" s="306"/>
      <c r="K7" s="307"/>
      <c r="L7" s="302" t="s">
        <v>697</v>
      </c>
      <c r="M7" s="303">
        <f ca="1">F7</f>
        <v>1</v>
      </c>
    </row>
    <row r="8" spans="1:37" ht="18" customHeight="1">
      <c r="A8" s="304"/>
      <c r="B8" s="3834"/>
      <c r="C8" s="306"/>
      <c r="D8" s="307"/>
      <c r="E8" s="302" t="s">
        <v>698</v>
      </c>
      <c r="F8" s="303">
        <f ca="1">INDIRECT("'数据-取费表'!ai"&amp;$G$1)</f>
        <v>12</v>
      </c>
      <c r="G8" s="1382"/>
      <c r="H8" s="304"/>
      <c r="I8" s="3834"/>
      <c r="J8" s="306"/>
      <c r="K8" s="307"/>
      <c r="L8" s="302" t="s">
        <v>698</v>
      </c>
      <c r="M8" s="303">
        <f ca="1">INDIRECT("'数据-取费表'!ai"&amp;$G$1)</f>
        <v>12</v>
      </c>
    </row>
    <row r="9" spans="1:37" ht="18" customHeight="1">
      <c r="A9" s="304"/>
      <c r="B9" s="3835"/>
      <c r="C9" s="306"/>
      <c r="D9" s="307"/>
      <c r="E9" s="302" t="s">
        <v>699</v>
      </c>
      <c r="F9" s="312">
        <f ca="1">INDIRECT("'数据-取费表'!w"&amp;$G$1)</f>
        <v>0.1</v>
      </c>
      <c r="G9" s="1382"/>
      <c r="H9" s="304"/>
      <c r="I9" s="383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3922</v>
      </c>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312951</v>
      </c>
      <c r="D13" s="3502" t="s">
        <v>705</v>
      </c>
      <c r="E13" s="3502" t="s">
        <v>706</v>
      </c>
      <c r="F13" s="1081">
        <f ca="1">INDIRECT("'数据-取费表'!y"&amp;$G$1)</f>
        <v>1</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241160</v>
      </c>
      <c r="D14" s="3519" t="s">
        <v>708</v>
      </c>
      <c r="E14" s="3518"/>
      <c r="F14" s="319"/>
      <c r="G14" s="1382"/>
      <c r="H14" s="982" t="s">
        <v>398</v>
      </c>
      <c r="I14" s="302" t="s">
        <v>709</v>
      </c>
      <c r="J14" s="21">
        <f ca="1">C29</f>
        <v>312951</v>
      </c>
      <c r="K14" s="3507"/>
      <c r="L14" s="807"/>
      <c r="M14" s="808"/>
    </row>
    <row r="15" spans="1:37" s="1395" customFormat="1" ht="18" customHeight="1" thickBot="1">
      <c r="A15" s="982" t="s">
        <v>399</v>
      </c>
      <c r="B15" s="302" t="s">
        <v>710</v>
      </c>
      <c r="C15" s="21">
        <f ca="1">ROUND(C14*F15,0)</f>
        <v>7235</v>
      </c>
      <c r="D15" s="3503" t="s">
        <v>711</v>
      </c>
      <c r="E15" s="3503"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3130</v>
      </c>
      <c r="K16" s="1086" t="s">
        <v>715</v>
      </c>
      <c r="L16" s="3523"/>
      <c r="M16" s="1071"/>
    </row>
    <row r="17" spans="1:37" s="1395" customFormat="1" ht="18" customHeight="1">
      <c r="A17" s="982" t="s">
        <v>681</v>
      </c>
      <c r="B17" s="302" t="s">
        <v>716</v>
      </c>
      <c r="C17" s="21">
        <f ca="1">ROUND(F17*(F43+INDIRECT("'数据-取费表'!S"&amp;$G$1)),0)</f>
        <v>12058</v>
      </c>
      <c r="D17" s="302" t="s">
        <v>717</v>
      </c>
      <c r="E17" s="302" t="s">
        <v>718</v>
      </c>
      <c r="F17" s="23">
        <f>'数据-取费表'!B35</f>
        <v>200</v>
      </c>
      <c r="G17" s="1394"/>
      <c r="H17" s="982" t="s">
        <v>398</v>
      </c>
      <c r="I17" s="302" t="s">
        <v>719</v>
      </c>
      <c r="J17" s="2311">
        <f ca="1">ROUND(IF(AND(项目基本情况!B11="自然人",项目基本情况!B10="北京市"),J6*M17/(1+'数据-取费表'!C42),J18+J19+J20),0)</f>
        <v>0</v>
      </c>
      <c r="K17" s="3519" t="s">
        <v>720</v>
      </c>
      <c r="L17" s="3522" t="s">
        <v>721</v>
      </c>
      <c r="M17" s="2310"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3617</v>
      </c>
      <c r="D18" s="302" t="s">
        <v>711</v>
      </c>
      <c r="E18" s="302" t="s">
        <v>712</v>
      </c>
      <c r="F18" s="322">
        <f>'数据-取费表'!B36</f>
        <v>1.4999999999999999E-2</v>
      </c>
      <c r="G18" s="1394"/>
      <c r="H18" s="982" t="s">
        <v>397</v>
      </c>
      <c r="I18" s="302" t="s">
        <v>723</v>
      </c>
      <c r="J18" s="21">
        <f ca="1">ROUND(J6*M18/(1+'数据-取费表'!C42),0)</f>
        <v>0</v>
      </c>
      <c r="K18" s="3522" t="s">
        <v>724</v>
      </c>
      <c r="L18" s="302" t="s">
        <v>712</v>
      </c>
      <c r="M18" s="322">
        <f>'数据-取费表'!B41</f>
        <v>0</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264070</v>
      </c>
      <c r="D19" s="131" t="s">
        <v>726</v>
      </c>
      <c r="E19" s="3526"/>
      <c r="F19" s="23"/>
      <c r="G19" s="1382"/>
      <c r="H19" s="982"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2" t="s">
        <v>402</v>
      </c>
      <c r="B20" s="302" t="s">
        <v>728</v>
      </c>
      <c r="C20" s="21">
        <f ca="1">ROUND(C19*F20,0)</f>
        <v>5281</v>
      </c>
      <c r="D20" s="2423" t="s">
        <v>729</v>
      </c>
      <c r="E20" s="302" t="s">
        <v>712</v>
      </c>
      <c r="F20" s="322">
        <f>'数据-取费表'!B37</f>
        <v>0.02</v>
      </c>
      <c r="G20" s="1394"/>
      <c r="H20" s="982"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24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526"/>
      <c r="F22" s="23"/>
      <c r="G22" s="1382"/>
      <c r="H22" s="982" t="s">
        <v>402</v>
      </c>
      <c r="I22" s="302" t="s">
        <v>738</v>
      </c>
      <c r="J22" s="21">
        <f ca="1">ROUND(J14*M22,0)</f>
        <v>3130</v>
      </c>
      <c r="K22" s="3522" t="s">
        <v>739</v>
      </c>
      <c r="L22" s="302" t="s">
        <v>712</v>
      </c>
      <c r="M22" s="328">
        <f ca="1">INDIRECT("'数据-取费表'!Ak"&amp;$G$1)</f>
        <v>0.01</v>
      </c>
    </row>
    <row r="23" spans="1:37" s="1395" customFormat="1" ht="18" customHeight="1">
      <c r="A23" s="982" t="s">
        <v>397</v>
      </c>
      <c r="B23" s="302" t="s">
        <v>740</v>
      </c>
      <c r="C23" s="21">
        <f ca="1">IF('数据-取费表'!B22&lt;=1,ROUND(C19*F24*F23/2,0)+ROUND(C20*F24*F23/2,0),ROUND(C19*(POWER((1+F24),F23/2)-1),0)+ROUND(C20*(POWER((1+F24),F23/2)-1),0))</f>
        <v>9561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3522"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8" t="s">
        <v>683</v>
      </c>
      <c r="I24" s="1089" t="s">
        <v>728</v>
      </c>
      <c r="J24" s="1090">
        <f ca="1">ROUND(J5*M24,0)</f>
        <v>0</v>
      </c>
      <c r="K24" s="1091" t="s">
        <v>748</v>
      </c>
      <c r="L24" s="1089" t="s">
        <v>712</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3526"/>
      <c r="F25" s="23"/>
      <c r="G25" s="1382"/>
      <c r="H25" s="1078" t="s">
        <v>394</v>
      </c>
      <c r="I25" s="1093" t="s">
        <v>752</v>
      </c>
      <c r="J25" s="310">
        <f ca="1">J5-J16</f>
        <v>-3130</v>
      </c>
      <c r="K25" s="1094" t="s">
        <v>753</v>
      </c>
      <c r="L25" s="1095"/>
      <c r="M25" s="1096"/>
    </row>
    <row r="26" spans="1:37" ht="18" customHeight="1">
      <c r="A26" s="982" t="s">
        <v>397</v>
      </c>
      <c r="B26" s="302" t="s">
        <v>754</v>
      </c>
      <c r="C26" s="21">
        <f ca="1">ROUND((C19+C20)*F26,0)</f>
        <v>26935</v>
      </c>
      <c r="D26" s="2423"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3" t="s">
        <v>761</v>
      </c>
      <c r="E27" s="3503"/>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0</v>
      </c>
      <c r="D28" s="2423" t="s">
        <v>765</v>
      </c>
      <c r="E28" s="302" t="s">
        <v>712</v>
      </c>
      <c r="F28" s="322">
        <f>'数据-取费表'!B41</f>
        <v>0</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312951</v>
      </c>
      <c r="D29" s="1091"/>
      <c r="E29" s="1089"/>
      <c r="F29" s="1092"/>
      <c r="G29" s="1394"/>
      <c r="H29" s="334" t="s">
        <v>396</v>
      </c>
      <c r="I29" s="335" t="s">
        <v>768</v>
      </c>
      <c r="J29" s="336">
        <f ca="1">ROUND(J26/(1+F40)^F41,0)</f>
        <v>0</v>
      </c>
      <c r="K29" s="337" t="s">
        <v>769</v>
      </c>
      <c r="L29" s="338"/>
      <c r="M29" s="339">
        <f ca="1">INDIRECT("'数据-取费表'!k"&amp;$G$1)</f>
        <v>60.29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4847</v>
      </c>
      <c r="D30" s="1086" t="s">
        <v>715</v>
      </c>
      <c r="E30" s="3523"/>
      <c r="F30" s="1071"/>
      <c r="G30" s="1382"/>
      <c r="H30" s="2692"/>
      <c r="I30" s="1396"/>
      <c r="J30" s="1397"/>
      <c r="K30" s="2470"/>
      <c r="L30" s="2693"/>
      <c r="M30" s="2694"/>
    </row>
    <row r="31" spans="1:37" ht="18" customHeight="1">
      <c r="A31" s="982" t="s">
        <v>398</v>
      </c>
      <c r="B31" s="302" t="s">
        <v>719</v>
      </c>
      <c r="C31" s="2311">
        <f ca="1">ROUND(IF(AND(项目基本情况!B11="自然人",项目基本情况!B10="北京市"),C6*F31/(1+'数据-取费表'!C42),C32+C33+C34),0)</f>
        <v>1296</v>
      </c>
      <c r="D31" s="3519" t="s">
        <v>720</v>
      </c>
      <c r="E31" s="3522" t="s">
        <v>770</v>
      </c>
      <c r="F31" s="2310" t="str">
        <f>IF(项目基本情况!B11="企业","——",IF(M47="住宅",IF(F6*F7*F8/12/(1+'数据-取费表'!F30)&gt;100000,4%,2.5%),IF(F6*F7*F8/12/(1+'数据-取费表'!F30)&gt;100000,12%,7%)))</f>
        <v>——</v>
      </c>
      <c r="G31" s="1382"/>
      <c r="H31" s="2803" t="s">
        <v>2308</v>
      </c>
      <c r="I31" s="1396"/>
      <c r="J31" s="1397"/>
      <c r="K31" s="2470"/>
      <c r="L31" s="2693"/>
      <c r="M31" s="2694"/>
    </row>
    <row r="32" spans="1:37" ht="18" customHeight="1">
      <c r="A32" s="982" t="s">
        <v>397</v>
      </c>
      <c r="B32" s="302" t="s">
        <v>723</v>
      </c>
      <c r="C32" s="21">
        <f ca="1">IF(项目基本情况!B11="自然人","——",ROUND(C6*F32/(1+'数据-取费表'!C42),0))</f>
        <v>0</v>
      </c>
      <c r="D32" s="3522" t="s">
        <v>724</v>
      </c>
      <c r="E32" s="302" t="s">
        <v>712</v>
      </c>
      <c r="F32" s="331">
        <f>'数据-取费表'!B41</f>
        <v>0</v>
      </c>
      <c r="G32" s="1382"/>
      <c r="H32" s="2692"/>
      <c r="I32" s="1396"/>
      <c r="J32" s="1397"/>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1296</v>
      </c>
      <c r="D33" s="1368" t="s">
        <v>3340</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3130</v>
      </c>
      <c r="D36" s="3522" t="s">
        <v>771</v>
      </c>
      <c r="E36" s="302" t="s">
        <v>712</v>
      </c>
      <c r="F36" s="328">
        <f ca="1">INDIRECT("'数据-取费表'!Ak"&amp;$G$1)</f>
        <v>0.01</v>
      </c>
      <c r="G36" s="1382"/>
      <c r="H36" s="2695"/>
      <c r="I36" s="1396"/>
      <c r="J36" s="1397"/>
      <c r="K36" s="2539"/>
      <c r="L36" s="2695"/>
      <c r="M36" s="2695"/>
    </row>
    <row r="37" spans="1:18" ht="18" customHeight="1">
      <c r="A37" s="982" t="s">
        <v>437</v>
      </c>
      <c r="B37" s="302" t="s">
        <v>742</v>
      </c>
      <c r="C37" s="21">
        <f ca="1">ROUND(C13*F37,0)</f>
        <v>313</v>
      </c>
      <c r="D37" s="3522" t="s">
        <v>743</v>
      </c>
      <c r="E37" s="302" t="s">
        <v>712</v>
      </c>
      <c r="F37" s="330">
        <f ca="1">INDIRECT("'数据-取费表'!Al"&amp;$G$1)</f>
        <v>1E-3</v>
      </c>
      <c r="G37" s="1382"/>
      <c r="H37" s="2695"/>
      <c r="I37" s="1396"/>
      <c r="J37" s="1397"/>
      <c r="K37" s="2539"/>
      <c r="L37" s="2695"/>
      <c r="M37" s="2695"/>
    </row>
    <row r="38" spans="1:18" ht="18" customHeight="1" thickBot="1">
      <c r="A38" s="1088" t="s">
        <v>683</v>
      </c>
      <c r="B38" s="1089" t="s">
        <v>728</v>
      </c>
      <c r="C38" s="1090">
        <f ca="1">ROUND(C5*F38,0)</f>
        <v>108</v>
      </c>
      <c r="D38" s="1091" t="s">
        <v>748</v>
      </c>
      <c r="E38" s="1089" t="s">
        <v>712</v>
      </c>
      <c r="F38" s="1085">
        <f ca="1">INDIRECT("'数据-取费表'!Am"&amp;$G$1)</f>
        <v>0.01</v>
      </c>
      <c r="G38" s="1382"/>
      <c r="H38" s="2695"/>
      <c r="I38" s="1396"/>
      <c r="J38" s="1397"/>
      <c r="K38" s="2699"/>
      <c r="L38" s="2695"/>
      <c r="M38" s="2695"/>
    </row>
    <row r="39" spans="1:18" ht="24.6" customHeight="1" thickTop="1">
      <c r="A39" s="1078" t="s">
        <v>394</v>
      </c>
      <c r="B39" s="1093" t="s">
        <v>752</v>
      </c>
      <c r="C39" s="310">
        <f ca="1">C5-C30</f>
        <v>5953</v>
      </c>
      <c r="D39" s="1094" t="s">
        <v>753</v>
      </c>
      <c r="E39" s="1095"/>
      <c r="F39" s="1096"/>
      <c r="G39" s="1382"/>
      <c r="H39" s="2695"/>
      <c r="I39" s="1396"/>
      <c r="J39" s="1397"/>
      <c r="K39" s="2699"/>
      <c r="L39" s="2695"/>
      <c r="M39" s="2695"/>
    </row>
    <row r="40" spans="1:18" ht="18" customHeight="1">
      <c r="A40" s="299" t="s">
        <v>395</v>
      </c>
      <c r="B40" s="300" t="s">
        <v>774</v>
      </c>
      <c r="C40" s="301">
        <f ca="1">ROUND(C39*(1-((1+F42)/(1+F40))^F41)/(F40-F42),0)</f>
        <v>146174</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46.25</v>
      </c>
      <c r="G41" s="1382"/>
      <c r="H41" s="1189"/>
      <c r="I41" s="1396"/>
      <c r="J41" s="1397"/>
      <c r="K41" s="2539"/>
      <c r="L41" s="1189"/>
      <c r="M41" s="1189"/>
    </row>
    <row r="42" spans="1:18" ht="18" customHeight="1">
      <c r="A42" s="308"/>
      <c r="B42" s="309"/>
      <c r="C42" s="310"/>
      <c r="D42" s="327"/>
      <c r="E42" s="302" t="s">
        <v>766</v>
      </c>
      <c r="F42" s="312">
        <f ca="1">INDIRECT("'数据-取费表'!v"&amp;$G$1)</f>
        <v>2.5000000000000001E-2</v>
      </c>
      <c r="G42" s="1382"/>
      <c r="H42" s="1189"/>
      <c r="I42" s="1396"/>
      <c r="J42" s="1397"/>
      <c r="K42" s="2539"/>
      <c r="L42" s="1189"/>
      <c r="M42" s="1189"/>
    </row>
    <row r="43" spans="1:18" ht="18" customHeight="1" thickBot="1">
      <c r="A43" s="334" t="s">
        <v>396</v>
      </c>
      <c r="B43" s="335" t="s">
        <v>776</v>
      </c>
      <c r="C43" s="336">
        <f ca="1">ROUND(C40/F43,0)</f>
        <v>2425</v>
      </c>
      <c r="D43" s="337" t="s">
        <v>777</v>
      </c>
      <c r="E43" s="338" t="s">
        <v>778</v>
      </c>
      <c r="F43" s="339">
        <f ca="1">INDIRECT("'数据-取费表'!k"&amp;$G$1)</f>
        <v>60.29</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6" t="s">
        <v>3356</v>
      </c>
      <c r="B45" s="1398"/>
      <c r="C45" s="1470">
        <f ca="1">ROUND((C68-C40)/10000,4)</f>
        <v>-20.351199999999999</v>
      </c>
      <c r="D45" s="3427" t="s">
        <v>3357</v>
      </c>
      <c r="E45" s="1398"/>
      <c r="F45" s="1398"/>
      <c r="O45" s="1401" t="s">
        <v>808</v>
      </c>
      <c r="P45" s="1459"/>
      <c r="Q45" s="1459"/>
      <c r="R45" s="1459"/>
    </row>
    <row r="46" spans="1:18" s="1382" customFormat="1" ht="13.5" thickBot="1">
      <c r="A46" s="1402" t="s">
        <v>809</v>
      </c>
      <c r="C46" s="1403">
        <f ca="1">ROUND(C45,0)</f>
        <v>-20</v>
      </c>
      <c r="D46" s="1404" t="str">
        <f>C2</f>
        <v>万元</v>
      </c>
      <c r="I46" s="1405" t="s">
        <v>810</v>
      </c>
      <c r="J46" s="1406"/>
      <c r="K46" s="1407"/>
      <c r="L46" s="1408">
        <f ca="1">IF(M47="住宅",0,IF(L48&gt;J51,L60,J60))</f>
        <v>4415</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3923</v>
      </c>
      <c r="K47" s="1414" t="s">
        <v>816</v>
      </c>
      <c r="L47" s="1415">
        <f ca="1">INDIRECT("'数据-取费表'!d"&amp;$G$1)</f>
        <v>50</v>
      </c>
      <c r="M47" s="1378" t="str">
        <f>IF(ISNUMBER(FIND("住宅",C1)),"住宅","非住宅")</f>
        <v>非住宅</v>
      </c>
      <c r="O47" s="1416" t="s">
        <v>403</v>
      </c>
      <c r="P47" s="1417" t="s">
        <v>817</v>
      </c>
      <c r="Q47" s="1418">
        <f ca="1">C40+J29</f>
        <v>146174</v>
      </c>
      <c r="R47" s="1418" t="s">
        <v>818</v>
      </c>
    </row>
    <row r="48" spans="1:18" s="1382" customFormat="1" ht="28.5" thickBot="1">
      <c r="A48" s="1109" t="s">
        <v>438</v>
      </c>
      <c r="B48" s="300" t="s">
        <v>692</v>
      </c>
      <c r="C48" s="3525">
        <f ca="1">C49+C53+C55</f>
        <v>0</v>
      </c>
      <c r="D48" s="1111"/>
      <c r="E48" s="1112"/>
      <c r="F48" s="962"/>
      <c r="G48" s="722"/>
      <c r="H48" s="723"/>
      <c r="I48" s="1419" t="s">
        <v>819</v>
      </c>
      <c r="J48" s="1420" t="s">
        <v>3924</v>
      </c>
      <c r="K48" s="1421" t="s">
        <v>820</v>
      </c>
      <c r="L48" s="1422">
        <f ca="1">INDIRECT("'数据-取费表'!f"&amp;$G$1)</f>
        <v>46.25</v>
      </c>
      <c r="O48" s="1416" t="s">
        <v>404</v>
      </c>
      <c r="P48" s="1417" t="s">
        <v>821</v>
      </c>
      <c r="Q48" s="1418">
        <f ca="1">J60</f>
        <v>4415</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2023</v>
      </c>
      <c r="K49" s="1421" t="s">
        <v>824</v>
      </c>
      <c r="L49" s="1425"/>
      <c r="O49" s="1426" t="s">
        <v>405</v>
      </c>
      <c r="P49" s="1417" t="s">
        <v>825</v>
      </c>
      <c r="Q49" s="1418">
        <f ca="1">C29</f>
        <v>312951</v>
      </c>
      <c r="R49" s="1418" t="s">
        <v>818</v>
      </c>
    </row>
    <row r="50" spans="1:18" s="1382" customFormat="1" ht="13.5" thickBot="1">
      <c r="A50" s="976"/>
      <c r="B50" s="979"/>
      <c r="C50" s="980"/>
      <c r="D50" s="953"/>
      <c r="E50" s="1055" t="s">
        <v>697</v>
      </c>
      <c r="F50" s="1056">
        <f ca="1">F7</f>
        <v>1</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12</v>
      </c>
      <c r="I51" s="1430" t="s">
        <v>829</v>
      </c>
      <c r="J51" s="1431">
        <f>IF(J49="",J50,J49+J50-YEAR('数据-取费表'!B2))</f>
        <v>60</v>
      </c>
      <c r="K51" s="1432" t="s">
        <v>830</v>
      </c>
      <c r="L51" s="1433">
        <f ca="1">ROUND(-PV(INDIRECT("'数据-取费表'!h"&amp;$G$1),J51,(C39-C13*C76),0),0)</f>
        <v>-301990</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46.25</v>
      </c>
      <c r="R52" s="1418" t="s">
        <v>835</v>
      </c>
    </row>
    <row r="53" spans="1:18" s="1382" customFormat="1" ht="30.75" customHeight="1" thickBot="1">
      <c r="A53" s="1110" t="s">
        <v>440</v>
      </c>
      <c r="B53" s="2423" t="s">
        <v>700</v>
      </c>
      <c r="C53" s="316">
        <f ca="1">ROUND(IF(F53="押一",C49/12*F11,IF(F53="押二",C49/12*2*F11,IF(F53="押三",C49/12*3*F11,C54*F11))),0)</f>
        <v>0</v>
      </c>
      <c r="D53" s="1364" t="s">
        <v>2117</v>
      </c>
      <c r="E53" s="313" t="s">
        <v>701</v>
      </c>
      <c r="F53" s="1115"/>
      <c r="I53" s="1437" t="s">
        <v>836</v>
      </c>
      <c r="J53" s="2163">
        <f ca="1">IF(M47="住宅",IF(D1="——",MAX(J51,L48),MAX(J51,L48-'数据-取费表'!B24)),IF(D1="——",MIN(J51,L48),MIN(J51,L48-'数据-取费表'!B24)))</f>
        <v>46.25</v>
      </c>
      <c r="K53" s="3831" t="s">
        <v>837</v>
      </c>
      <c r="L53" s="3832"/>
      <c r="O53" s="1416" t="s">
        <v>409</v>
      </c>
      <c r="P53" s="1417" t="s">
        <v>838</v>
      </c>
      <c r="Q53" s="1418">
        <f ca="1">Q47+Q48</f>
        <v>150589</v>
      </c>
      <c r="R53" s="1418" t="s">
        <v>410</v>
      </c>
    </row>
    <row r="54" spans="1:18" s="1382" customFormat="1" ht="13.5" thickBot="1">
      <c r="A54" s="975"/>
      <c r="B54" s="1471" t="s">
        <v>891</v>
      </c>
      <c r="C54" s="959"/>
      <c r="D54" s="1364"/>
      <c r="E54" s="3511"/>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511"/>
      <c r="F55" s="1438"/>
      <c r="I55" s="1441" t="s">
        <v>840</v>
      </c>
      <c r="J55" s="1442">
        <f ca="1">ROUND(IF(J47="钢混",J57/J50,1-(1-2%)*(J50-J57)/J50),3)</f>
        <v>0.22900000000000001</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312951</v>
      </c>
      <c r="D56" s="1445"/>
      <c r="E56" s="1446"/>
      <c r="F56" s="1438"/>
      <c r="I56" s="1447" t="s">
        <v>842</v>
      </c>
      <c r="J56" s="1448" t="s">
        <v>3431</v>
      </c>
      <c r="K56" s="1419" t="s">
        <v>843</v>
      </c>
      <c r="L56" s="1422" t="str">
        <f ca="1">IF(L48&lt;J51,"——",L48-J51)</f>
        <v>——</v>
      </c>
      <c r="O56" s="1416" t="s">
        <v>403</v>
      </c>
      <c r="P56" s="1417" t="s">
        <v>817</v>
      </c>
      <c r="Q56" s="1418">
        <f ca="1">C40+J29</f>
        <v>146174</v>
      </c>
      <c r="R56" s="1418" t="s">
        <v>818</v>
      </c>
    </row>
    <row r="57" spans="1:18" s="1382" customFormat="1" ht="24.75" thickBot="1">
      <c r="A57" s="1449"/>
      <c r="B57" s="950" t="s">
        <v>767</v>
      </c>
      <c r="C57" s="238">
        <f ca="1">C29</f>
        <v>312951</v>
      </c>
      <c r="D57" s="1450"/>
      <c r="E57" s="1451"/>
      <c r="F57" s="1452"/>
      <c r="I57" s="1453" t="s">
        <v>844</v>
      </c>
      <c r="J57" s="1454">
        <f ca="1">IF(OR(M47="住宅",J51&lt;L48,J56="是"),"——",J51-L48)</f>
        <v>13.75</v>
      </c>
      <c r="K57" s="1419" t="s">
        <v>892</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3443</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1">
        <f ca="1">ROUND(IF(AND(项目基本情况!B11="自然人",项目基本情况!B10="北京市"),C49*F59/(1+'数据-取费表'!C42),C60+C61+C62),0)</f>
        <v>0</v>
      </c>
      <c r="D59" s="963" t="s">
        <v>720</v>
      </c>
      <c r="E59" s="964" t="s">
        <v>721</v>
      </c>
      <c r="F59" s="2310" t="str">
        <f>IF(项目基本情况!B11="企业","——",IF('数据-取费表'!B10="住宅",IF(F49*F50*F51/12/(1+'数据-取费表'!F30)&gt;100000,4%,2.5%),IF(F49*F50*F51/12/(1+'数据-取费表'!F30)&gt;100000,12%,7%)))</f>
        <v>——</v>
      </c>
      <c r="I59" s="1453" t="s">
        <v>851</v>
      </c>
      <c r="J59" s="1454">
        <f ca="1">IF(OR(M47="住宅",J51&lt;L48,J56="是"),"——",ROUND(C29*J58,0))</f>
        <v>125180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0</v>
      </c>
      <c r="I60" s="1456" t="s">
        <v>853</v>
      </c>
      <c r="J60" s="1457">
        <f ca="1">IF(OR(M47="住宅",J51&lt;L48,J56="是"),"0",ROUND(J59/(1+J52)^J53,0))</f>
        <v>4415</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727</v>
      </c>
      <c r="C61" s="21">
        <f ca="1">IF(项目基本情况!B11="自然人","——",IF(D61="按租金收入计税",ROUND(C49*F61/(1+'数据-取费表'!C42),0),IF(D61="按房产原值计税",ROUND(C57*F61*0.7,0),INDIRECT("'数据-取费表'!Aj"&amp;$G$1))))</f>
        <v>0</v>
      </c>
      <c r="D61" s="1368" t="s">
        <v>3340</v>
      </c>
      <c r="E61" s="950"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730</v>
      </c>
      <c r="C62" s="22">
        <f ca="1">IF(项目基本情况!B11="自然人","——",ROUND(F62*F63,0))</f>
        <v>0</v>
      </c>
      <c r="D62" s="965" t="s">
        <v>731</v>
      </c>
      <c r="E62" s="950" t="s">
        <v>732</v>
      </c>
      <c r="F62" s="325">
        <f t="shared" si="0"/>
        <v>1.5</v>
      </c>
      <c r="I62" s="1460" t="s">
        <v>858</v>
      </c>
      <c r="J62" s="1461" t="s">
        <v>859</v>
      </c>
      <c r="K62" s="1461" t="s">
        <v>860</v>
      </c>
      <c r="L62" s="1461" t="s">
        <v>861</v>
      </c>
      <c r="M62" s="1462" t="s">
        <v>862</v>
      </c>
      <c r="O62" s="1416" t="s">
        <v>409</v>
      </c>
      <c r="P62" s="1417" t="s">
        <v>838</v>
      </c>
      <c r="Q62" s="1418">
        <f ca="1">Q56+Q57</f>
        <v>146174</v>
      </c>
      <c r="R62" s="1418" t="s">
        <v>410</v>
      </c>
    </row>
    <row r="63" spans="1:18" s="1382" customFormat="1" ht="13.5" thickBot="1">
      <c r="A63" s="326"/>
      <c r="B63" s="956"/>
      <c r="C63" s="26"/>
      <c r="D63" s="966"/>
      <c r="E63" s="950" t="s">
        <v>736</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402</v>
      </c>
      <c r="B64" s="950" t="s">
        <v>738</v>
      </c>
      <c r="C64" s="21">
        <f ca="1">ROUND(C57*F64,0)</f>
        <v>3130</v>
      </c>
      <c r="D64" s="964" t="s">
        <v>771</v>
      </c>
      <c r="E64" s="950" t="s">
        <v>712</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313</v>
      </c>
      <c r="D65" s="964" t="s">
        <v>743</v>
      </c>
      <c r="E65" s="950" t="s">
        <v>712</v>
      </c>
      <c r="F65" s="330">
        <f t="shared" ca="1" si="0"/>
        <v>1E-3</v>
      </c>
      <c r="I65" s="1460" t="s">
        <v>867</v>
      </c>
      <c r="J65" s="1461">
        <v>40</v>
      </c>
      <c r="K65" s="1461">
        <v>30</v>
      </c>
      <c r="L65" s="1461">
        <v>50</v>
      </c>
      <c r="M65" s="1463">
        <v>0.02</v>
      </c>
      <c r="O65" s="1416" t="s">
        <v>403</v>
      </c>
      <c r="P65" s="1417" t="s">
        <v>817</v>
      </c>
      <c r="Q65" s="1418">
        <f ca="1">C40+J29</f>
        <v>146174</v>
      </c>
      <c r="R65" s="1418" t="s">
        <v>818</v>
      </c>
    </row>
    <row r="66" spans="1:18" s="1382" customFormat="1" ht="16.5" thickBot="1">
      <c r="A66" s="982" t="s">
        <v>793</v>
      </c>
      <c r="B66" s="950" t="s">
        <v>728</v>
      </c>
      <c r="C66" s="21">
        <f ca="1">ROUND(C48*F66,0)</f>
        <v>0</v>
      </c>
      <c r="D66" s="964" t="s">
        <v>748</v>
      </c>
      <c r="E66" s="950" t="s">
        <v>712</v>
      </c>
      <c r="F66" s="312">
        <f t="shared" ca="1" si="0"/>
        <v>0.01</v>
      </c>
      <c r="O66" s="1416" t="s">
        <v>404</v>
      </c>
      <c r="P66" s="1417" t="s">
        <v>846</v>
      </c>
      <c r="Q66" s="1418">
        <f ca="1">L60</f>
        <v>0</v>
      </c>
      <c r="R66" s="1418" t="s">
        <v>869</v>
      </c>
    </row>
    <row r="67" spans="1:18" s="1382" customFormat="1" ht="16.5" thickBot="1">
      <c r="A67" s="957" t="s">
        <v>394</v>
      </c>
      <c r="B67" s="967" t="s">
        <v>752</v>
      </c>
      <c r="C67" s="316">
        <f ca="1">C48-C58</f>
        <v>-3443</v>
      </c>
      <c r="D67" s="963" t="s">
        <v>753</v>
      </c>
      <c r="E67" s="968"/>
      <c r="F67" s="969"/>
      <c r="O67" s="1426" t="s">
        <v>405</v>
      </c>
      <c r="P67" s="1417" t="s">
        <v>850</v>
      </c>
      <c r="Q67" s="1464">
        <f ca="1">L51</f>
        <v>-301990</v>
      </c>
      <c r="R67" s="1418" t="s">
        <v>870</v>
      </c>
    </row>
    <row r="68" spans="1:18" s="1382" customFormat="1" ht="16.5" thickBot="1">
      <c r="A68" s="947" t="s">
        <v>395</v>
      </c>
      <c r="B68" s="948" t="s">
        <v>774</v>
      </c>
      <c r="C68" s="301">
        <f ca="1">ROUND(C67*(1-((1+F70)/(1+F68))^F69)/(F68-F70),0)</f>
        <v>-57338</v>
      </c>
      <c r="D68" s="965" t="s">
        <v>758</v>
      </c>
      <c r="E68" s="950" t="s">
        <v>759</v>
      </c>
      <c r="F68" s="312">
        <f ca="1">F40</f>
        <v>5.5E-2</v>
      </c>
      <c r="O68" s="1426" t="s">
        <v>406</v>
      </c>
      <c r="P68" s="1465" t="s">
        <v>871</v>
      </c>
      <c r="Q68" s="1418">
        <f ca="1">ROUND(Q69-Q70*Q71,0)</f>
        <v>-15954</v>
      </c>
      <c r="R68" s="1418" t="s">
        <v>414</v>
      </c>
    </row>
    <row r="69" spans="1:18" s="1382" customFormat="1" ht="13.5" thickBot="1">
      <c r="A69" s="951"/>
      <c r="B69" s="952"/>
      <c r="C69" s="306"/>
      <c r="D69" s="970" t="s">
        <v>762</v>
      </c>
      <c r="E69" s="950" t="s">
        <v>763</v>
      </c>
      <c r="F69" s="333">
        <f ca="1">F41</f>
        <v>46.25</v>
      </c>
      <c r="O69" s="1426" t="s">
        <v>411</v>
      </c>
      <c r="P69" s="1465" t="s">
        <v>872</v>
      </c>
      <c r="Q69" s="1418">
        <f ca="1">C39</f>
        <v>5953</v>
      </c>
      <c r="R69" s="1418" t="s">
        <v>818</v>
      </c>
    </row>
    <row r="70" spans="1:18" s="1382" customFormat="1" ht="13.5" thickBot="1">
      <c r="A70" s="954"/>
      <c r="B70" s="955"/>
      <c r="C70" s="310"/>
      <c r="D70" s="966"/>
      <c r="E70" s="950" t="s">
        <v>766</v>
      </c>
      <c r="F70" s="1053"/>
      <c r="O70" s="1426" t="s">
        <v>412</v>
      </c>
      <c r="P70" s="1465" t="s">
        <v>873</v>
      </c>
      <c r="Q70" s="1418">
        <f ca="1">C13</f>
        <v>312951</v>
      </c>
      <c r="R70" s="1418" t="s">
        <v>818</v>
      </c>
    </row>
    <row r="71" spans="1:18" s="1382" customFormat="1" ht="13.5" thickBot="1">
      <c r="A71" s="971" t="s">
        <v>396</v>
      </c>
      <c r="B71" s="972" t="s">
        <v>776</v>
      </c>
      <c r="C71" s="336">
        <f ca="1">ROUND(C68/F71,0)</f>
        <v>-951</v>
      </c>
      <c r="D71" s="973" t="s">
        <v>777</v>
      </c>
      <c r="E71" s="974" t="s">
        <v>778</v>
      </c>
      <c r="F71" s="339">
        <f ca="1">F43</f>
        <v>60.29</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21907</v>
      </c>
      <c r="D75" s="1382"/>
      <c r="E75" s="1382"/>
      <c r="F75" s="1382"/>
      <c r="K75" s="1400"/>
      <c r="L75" s="1382"/>
      <c r="O75" s="1416" t="s">
        <v>409</v>
      </c>
      <c r="P75" s="1417" t="s">
        <v>838</v>
      </c>
      <c r="Q75" s="1418">
        <f ca="1">Q65+Q66</f>
        <v>146174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-2.68</v>
      </c>
    </row>
    <row r="80" spans="1:18">
      <c r="B80" s="340" t="s">
        <v>800</v>
      </c>
      <c r="C80" s="274">
        <f ca="1">ROUND(C75/C39,3)</f>
        <v>3.68</v>
      </c>
    </row>
    <row r="81" spans="2:3">
      <c r="B81" s="270" t="s">
        <v>801</v>
      </c>
      <c r="C81" s="238"/>
    </row>
    <row r="82" spans="2:3">
      <c r="B82" s="273" t="s">
        <v>802</v>
      </c>
      <c r="C82" s="275">
        <f ca="1">1-C83</f>
        <v>-1.141</v>
      </c>
    </row>
    <row r="83" spans="2:3">
      <c r="B83" s="273" t="s">
        <v>803</v>
      </c>
      <c r="C83" s="274">
        <f ca="1">ROUND(C13/C40,3)</f>
        <v>2.141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34" t="s">
        <v>2084</v>
      </c>
      <c r="D1" s="3935"/>
      <c r="E1" s="3935"/>
      <c r="F1" s="3935"/>
      <c r="G1" s="3935"/>
      <c r="H1" s="3935"/>
      <c r="I1" s="3935"/>
      <c r="J1" s="3935"/>
      <c r="K1" s="3935"/>
      <c r="L1" s="3935"/>
      <c r="M1" s="3935"/>
      <c r="N1" s="3935"/>
      <c r="O1" s="3935"/>
      <c r="P1" s="3935"/>
      <c r="Q1" s="3935"/>
      <c r="R1" s="3935"/>
      <c r="S1" s="3936"/>
      <c r="T1" s="983" t="s">
        <v>1989</v>
      </c>
    </row>
    <row r="2" spans="1:45" s="655" customFormat="1" ht="38.25">
      <c r="A2" s="984"/>
      <c r="B2" s="651" t="s">
        <v>1065</v>
      </c>
      <c r="C2" s="652" t="str">
        <f t="shared" ref="C2:R2" si="0">C3&amp;"(含)"&amp;"-"&amp;D3</f>
        <v>0(含)-300</v>
      </c>
      <c r="D2" s="653" t="str">
        <f t="shared" si="0"/>
        <v>300(含)-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7"/>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tr">
        <f>'比较法-住宅'!B32</f>
        <v>建筑类型</v>
      </c>
      <c r="C5" s="3564"/>
      <c r="D5" s="3565"/>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1">D6-$T5</f>
        <v>100</v>
      </c>
      <c r="F6" s="1314">
        <f t="shared" si="1"/>
        <v>100</v>
      </c>
      <c r="G6" s="1314">
        <f t="shared" si="1"/>
        <v>100</v>
      </c>
      <c r="H6" s="1314">
        <f t="shared" si="1"/>
        <v>100</v>
      </c>
      <c r="I6" s="1314">
        <f t="shared" si="1"/>
        <v>100</v>
      </c>
      <c r="J6" s="1314">
        <f t="shared" si="1"/>
        <v>100</v>
      </c>
      <c r="K6" s="1314">
        <f t="shared" si="1"/>
        <v>100</v>
      </c>
      <c r="L6" s="1314">
        <f t="shared" si="1"/>
        <v>100</v>
      </c>
      <c r="M6" s="1314">
        <f t="shared" si="1"/>
        <v>100</v>
      </c>
      <c r="N6" s="1314">
        <f t="shared" si="1"/>
        <v>100</v>
      </c>
      <c r="O6" s="1314">
        <f t="shared" si="1"/>
        <v>100</v>
      </c>
      <c r="P6" s="1314">
        <f t="shared" si="1"/>
        <v>100</v>
      </c>
      <c r="Q6" s="1314">
        <f t="shared" si="1"/>
        <v>100</v>
      </c>
      <c r="R6" s="1314">
        <f t="shared" si="1"/>
        <v>100</v>
      </c>
      <c r="S6" s="1314">
        <f t="shared" si="1"/>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4">
        <f t="shared" si="2"/>
        <v>100</v>
      </c>
      <c r="G8" s="1314">
        <f t="shared" si="2"/>
        <v>100</v>
      </c>
      <c r="H8" s="1314">
        <f t="shared" si="2"/>
        <v>100</v>
      </c>
      <c r="I8" s="1314">
        <f t="shared" si="2"/>
        <v>100</v>
      </c>
      <c r="J8" s="1314">
        <f t="shared" si="2"/>
        <v>100</v>
      </c>
      <c r="K8" s="1314">
        <f t="shared" si="2"/>
        <v>100</v>
      </c>
      <c r="L8" s="1314">
        <f t="shared" si="2"/>
        <v>100</v>
      </c>
      <c r="M8" s="1314">
        <f t="shared" si="2"/>
        <v>100</v>
      </c>
      <c r="N8" s="1314">
        <f t="shared" si="2"/>
        <v>100</v>
      </c>
      <c r="O8" s="1314">
        <f t="shared" si="2"/>
        <v>100</v>
      </c>
      <c r="P8" s="1314">
        <f t="shared" si="2"/>
        <v>100</v>
      </c>
      <c r="Q8" s="1314">
        <f t="shared" si="2"/>
        <v>100</v>
      </c>
      <c r="R8" s="1314">
        <f t="shared" si="2"/>
        <v>100</v>
      </c>
      <c r="S8" s="1314">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t="13.5" hidden="1" thickBot="1">
      <c r="A9" s="994"/>
      <c r="B9" s="1335" t="s">
        <v>2088</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3">D10-$T9</f>
        <v>100</v>
      </c>
      <c r="F10" s="1324">
        <f t="shared" si="3"/>
        <v>100</v>
      </c>
      <c r="G10" s="1324">
        <f t="shared" si="3"/>
        <v>100</v>
      </c>
      <c r="H10" s="1324">
        <f t="shared" si="3"/>
        <v>100</v>
      </c>
      <c r="I10" s="1324">
        <f t="shared" si="3"/>
        <v>100</v>
      </c>
      <c r="J10" s="1324">
        <f t="shared" si="3"/>
        <v>100</v>
      </c>
      <c r="K10" s="1324">
        <f t="shared" si="3"/>
        <v>100</v>
      </c>
      <c r="L10" s="1324">
        <f t="shared" si="3"/>
        <v>100</v>
      </c>
      <c r="M10" s="1324">
        <f t="shared" si="3"/>
        <v>100</v>
      </c>
      <c r="N10" s="1324">
        <f t="shared" si="3"/>
        <v>100</v>
      </c>
      <c r="O10" s="1324">
        <f t="shared" si="3"/>
        <v>100</v>
      </c>
      <c r="P10" s="1324">
        <f t="shared" si="3"/>
        <v>100</v>
      </c>
      <c r="Q10" s="1324">
        <f t="shared" si="3"/>
        <v>100</v>
      </c>
      <c r="R10" s="1324">
        <f t="shared" si="3"/>
        <v>100</v>
      </c>
      <c r="S10" s="1324">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t="13.5" hidden="1" thickBot="1">
      <c r="A11" s="994"/>
      <c r="B11" s="1334"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13.5" hidden="1" thickBot="1">
      <c r="A13" s="994"/>
      <c r="B13" s="1334"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t="13.5" hidden="1" thickBot="1">
      <c r="A15" s="994"/>
      <c r="B15" s="1334"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2092</v>
      </c>
      <c r="B17" s="2144" t="s">
        <v>2093</v>
      </c>
      <c r="C17" s="3562"/>
      <c r="D17" s="3563"/>
      <c r="E17" s="3563"/>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5" t="s">
        <v>2094</v>
      </c>
      <c r="E19" s="1338"/>
      <c r="F19" s="1338"/>
      <c r="G19" s="1338"/>
      <c r="H19" s="1058"/>
      <c r="I19" s="159"/>
      <c r="J19" s="159"/>
      <c r="K19" s="159"/>
      <c r="L19" s="159"/>
      <c r="M19" s="159"/>
      <c r="N19" s="159"/>
      <c r="O19" s="159"/>
      <c r="P19" s="159"/>
      <c r="Q19" s="159"/>
      <c r="R19" s="718"/>
      <c r="S19" s="129"/>
    </row>
    <row r="20" spans="1:45" ht="16.5" thickBot="1">
      <c r="A20" s="662" t="s">
        <v>2095</v>
      </c>
      <c r="B20" s="294">
        <f ca="1">IF(D20="——",S22,S22-F20)</f>
        <v>2250</v>
      </c>
      <c r="C20" s="159"/>
      <c r="D20" s="2146" t="s">
        <v>43</v>
      </c>
      <c r="E20" s="1339"/>
      <c r="F20" s="983" t="e">
        <f ca="1">SUMIF(INDIRECT("'"&amp;H20&amp;"'"&amp;"!A:A"),"承租人权益价值",INDIRECT("'"&amp;H20&amp;"'"&amp;"!c:c"))</f>
        <v>#REF!</v>
      </c>
      <c r="G20" s="983" t="s">
        <v>2096</v>
      </c>
      <c r="H20" s="2147"/>
      <c r="I20" s="159"/>
      <c r="J20" s="159"/>
      <c r="K20" s="159"/>
      <c r="L20" s="159"/>
      <c r="M20" s="159"/>
      <c r="N20" s="159"/>
      <c r="O20" s="159"/>
      <c r="P20" s="159"/>
      <c r="Q20" s="159"/>
      <c r="R20" s="718"/>
      <c r="S20" s="129"/>
    </row>
    <row r="21" spans="1:45" ht="15.75">
      <c r="A21" s="662" t="s">
        <v>2097</v>
      </c>
      <c r="B21" s="294">
        <f ca="1">ROUND(B20*10000/B22,0)</f>
        <v>4977</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4520.6200000000008</v>
      </c>
      <c r="C22" s="3931" t="s">
        <v>27</v>
      </c>
      <c r="D22" s="3932"/>
      <c r="E22" s="3932"/>
      <c r="F22" s="3932"/>
      <c r="G22" s="3932"/>
      <c r="H22" s="3932"/>
      <c r="I22" s="3932"/>
      <c r="J22" s="3932"/>
      <c r="K22" s="3932"/>
      <c r="L22" s="3932"/>
      <c r="M22" s="3932"/>
      <c r="N22" s="3932"/>
      <c r="O22" s="3932"/>
      <c r="P22" s="3932"/>
      <c r="Q22" s="3933"/>
      <c r="R22" s="663">
        <f ca="1">ROUND(S22*10000/B22,0)</f>
        <v>4977</v>
      </c>
      <c r="S22" s="21">
        <f ca="1">SUM(S24:S10000)</f>
        <v>2250</v>
      </c>
    </row>
    <row r="23" spans="1:45" s="9" customFormat="1" ht="24">
      <c r="A23" s="3501" t="s">
        <v>2099</v>
      </c>
      <c r="B23" s="3501" t="s">
        <v>2100</v>
      </c>
      <c r="C23" s="3501" t="s">
        <v>2101</v>
      </c>
      <c r="D23" s="3501" t="str">
        <f>B5</f>
        <v>建筑类型</v>
      </c>
      <c r="E23" s="3501" t="s">
        <v>2101</v>
      </c>
      <c r="F23" s="3501" t="str">
        <f>B7</f>
        <v>修正项3</v>
      </c>
      <c r="G23" s="3501" t="s">
        <v>2101</v>
      </c>
      <c r="H23" s="3501" t="str">
        <f>B9</f>
        <v>修正项4</v>
      </c>
      <c r="I23" s="3501" t="s">
        <v>2101</v>
      </c>
      <c r="J23" s="3501" t="str">
        <f>B11</f>
        <v>修正项5</v>
      </c>
      <c r="K23" s="3501" t="s">
        <v>2101</v>
      </c>
      <c r="L23" s="3501" t="str">
        <f>B13</f>
        <v>修正项6</v>
      </c>
      <c r="M23" s="3501" t="s">
        <v>2101</v>
      </c>
      <c r="N23" s="3501" t="str">
        <f>B15</f>
        <v>修正项7</v>
      </c>
      <c r="O23" s="3501" t="s">
        <v>2101</v>
      </c>
      <c r="P23" s="3501" t="str">
        <f>B17</f>
        <v>楼层</v>
      </c>
      <c r="Q23" s="3501" t="s">
        <v>2101</v>
      </c>
      <c r="R23" s="3505" t="s">
        <v>2102</v>
      </c>
      <c r="S23" s="3501"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Sheet3!C463</f>
        <v>B1159</v>
      </c>
      <c r="B24" s="665">
        <f>Sheet3!D463</f>
        <v>60.29</v>
      </c>
      <c r="C24" s="2805">
        <v>1</v>
      </c>
      <c r="D24" s="2806"/>
      <c r="E24" s="2805">
        <v>1</v>
      </c>
      <c r="F24" s="2806"/>
      <c r="G24" s="2805">
        <v>1</v>
      </c>
      <c r="H24" s="2806"/>
      <c r="I24" s="2805">
        <v>1</v>
      </c>
      <c r="J24" s="2806"/>
      <c r="K24" s="2805">
        <v>1</v>
      </c>
      <c r="L24" s="2806"/>
      <c r="M24" s="2805">
        <v>1</v>
      </c>
      <c r="N24" s="2806"/>
      <c r="O24" s="2805">
        <v>1</v>
      </c>
      <c r="P24" s="2806"/>
      <c r="Q24" s="2805">
        <v>1</v>
      </c>
      <c r="R24" s="668">
        <f ca="1">'结果表-机械车库'!G20</f>
        <v>4989</v>
      </c>
      <c r="S24" s="666">
        <f t="shared" ref="S24:S87" ca="1" si="5">ROUND(R24*B24/10000,0)</f>
        <v>30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Sheet3!C464</f>
        <v>B1160</v>
      </c>
      <c r="B25" s="665">
        <f>Sheet3!D464</f>
        <v>90.43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6"/>
      <c r="Q25" s="21">
        <f>(SUMIF($17:$17,P25,$18:$18)-SUMIF($17:$17,$P$24,$18:$18)+100)/100</f>
        <v>1</v>
      </c>
      <c r="R25" s="663">
        <f ca="1">IF(B25="",0,ROUND($R$24*C25*E25*G25*I25*K25*M25*O25*Q25,0))</f>
        <v>4989</v>
      </c>
      <c r="S25" s="316">
        <f t="shared" ca="1" si="5"/>
        <v>45</v>
      </c>
    </row>
    <row r="26" spans="1:45">
      <c r="A26" s="665" t="str">
        <f>Sheet3!C465</f>
        <v>B1161</v>
      </c>
      <c r="B26" s="665">
        <f>Sheet3!D465</f>
        <v>90.43</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2806"/>
      <c r="Q26" s="21">
        <f t="shared" ref="Q26:Q89" si="13">(SUMIF($17:$17,P26,$18:$18)-SUMIF($17:$17,$P$24,$18:$18)+100)/100</f>
        <v>1</v>
      </c>
      <c r="R26" s="663">
        <f t="shared" ref="R26:R89" ca="1" si="14">IF(B26="",0,ROUND($R$24*C26*E26*G26*I26*K26*M26*O26*Q26,0))</f>
        <v>4989</v>
      </c>
      <c r="S26" s="316">
        <f t="shared" ca="1" si="5"/>
        <v>45</v>
      </c>
    </row>
    <row r="27" spans="1:45">
      <c r="A27" s="665" t="str">
        <f>Sheet3!C466</f>
        <v>B1162</v>
      </c>
      <c r="B27" s="665">
        <f>Sheet3!D466</f>
        <v>90.43</v>
      </c>
      <c r="C27" s="21">
        <f t="shared" si="6"/>
        <v>1</v>
      </c>
      <c r="D27" s="667"/>
      <c r="E27" s="21">
        <f t="shared" si="7"/>
        <v>1</v>
      </c>
      <c r="F27" s="667"/>
      <c r="G27" s="21">
        <f t="shared" si="8"/>
        <v>1</v>
      </c>
      <c r="H27" s="667"/>
      <c r="I27" s="21">
        <f t="shared" si="9"/>
        <v>1</v>
      </c>
      <c r="J27" s="667"/>
      <c r="K27" s="21">
        <f t="shared" si="10"/>
        <v>1</v>
      </c>
      <c r="L27" s="667"/>
      <c r="M27" s="21">
        <f t="shared" si="11"/>
        <v>1</v>
      </c>
      <c r="N27" s="667"/>
      <c r="O27" s="21">
        <f t="shared" si="12"/>
        <v>1</v>
      </c>
      <c r="P27" s="2806"/>
      <c r="Q27" s="21">
        <f t="shared" si="13"/>
        <v>1</v>
      </c>
      <c r="R27" s="663">
        <f t="shared" ca="1" si="14"/>
        <v>4989</v>
      </c>
      <c r="S27" s="316">
        <f t="shared" ca="1" si="5"/>
        <v>45</v>
      </c>
    </row>
    <row r="28" spans="1:45">
      <c r="A28" s="665" t="str">
        <f>Sheet3!C467</f>
        <v>B1163</v>
      </c>
      <c r="B28" s="665">
        <f>Sheet3!D467</f>
        <v>90.43</v>
      </c>
      <c r="C28" s="21">
        <f t="shared" si="6"/>
        <v>1</v>
      </c>
      <c r="D28" s="2806"/>
      <c r="E28" s="21">
        <f t="shared" si="7"/>
        <v>1</v>
      </c>
      <c r="F28" s="667"/>
      <c r="G28" s="21">
        <f t="shared" si="8"/>
        <v>1</v>
      </c>
      <c r="H28" s="667"/>
      <c r="I28" s="21">
        <f t="shared" si="9"/>
        <v>1</v>
      </c>
      <c r="J28" s="667"/>
      <c r="K28" s="21">
        <f t="shared" si="10"/>
        <v>1</v>
      </c>
      <c r="L28" s="667"/>
      <c r="M28" s="21">
        <f t="shared" si="11"/>
        <v>1</v>
      </c>
      <c r="N28" s="667"/>
      <c r="O28" s="21">
        <f t="shared" si="12"/>
        <v>1</v>
      </c>
      <c r="P28" s="2806"/>
      <c r="Q28" s="21">
        <f t="shared" si="13"/>
        <v>1</v>
      </c>
      <c r="R28" s="663">
        <f t="shared" ca="1" si="14"/>
        <v>4989</v>
      </c>
      <c r="S28" s="316">
        <f t="shared" ca="1" si="5"/>
        <v>45</v>
      </c>
    </row>
    <row r="29" spans="1:45">
      <c r="A29" s="665" t="str">
        <f>Sheet3!C468</f>
        <v>B1164</v>
      </c>
      <c r="B29" s="665">
        <f>Sheet3!D468</f>
        <v>90.43</v>
      </c>
      <c r="C29" s="21">
        <f t="shared" si="6"/>
        <v>1</v>
      </c>
      <c r="D29" s="667"/>
      <c r="E29" s="21">
        <f t="shared" si="7"/>
        <v>1</v>
      </c>
      <c r="F29" s="667"/>
      <c r="G29" s="21">
        <f t="shared" si="8"/>
        <v>1</v>
      </c>
      <c r="H29" s="667"/>
      <c r="I29" s="21">
        <f t="shared" si="9"/>
        <v>1</v>
      </c>
      <c r="J29" s="667"/>
      <c r="K29" s="21">
        <f t="shared" si="10"/>
        <v>1</v>
      </c>
      <c r="L29" s="667"/>
      <c r="M29" s="21">
        <f t="shared" si="11"/>
        <v>1</v>
      </c>
      <c r="N29" s="667"/>
      <c r="O29" s="21">
        <f t="shared" si="12"/>
        <v>1</v>
      </c>
      <c r="P29" s="2806"/>
      <c r="Q29" s="21">
        <f t="shared" si="13"/>
        <v>1</v>
      </c>
      <c r="R29" s="663">
        <f t="shared" ca="1" si="14"/>
        <v>4989</v>
      </c>
      <c r="S29" s="316">
        <f t="shared" ca="1" si="5"/>
        <v>45</v>
      </c>
    </row>
    <row r="30" spans="1:45">
      <c r="A30" s="665" t="str">
        <f>Sheet3!C469</f>
        <v>B1165</v>
      </c>
      <c r="B30" s="665">
        <f>Sheet3!D469</f>
        <v>119.66</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2806"/>
      <c r="Q30" s="21">
        <f t="shared" si="13"/>
        <v>1</v>
      </c>
      <c r="R30" s="663">
        <f t="shared" ca="1" si="14"/>
        <v>4989</v>
      </c>
      <c r="S30" s="316">
        <f t="shared" ca="1" si="5"/>
        <v>60</v>
      </c>
    </row>
    <row r="31" spans="1:45">
      <c r="A31" s="665" t="str">
        <f>Sheet3!C470</f>
        <v>B1166</v>
      </c>
      <c r="B31" s="665">
        <f>Sheet3!D470</f>
        <v>180.86</v>
      </c>
      <c r="C31" s="21">
        <f t="shared" si="6"/>
        <v>1</v>
      </c>
      <c r="D31" s="667"/>
      <c r="E31" s="21">
        <f t="shared" si="7"/>
        <v>1</v>
      </c>
      <c r="F31" s="667"/>
      <c r="G31" s="21">
        <f t="shared" si="8"/>
        <v>1</v>
      </c>
      <c r="H31" s="667"/>
      <c r="I31" s="21">
        <f t="shared" si="9"/>
        <v>1</v>
      </c>
      <c r="J31" s="667"/>
      <c r="K31" s="21">
        <f t="shared" si="10"/>
        <v>1</v>
      </c>
      <c r="L31" s="667"/>
      <c r="M31" s="21">
        <f t="shared" si="11"/>
        <v>1</v>
      </c>
      <c r="N31" s="667"/>
      <c r="O31" s="21">
        <f t="shared" si="12"/>
        <v>1</v>
      </c>
      <c r="P31" s="2806"/>
      <c r="Q31" s="21">
        <f t="shared" si="13"/>
        <v>1</v>
      </c>
      <c r="R31" s="663">
        <f t="shared" ca="1" si="14"/>
        <v>4989</v>
      </c>
      <c r="S31" s="316">
        <f t="shared" ca="1" si="5"/>
        <v>90</v>
      </c>
    </row>
    <row r="32" spans="1:45">
      <c r="A32" s="665" t="str">
        <f>Sheet3!C471</f>
        <v>B1167</v>
      </c>
      <c r="B32" s="665">
        <f>Sheet3!D471</f>
        <v>180.86</v>
      </c>
      <c r="C32" s="21">
        <f t="shared" si="6"/>
        <v>1</v>
      </c>
      <c r="D32" s="2806"/>
      <c r="E32" s="21">
        <f t="shared" si="7"/>
        <v>1</v>
      </c>
      <c r="F32" s="667"/>
      <c r="G32" s="21">
        <f t="shared" si="8"/>
        <v>1</v>
      </c>
      <c r="H32" s="667"/>
      <c r="I32" s="21">
        <f t="shared" si="9"/>
        <v>1</v>
      </c>
      <c r="J32" s="667"/>
      <c r="K32" s="21">
        <f t="shared" si="10"/>
        <v>1</v>
      </c>
      <c r="L32" s="667"/>
      <c r="M32" s="21">
        <f t="shared" si="11"/>
        <v>1</v>
      </c>
      <c r="N32" s="667"/>
      <c r="O32" s="21">
        <f t="shared" si="12"/>
        <v>1</v>
      </c>
      <c r="P32" s="2806"/>
      <c r="Q32" s="21">
        <f t="shared" si="13"/>
        <v>1</v>
      </c>
      <c r="R32" s="663">
        <f t="shared" ca="1" si="14"/>
        <v>4989</v>
      </c>
      <c r="S32" s="316">
        <f t="shared" ca="1" si="5"/>
        <v>90</v>
      </c>
    </row>
    <row r="33" spans="1:19">
      <c r="A33" s="665" t="str">
        <f>Sheet3!C472</f>
        <v>B1168</v>
      </c>
      <c r="B33" s="665">
        <f>Sheet3!D472</f>
        <v>180.86</v>
      </c>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1</v>
      </c>
      <c r="P33" s="2806"/>
      <c r="Q33" s="21">
        <f t="shared" si="13"/>
        <v>1</v>
      </c>
      <c r="R33" s="663">
        <f t="shared" ca="1" si="14"/>
        <v>4989</v>
      </c>
      <c r="S33" s="316">
        <f t="shared" ca="1" si="5"/>
        <v>90</v>
      </c>
    </row>
    <row r="34" spans="1:19">
      <c r="A34" s="665" t="str">
        <f>Sheet3!C473</f>
        <v>B1169</v>
      </c>
      <c r="B34" s="665">
        <f>Sheet3!D473</f>
        <v>180.86</v>
      </c>
      <c r="C34" s="21">
        <f t="shared" si="6"/>
        <v>1</v>
      </c>
      <c r="D34" s="2806"/>
      <c r="E34" s="21">
        <f t="shared" si="7"/>
        <v>1</v>
      </c>
      <c r="F34" s="667"/>
      <c r="G34" s="21">
        <f t="shared" si="8"/>
        <v>1</v>
      </c>
      <c r="H34" s="667"/>
      <c r="I34" s="21">
        <f t="shared" si="9"/>
        <v>1</v>
      </c>
      <c r="J34" s="667"/>
      <c r="K34" s="21">
        <f t="shared" si="10"/>
        <v>1</v>
      </c>
      <c r="L34" s="667"/>
      <c r="M34" s="21">
        <f t="shared" si="11"/>
        <v>1</v>
      </c>
      <c r="N34" s="667"/>
      <c r="O34" s="21">
        <f t="shared" si="12"/>
        <v>1</v>
      </c>
      <c r="P34" s="2806"/>
      <c r="Q34" s="21">
        <f t="shared" si="13"/>
        <v>1</v>
      </c>
      <c r="R34" s="663">
        <f t="shared" ca="1" si="14"/>
        <v>4989</v>
      </c>
      <c r="S34" s="316">
        <f t="shared" ca="1" si="5"/>
        <v>90</v>
      </c>
    </row>
    <row r="35" spans="1:19">
      <c r="A35" s="665" t="str">
        <f>Sheet3!C474</f>
        <v>B1170</v>
      </c>
      <c r="B35" s="665">
        <f>Sheet3!D474</f>
        <v>60.29</v>
      </c>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1</v>
      </c>
      <c r="P35" s="2806"/>
      <c r="Q35" s="21">
        <f t="shared" si="13"/>
        <v>1</v>
      </c>
      <c r="R35" s="663">
        <f t="shared" ca="1" si="14"/>
        <v>4989</v>
      </c>
      <c r="S35" s="316">
        <f t="shared" ca="1" si="5"/>
        <v>30</v>
      </c>
    </row>
    <row r="36" spans="1:19">
      <c r="A36" s="665" t="str">
        <f>Sheet3!C475</f>
        <v>B1171</v>
      </c>
      <c r="B36" s="665">
        <f>Sheet3!D475</f>
        <v>120.58</v>
      </c>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2806"/>
      <c r="Q36" s="21">
        <f t="shared" si="13"/>
        <v>1</v>
      </c>
      <c r="R36" s="663">
        <f t="shared" ca="1" si="14"/>
        <v>4989</v>
      </c>
      <c r="S36" s="316">
        <f t="shared" ca="1" si="5"/>
        <v>60</v>
      </c>
    </row>
    <row r="37" spans="1:19">
      <c r="A37" s="665" t="str">
        <f>Sheet3!C476</f>
        <v>B1172</v>
      </c>
      <c r="B37" s="665">
        <f>Sheet3!D476</f>
        <v>180.86</v>
      </c>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1</v>
      </c>
      <c r="P37" s="2806"/>
      <c r="Q37" s="21">
        <f t="shared" si="13"/>
        <v>1</v>
      </c>
      <c r="R37" s="663">
        <f t="shared" ca="1" si="14"/>
        <v>4989</v>
      </c>
      <c r="S37" s="316">
        <f t="shared" ca="1" si="5"/>
        <v>90</v>
      </c>
    </row>
    <row r="38" spans="1:19">
      <c r="A38" s="665" t="str">
        <f>Sheet3!C477</f>
        <v>B1173</v>
      </c>
      <c r="B38" s="665">
        <f>Sheet3!D477</f>
        <v>180.86</v>
      </c>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2806"/>
      <c r="Q38" s="21">
        <f t="shared" si="13"/>
        <v>1</v>
      </c>
      <c r="R38" s="663">
        <f t="shared" ca="1" si="14"/>
        <v>4989</v>
      </c>
      <c r="S38" s="316">
        <f t="shared" ca="1" si="5"/>
        <v>90</v>
      </c>
    </row>
    <row r="39" spans="1:19">
      <c r="A39" s="665" t="str">
        <f>Sheet3!C478</f>
        <v>B1174</v>
      </c>
      <c r="B39" s="665">
        <f>Sheet3!D478</f>
        <v>180.86</v>
      </c>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1</v>
      </c>
      <c r="P39" s="2806"/>
      <c r="Q39" s="21">
        <f t="shared" si="13"/>
        <v>1</v>
      </c>
      <c r="R39" s="663">
        <f t="shared" ca="1" si="14"/>
        <v>4989</v>
      </c>
      <c r="S39" s="316">
        <f t="shared" ca="1" si="5"/>
        <v>90</v>
      </c>
    </row>
    <row r="40" spans="1:19">
      <c r="A40" s="665" t="str">
        <f>Sheet3!C479</f>
        <v>B1175</v>
      </c>
      <c r="B40" s="665">
        <f>Sheet3!D479</f>
        <v>180.86</v>
      </c>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2806"/>
      <c r="Q40" s="21">
        <f t="shared" si="13"/>
        <v>1</v>
      </c>
      <c r="R40" s="663">
        <f t="shared" ca="1" si="14"/>
        <v>4989</v>
      </c>
      <c r="S40" s="316">
        <f t="shared" ca="1" si="5"/>
        <v>90</v>
      </c>
    </row>
    <row r="41" spans="1:19">
      <c r="A41" s="665" t="str">
        <f>Sheet3!C480</f>
        <v>B1176</v>
      </c>
      <c r="B41" s="665">
        <f>Sheet3!D480</f>
        <v>150.72</v>
      </c>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1</v>
      </c>
      <c r="P41" s="2806"/>
      <c r="Q41" s="21">
        <f t="shared" si="13"/>
        <v>1</v>
      </c>
      <c r="R41" s="663">
        <f t="shared" ca="1" si="14"/>
        <v>4989</v>
      </c>
      <c r="S41" s="316">
        <f t="shared" ca="1" si="5"/>
        <v>75</v>
      </c>
    </row>
    <row r="42" spans="1:19">
      <c r="A42" s="665" t="str">
        <f>Sheet3!C481</f>
        <v>B1177</v>
      </c>
      <c r="B42" s="665">
        <f>Sheet3!D481</f>
        <v>60.29</v>
      </c>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2806"/>
      <c r="Q42" s="21">
        <f t="shared" si="13"/>
        <v>1</v>
      </c>
      <c r="R42" s="663">
        <f t="shared" ca="1" si="14"/>
        <v>4989</v>
      </c>
      <c r="S42" s="316">
        <f t="shared" ca="1" si="5"/>
        <v>30</v>
      </c>
    </row>
    <row r="43" spans="1:19">
      <c r="A43" s="665" t="str">
        <f>Sheet3!C482</f>
        <v>B1178</v>
      </c>
      <c r="B43" s="665">
        <f>Sheet3!D482</f>
        <v>60.29</v>
      </c>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1</v>
      </c>
      <c r="P43" s="2806"/>
      <c r="Q43" s="21">
        <f t="shared" si="13"/>
        <v>1</v>
      </c>
      <c r="R43" s="663">
        <f t="shared" ca="1" si="14"/>
        <v>4989</v>
      </c>
      <c r="S43" s="316">
        <f t="shared" ca="1" si="5"/>
        <v>30</v>
      </c>
    </row>
    <row r="44" spans="1:19">
      <c r="A44" s="665" t="str">
        <f>Sheet3!C483</f>
        <v>B1179</v>
      </c>
      <c r="B44" s="665">
        <f>Sheet3!D483</f>
        <v>60.29</v>
      </c>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2806"/>
      <c r="Q44" s="21">
        <f t="shared" si="13"/>
        <v>1</v>
      </c>
      <c r="R44" s="663">
        <f t="shared" ca="1" si="14"/>
        <v>4989</v>
      </c>
      <c r="S44" s="316">
        <f t="shared" ca="1" si="5"/>
        <v>30</v>
      </c>
    </row>
    <row r="45" spans="1:19">
      <c r="A45" s="665" t="str">
        <f>Sheet3!C484</f>
        <v>B1180</v>
      </c>
      <c r="B45" s="665">
        <f>Sheet3!D484</f>
        <v>180.86</v>
      </c>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1</v>
      </c>
      <c r="P45" s="2806"/>
      <c r="Q45" s="21">
        <f t="shared" si="13"/>
        <v>1</v>
      </c>
      <c r="R45" s="663">
        <f t="shared" ca="1" si="14"/>
        <v>4989</v>
      </c>
      <c r="S45" s="316">
        <f t="shared" ca="1" si="5"/>
        <v>90</v>
      </c>
    </row>
    <row r="46" spans="1:19">
      <c r="A46" s="665" t="str">
        <f>Sheet3!C485</f>
        <v>B1181</v>
      </c>
      <c r="B46" s="665">
        <f>Sheet3!D485</f>
        <v>180.86</v>
      </c>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2806"/>
      <c r="Q46" s="21">
        <f t="shared" si="13"/>
        <v>1</v>
      </c>
      <c r="R46" s="663">
        <f t="shared" ca="1" si="14"/>
        <v>4989</v>
      </c>
      <c r="S46" s="316">
        <f t="shared" ca="1" si="5"/>
        <v>90</v>
      </c>
    </row>
    <row r="47" spans="1:19">
      <c r="A47" s="665" t="str">
        <f>Sheet3!C486</f>
        <v>B1182</v>
      </c>
      <c r="B47" s="665">
        <f>Sheet3!D486</f>
        <v>180.86</v>
      </c>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1</v>
      </c>
      <c r="P47" s="2806"/>
      <c r="Q47" s="21">
        <f t="shared" si="13"/>
        <v>1</v>
      </c>
      <c r="R47" s="663">
        <f t="shared" ca="1" si="14"/>
        <v>4989</v>
      </c>
      <c r="S47" s="316">
        <f t="shared" ca="1" si="5"/>
        <v>90</v>
      </c>
    </row>
    <row r="48" spans="1:19">
      <c r="A48" s="665" t="str">
        <f>Sheet3!C487</f>
        <v>B1183</v>
      </c>
      <c r="B48" s="665">
        <f>Sheet3!D487</f>
        <v>180.86</v>
      </c>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2806"/>
      <c r="Q48" s="21">
        <f t="shared" si="13"/>
        <v>1</v>
      </c>
      <c r="R48" s="663">
        <f t="shared" ca="1" si="14"/>
        <v>4989</v>
      </c>
      <c r="S48" s="316">
        <f t="shared" ca="1" si="5"/>
        <v>90</v>
      </c>
    </row>
    <row r="49" spans="1:19">
      <c r="A49" s="665" t="str">
        <f>Sheet3!C488</f>
        <v>B1184</v>
      </c>
      <c r="B49" s="665">
        <f>Sheet3!D488</f>
        <v>271.29000000000002</v>
      </c>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1</v>
      </c>
      <c r="P49" s="2806"/>
      <c r="Q49" s="21">
        <f t="shared" si="13"/>
        <v>1</v>
      </c>
      <c r="R49" s="663">
        <f t="shared" ca="1" si="14"/>
        <v>4989</v>
      </c>
      <c r="S49" s="316">
        <f t="shared" ca="1" si="5"/>
        <v>135</v>
      </c>
    </row>
    <row r="50" spans="1:19">
      <c r="A50" s="665" t="str">
        <f>Sheet3!C489</f>
        <v>B1185</v>
      </c>
      <c r="B50" s="665">
        <f>Sheet3!D489</f>
        <v>271.29000000000002</v>
      </c>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2806"/>
      <c r="Q50" s="21">
        <f t="shared" si="13"/>
        <v>1</v>
      </c>
      <c r="R50" s="663">
        <f t="shared" ca="1" si="14"/>
        <v>4989</v>
      </c>
      <c r="S50" s="316">
        <f t="shared" ca="1" si="5"/>
        <v>135</v>
      </c>
    </row>
    <row r="51" spans="1:19">
      <c r="A51" s="665" t="str">
        <f>Sheet3!C490</f>
        <v>B1186</v>
      </c>
      <c r="B51" s="665">
        <f>Sheet3!D490</f>
        <v>271.29000000000002</v>
      </c>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1</v>
      </c>
      <c r="P51" s="2806"/>
      <c r="Q51" s="21">
        <f t="shared" si="13"/>
        <v>1</v>
      </c>
      <c r="R51" s="663">
        <f t="shared" ca="1" si="14"/>
        <v>4989</v>
      </c>
      <c r="S51" s="316">
        <f t="shared" ca="1" si="5"/>
        <v>135</v>
      </c>
    </row>
    <row r="52" spans="1:19">
      <c r="A52" s="665" t="str">
        <f>Sheet3!C491</f>
        <v>B1187</v>
      </c>
      <c r="B52" s="665">
        <f>Sheet3!D491</f>
        <v>271.29000000000002</v>
      </c>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2806"/>
      <c r="Q52" s="21">
        <f t="shared" si="13"/>
        <v>1</v>
      </c>
      <c r="R52" s="663">
        <f t="shared" ca="1" si="14"/>
        <v>4989</v>
      </c>
      <c r="S52" s="316">
        <f t="shared" ca="1" si="5"/>
        <v>135</v>
      </c>
    </row>
    <row r="53" spans="1:19">
      <c r="A53" s="665" t="str">
        <f>Sheet3!C492</f>
        <v>B1188</v>
      </c>
      <c r="B53" s="665">
        <f>Sheet3!D492</f>
        <v>120.58</v>
      </c>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1</v>
      </c>
      <c r="P53" s="2806"/>
      <c r="Q53" s="21">
        <f t="shared" si="13"/>
        <v>1</v>
      </c>
      <c r="R53" s="663">
        <f t="shared" ca="1" si="14"/>
        <v>4989</v>
      </c>
      <c r="S53" s="316">
        <f t="shared" ca="1" si="5"/>
        <v>60</v>
      </c>
    </row>
    <row r="54" spans="1:19">
      <c r="A54" s="665"/>
      <c r="B54" s="665"/>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2806"/>
      <c r="Q54" s="21">
        <f t="shared" si="13"/>
        <v>1</v>
      </c>
      <c r="R54" s="663">
        <f t="shared" si="14"/>
        <v>0</v>
      </c>
      <c r="S54" s="316">
        <f t="shared" si="5"/>
        <v>0</v>
      </c>
    </row>
    <row r="55" spans="1:19">
      <c r="A55" s="665"/>
      <c r="B55" s="665"/>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1</v>
      </c>
      <c r="P55" s="2806"/>
      <c r="Q55" s="21">
        <f t="shared" si="13"/>
        <v>1</v>
      </c>
      <c r="R55" s="663">
        <f t="shared" si="14"/>
        <v>0</v>
      </c>
      <c r="S55" s="316">
        <f t="shared" si="5"/>
        <v>0</v>
      </c>
    </row>
    <row r="56" spans="1:19">
      <c r="A56" s="665"/>
      <c r="B56" s="665"/>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2806"/>
      <c r="Q56" s="21">
        <f t="shared" si="13"/>
        <v>1</v>
      </c>
      <c r="R56" s="663">
        <f t="shared" si="14"/>
        <v>0</v>
      </c>
      <c r="S56" s="316">
        <f t="shared" si="5"/>
        <v>0</v>
      </c>
    </row>
    <row r="57" spans="1:19">
      <c r="A57" s="665"/>
      <c r="B57" s="665"/>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1</v>
      </c>
      <c r="P57" s="2806"/>
      <c r="Q57" s="21">
        <f t="shared" si="13"/>
        <v>1</v>
      </c>
      <c r="R57" s="663">
        <f t="shared" si="14"/>
        <v>0</v>
      </c>
      <c r="S57" s="316">
        <f t="shared" si="5"/>
        <v>0</v>
      </c>
    </row>
    <row r="58" spans="1:19">
      <c r="A58" s="665"/>
      <c r="B58" s="665"/>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2806"/>
      <c r="Q58" s="21">
        <f t="shared" si="13"/>
        <v>1</v>
      </c>
      <c r="R58" s="663">
        <f t="shared" si="14"/>
        <v>0</v>
      </c>
      <c r="S58" s="316">
        <f t="shared" si="5"/>
        <v>0</v>
      </c>
    </row>
    <row r="59" spans="1:19">
      <c r="A59" s="665"/>
      <c r="B59" s="665"/>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1</v>
      </c>
      <c r="P59" s="2806"/>
      <c r="Q59" s="21">
        <f t="shared" si="13"/>
        <v>1</v>
      </c>
      <c r="R59" s="663">
        <f t="shared" si="14"/>
        <v>0</v>
      </c>
      <c r="S59" s="316">
        <f t="shared" si="5"/>
        <v>0</v>
      </c>
    </row>
    <row r="60" spans="1:19">
      <c r="A60" s="665"/>
      <c r="B60" s="665"/>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2806"/>
      <c r="Q60" s="21">
        <f t="shared" si="13"/>
        <v>1</v>
      </c>
      <c r="R60" s="663">
        <f t="shared" si="14"/>
        <v>0</v>
      </c>
      <c r="S60" s="316">
        <f t="shared" si="5"/>
        <v>0</v>
      </c>
    </row>
    <row r="61" spans="1:19">
      <c r="A61" s="665"/>
      <c r="B61" s="665"/>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1</v>
      </c>
      <c r="P61" s="2806"/>
      <c r="Q61" s="21">
        <f t="shared" si="13"/>
        <v>1</v>
      </c>
      <c r="R61" s="663">
        <f t="shared" si="14"/>
        <v>0</v>
      </c>
      <c r="S61" s="316">
        <f t="shared" si="5"/>
        <v>0</v>
      </c>
    </row>
    <row r="62" spans="1:19">
      <c r="A62" s="665"/>
      <c r="B62" s="665"/>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2806"/>
      <c r="Q62" s="21">
        <f t="shared" si="13"/>
        <v>1</v>
      </c>
      <c r="R62" s="663">
        <f t="shared" si="14"/>
        <v>0</v>
      </c>
      <c r="S62" s="316">
        <f t="shared" si="5"/>
        <v>0</v>
      </c>
    </row>
    <row r="63" spans="1:19">
      <c r="A63" s="665"/>
      <c r="B63" s="665"/>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1</v>
      </c>
      <c r="P63" s="2806"/>
      <c r="Q63" s="21">
        <f t="shared" si="13"/>
        <v>1</v>
      </c>
      <c r="R63" s="663">
        <f t="shared" si="14"/>
        <v>0</v>
      </c>
      <c r="S63" s="316">
        <f t="shared" si="5"/>
        <v>0</v>
      </c>
    </row>
    <row r="64" spans="1:19">
      <c r="A64" s="665"/>
      <c r="B64" s="665"/>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2806"/>
      <c r="Q64" s="21">
        <f t="shared" si="13"/>
        <v>1</v>
      </c>
      <c r="R64" s="663">
        <f t="shared" si="14"/>
        <v>0</v>
      </c>
      <c r="S64" s="316">
        <f t="shared" si="5"/>
        <v>0</v>
      </c>
    </row>
    <row r="65" spans="1:19">
      <c r="A65" s="665"/>
      <c r="B65" s="665"/>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1</v>
      </c>
      <c r="P65" s="2806"/>
      <c r="Q65" s="21">
        <f t="shared" si="13"/>
        <v>1</v>
      </c>
      <c r="R65" s="663">
        <f t="shared" si="14"/>
        <v>0</v>
      </c>
      <c r="S65" s="316">
        <f t="shared" si="5"/>
        <v>0</v>
      </c>
    </row>
    <row r="66" spans="1:19">
      <c r="A66" s="665"/>
      <c r="B66" s="665"/>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2806"/>
      <c r="Q66" s="21">
        <f t="shared" si="13"/>
        <v>1</v>
      </c>
      <c r="R66" s="663">
        <f t="shared" si="14"/>
        <v>0</v>
      </c>
      <c r="S66" s="316">
        <f t="shared" si="5"/>
        <v>0</v>
      </c>
    </row>
    <row r="67" spans="1:19">
      <c r="A67" s="665"/>
      <c r="B67" s="665"/>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1</v>
      </c>
      <c r="P67" s="2806"/>
      <c r="Q67" s="21">
        <f t="shared" si="13"/>
        <v>1</v>
      </c>
      <c r="R67" s="663">
        <f t="shared" si="14"/>
        <v>0</v>
      </c>
      <c r="S67" s="316">
        <f t="shared" si="5"/>
        <v>0</v>
      </c>
    </row>
    <row r="68" spans="1:19">
      <c r="A68" s="665"/>
      <c r="B68" s="665"/>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2806"/>
      <c r="Q68" s="21">
        <f t="shared" si="13"/>
        <v>1</v>
      </c>
      <c r="R68" s="663">
        <f t="shared" si="14"/>
        <v>0</v>
      </c>
      <c r="S68" s="316">
        <f t="shared" si="5"/>
        <v>0</v>
      </c>
    </row>
    <row r="69" spans="1:19">
      <c r="A69" s="665"/>
      <c r="B69" s="665"/>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1</v>
      </c>
      <c r="P69" s="2806"/>
      <c r="Q69" s="21">
        <f t="shared" si="13"/>
        <v>1</v>
      </c>
      <c r="R69" s="663">
        <f t="shared" si="14"/>
        <v>0</v>
      </c>
      <c r="S69" s="316">
        <f t="shared" si="5"/>
        <v>0</v>
      </c>
    </row>
    <row r="70" spans="1:19">
      <c r="A70" s="665"/>
      <c r="B70" s="665"/>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2806"/>
      <c r="Q70" s="21">
        <f t="shared" si="13"/>
        <v>1</v>
      </c>
      <c r="R70" s="663">
        <f t="shared" si="14"/>
        <v>0</v>
      </c>
      <c r="S70" s="316">
        <f t="shared" si="5"/>
        <v>0</v>
      </c>
    </row>
    <row r="71" spans="1:19">
      <c r="A71" s="665"/>
      <c r="B71" s="665"/>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1</v>
      </c>
      <c r="P71" s="2806"/>
      <c r="Q71" s="21">
        <f t="shared" si="13"/>
        <v>1</v>
      </c>
      <c r="R71" s="663">
        <f t="shared" si="14"/>
        <v>0</v>
      </c>
      <c r="S71" s="316">
        <f t="shared" si="5"/>
        <v>0</v>
      </c>
    </row>
    <row r="72" spans="1:19">
      <c r="A72" s="665"/>
      <c r="B72" s="665"/>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2806"/>
      <c r="Q72" s="21">
        <f t="shared" si="13"/>
        <v>1</v>
      </c>
      <c r="R72" s="663">
        <f t="shared" si="14"/>
        <v>0</v>
      </c>
      <c r="S72" s="316">
        <f t="shared" si="5"/>
        <v>0</v>
      </c>
    </row>
    <row r="73" spans="1:19">
      <c r="A73" s="665"/>
      <c r="B73" s="665"/>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1</v>
      </c>
      <c r="P73" s="2806"/>
      <c r="Q73" s="21">
        <f t="shared" si="13"/>
        <v>1</v>
      </c>
      <c r="R73" s="663">
        <f t="shared" si="14"/>
        <v>0</v>
      </c>
      <c r="S73" s="316">
        <f t="shared" si="5"/>
        <v>0</v>
      </c>
    </row>
    <row r="74" spans="1:19">
      <c r="A74" s="665"/>
      <c r="B74" s="665"/>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2806"/>
      <c r="Q74" s="21">
        <f t="shared" si="13"/>
        <v>1</v>
      </c>
      <c r="R74" s="663">
        <f t="shared" si="14"/>
        <v>0</v>
      </c>
      <c r="S74" s="316">
        <f t="shared" si="5"/>
        <v>0</v>
      </c>
    </row>
    <row r="75" spans="1:19">
      <c r="A75" s="665"/>
      <c r="B75" s="665"/>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1</v>
      </c>
      <c r="P75" s="2806"/>
      <c r="Q75" s="21">
        <f t="shared" si="13"/>
        <v>1</v>
      </c>
      <c r="R75" s="663">
        <f t="shared" si="14"/>
        <v>0</v>
      </c>
      <c r="S75" s="316">
        <f t="shared" si="5"/>
        <v>0</v>
      </c>
    </row>
    <row r="76" spans="1:19">
      <c r="A76" s="665"/>
      <c r="B76" s="665"/>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2806"/>
      <c r="Q76" s="21">
        <f t="shared" si="13"/>
        <v>1</v>
      </c>
      <c r="R76" s="663">
        <f t="shared" si="14"/>
        <v>0</v>
      </c>
      <c r="S76" s="316">
        <f t="shared" si="5"/>
        <v>0</v>
      </c>
    </row>
    <row r="77" spans="1:19">
      <c r="A77" s="665"/>
      <c r="B77" s="665"/>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1</v>
      </c>
      <c r="P77" s="2806"/>
      <c r="Q77" s="21">
        <f t="shared" si="13"/>
        <v>1</v>
      </c>
      <c r="R77" s="663">
        <f t="shared" si="14"/>
        <v>0</v>
      </c>
      <c r="S77" s="316">
        <f t="shared" si="5"/>
        <v>0</v>
      </c>
    </row>
    <row r="78" spans="1:19">
      <c r="A78" s="665"/>
      <c r="B78" s="665"/>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2806"/>
      <c r="Q78" s="21">
        <f t="shared" si="13"/>
        <v>1</v>
      </c>
      <c r="R78" s="663">
        <f t="shared" si="14"/>
        <v>0</v>
      </c>
      <c r="S78" s="316">
        <f t="shared" si="5"/>
        <v>0</v>
      </c>
    </row>
    <row r="79" spans="1:19">
      <c r="A79" s="665"/>
      <c r="B79" s="665"/>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1</v>
      </c>
      <c r="P79" s="2806"/>
      <c r="Q79" s="21">
        <f t="shared" si="13"/>
        <v>1</v>
      </c>
      <c r="R79" s="663">
        <f t="shared" si="14"/>
        <v>0</v>
      </c>
      <c r="S79" s="316">
        <f t="shared" si="5"/>
        <v>0</v>
      </c>
    </row>
    <row r="80" spans="1:19">
      <c r="A80" s="665"/>
      <c r="B80" s="665"/>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2806"/>
      <c r="Q80" s="21">
        <f t="shared" si="13"/>
        <v>1</v>
      </c>
      <c r="R80" s="663">
        <f t="shared" si="14"/>
        <v>0</v>
      </c>
      <c r="S80" s="316">
        <f t="shared" si="5"/>
        <v>0</v>
      </c>
    </row>
    <row r="81" spans="1:19">
      <c r="A81" s="665"/>
      <c r="B81" s="665"/>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1</v>
      </c>
      <c r="P81" s="2806"/>
      <c r="Q81" s="21">
        <f t="shared" si="13"/>
        <v>1</v>
      </c>
      <c r="R81" s="663">
        <f t="shared" si="14"/>
        <v>0</v>
      </c>
      <c r="S81" s="316">
        <f t="shared" si="5"/>
        <v>0</v>
      </c>
    </row>
    <row r="82" spans="1:19">
      <c r="A82" s="665"/>
      <c r="B82" s="665"/>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2806"/>
      <c r="Q82" s="21">
        <f t="shared" si="13"/>
        <v>1</v>
      </c>
      <c r="R82" s="663">
        <f t="shared" si="14"/>
        <v>0</v>
      </c>
      <c r="S82" s="316">
        <f t="shared" si="5"/>
        <v>0</v>
      </c>
    </row>
    <row r="83" spans="1:19">
      <c r="A83" s="665"/>
      <c r="B83" s="665"/>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1</v>
      </c>
      <c r="P83" s="2806"/>
      <c r="Q83" s="21">
        <f t="shared" si="13"/>
        <v>1</v>
      </c>
      <c r="R83" s="663">
        <f t="shared" si="14"/>
        <v>0</v>
      </c>
      <c r="S83" s="316">
        <f t="shared" si="5"/>
        <v>0</v>
      </c>
    </row>
    <row r="84" spans="1:19">
      <c r="A84" s="665"/>
      <c r="B84" s="665"/>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2806"/>
      <c r="Q84" s="21">
        <f t="shared" si="13"/>
        <v>1</v>
      </c>
      <c r="R84" s="663">
        <f t="shared" si="14"/>
        <v>0</v>
      </c>
      <c r="S84" s="316">
        <f t="shared" si="5"/>
        <v>0</v>
      </c>
    </row>
    <row r="85" spans="1:19">
      <c r="A85" s="665"/>
      <c r="B85" s="665"/>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1</v>
      </c>
      <c r="P85" s="2806"/>
      <c r="Q85" s="21">
        <f t="shared" si="13"/>
        <v>1</v>
      </c>
      <c r="R85" s="663">
        <f t="shared" si="14"/>
        <v>0</v>
      </c>
      <c r="S85" s="316">
        <f t="shared" si="5"/>
        <v>0</v>
      </c>
    </row>
    <row r="86" spans="1:19">
      <c r="A86" s="665"/>
      <c r="B86" s="665"/>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2806"/>
      <c r="Q86" s="21">
        <f t="shared" si="13"/>
        <v>1</v>
      </c>
      <c r="R86" s="663">
        <f t="shared" si="14"/>
        <v>0</v>
      </c>
      <c r="S86" s="316">
        <f t="shared" si="5"/>
        <v>0</v>
      </c>
    </row>
    <row r="87" spans="1:19">
      <c r="A87" s="665"/>
      <c r="B87" s="665"/>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1</v>
      </c>
      <c r="P87" s="2806"/>
      <c r="Q87" s="21">
        <f t="shared" si="13"/>
        <v>1</v>
      </c>
      <c r="R87" s="663">
        <f t="shared" si="14"/>
        <v>0</v>
      </c>
      <c r="S87" s="316">
        <f t="shared" si="5"/>
        <v>0</v>
      </c>
    </row>
    <row r="88" spans="1:19">
      <c r="A88" s="665"/>
      <c r="B88" s="665"/>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2806"/>
      <c r="Q88" s="21">
        <f t="shared" si="13"/>
        <v>1</v>
      </c>
      <c r="R88" s="663">
        <f t="shared" si="14"/>
        <v>0</v>
      </c>
      <c r="S88" s="316">
        <f t="shared" ref="S88:S151" si="15">ROUND(R88*B88/10000,0)</f>
        <v>0</v>
      </c>
    </row>
    <row r="89" spans="1:19">
      <c r="A89" s="665"/>
      <c r="B89" s="665"/>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1</v>
      </c>
      <c r="P89" s="2806"/>
      <c r="Q89" s="21">
        <f t="shared" si="13"/>
        <v>1</v>
      </c>
      <c r="R89" s="663">
        <f t="shared" si="14"/>
        <v>0</v>
      </c>
      <c r="S89" s="316">
        <f t="shared" si="15"/>
        <v>0</v>
      </c>
    </row>
    <row r="90" spans="1:19">
      <c r="A90" s="665"/>
      <c r="B90" s="665"/>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2806"/>
      <c r="Q90" s="21">
        <f t="shared" ref="Q90:Q153" si="23">(SUMIF($17:$17,P90,$18:$18)-SUMIF($17:$17,$P$24,$18:$18)+100)/100</f>
        <v>1</v>
      </c>
      <c r="R90" s="663">
        <f t="shared" ref="R90:R153" si="24">IF(B90="",0,ROUND($R$24*C90*E90*G90*I90*K90*M90*O90*Q90,0))</f>
        <v>0</v>
      </c>
      <c r="S90" s="316">
        <f t="shared" si="15"/>
        <v>0</v>
      </c>
    </row>
    <row r="91" spans="1:19">
      <c r="A91" s="665"/>
      <c r="B91" s="665"/>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1</v>
      </c>
      <c r="P91" s="2806"/>
      <c r="Q91" s="21">
        <f t="shared" si="23"/>
        <v>1</v>
      </c>
      <c r="R91" s="663">
        <f t="shared" si="24"/>
        <v>0</v>
      </c>
      <c r="S91" s="316">
        <f t="shared" si="15"/>
        <v>0</v>
      </c>
    </row>
    <row r="92" spans="1:19">
      <c r="A92" s="665"/>
      <c r="B92" s="665"/>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2806"/>
      <c r="Q92" s="21">
        <f t="shared" si="23"/>
        <v>1</v>
      </c>
      <c r="R92" s="663">
        <f t="shared" si="24"/>
        <v>0</v>
      </c>
      <c r="S92" s="316">
        <f t="shared" si="15"/>
        <v>0</v>
      </c>
    </row>
    <row r="93" spans="1:19">
      <c r="A93" s="665"/>
      <c r="B93" s="665"/>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1</v>
      </c>
      <c r="P93" s="2806"/>
      <c r="Q93" s="21">
        <f t="shared" si="23"/>
        <v>1</v>
      </c>
      <c r="R93" s="663">
        <f t="shared" si="24"/>
        <v>0</v>
      </c>
      <c r="S93" s="316">
        <f t="shared" si="15"/>
        <v>0</v>
      </c>
    </row>
    <row r="94" spans="1:19">
      <c r="A94" s="665"/>
      <c r="B94" s="665"/>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2806"/>
      <c r="Q94" s="21">
        <f t="shared" si="23"/>
        <v>1</v>
      </c>
      <c r="R94" s="663">
        <f t="shared" si="24"/>
        <v>0</v>
      </c>
      <c r="S94" s="316">
        <f t="shared" si="15"/>
        <v>0</v>
      </c>
    </row>
    <row r="95" spans="1:19">
      <c r="A95" s="665"/>
      <c r="B95" s="665"/>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1</v>
      </c>
      <c r="P95" s="2806"/>
      <c r="Q95" s="21">
        <f t="shared" si="23"/>
        <v>1</v>
      </c>
      <c r="R95" s="663">
        <f t="shared" si="24"/>
        <v>0</v>
      </c>
      <c r="S95" s="316">
        <f t="shared" si="15"/>
        <v>0</v>
      </c>
    </row>
    <row r="96" spans="1:19">
      <c r="A96" s="665"/>
      <c r="B96" s="665"/>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2806"/>
      <c r="Q96" s="21">
        <f t="shared" si="23"/>
        <v>1</v>
      </c>
      <c r="R96" s="663">
        <f t="shared" si="24"/>
        <v>0</v>
      </c>
      <c r="S96" s="316">
        <f t="shared" si="15"/>
        <v>0</v>
      </c>
    </row>
    <row r="97" spans="1:19">
      <c r="A97" s="665"/>
      <c r="B97" s="665"/>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1</v>
      </c>
      <c r="P97" s="2806"/>
      <c r="Q97" s="21">
        <f t="shared" si="23"/>
        <v>1</v>
      </c>
      <c r="R97" s="663">
        <f t="shared" si="24"/>
        <v>0</v>
      </c>
      <c r="S97" s="316">
        <f t="shared" si="15"/>
        <v>0</v>
      </c>
    </row>
    <row r="98" spans="1:19">
      <c r="A98" s="665"/>
      <c r="B98" s="665"/>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2806"/>
      <c r="Q98" s="21">
        <f t="shared" si="23"/>
        <v>1</v>
      </c>
      <c r="R98" s="663">
        <f t="shared" si="24"/>
        <v>0</v>
      </c>
      <c r="S98" s="316">
        <f t="shared" si="15"/>
        <v>0</v>
      </c>
    </row>
    <row r="99" spans="1:19">
      <c r="A99" s="665"/>
      <c r="B99" s="665"/>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1</v>
      </c>
      <c r="P99" s="2806"/>
      <c r="Q99" s="21">
        <f t="shared" si="23"/>
        <v>1</v>
      </c>
      <c r="R99" s="663">
        <f t="shared" si="24"/>
        <v>0</v>
      </c>
      <c r="S99" s="316">
        <f t="shared" si="15"/>
        <v>0</v>
      </c>
    </row>
    <row r="100" spans="1:19">
      <c r="A100" s="665"/>
      <c r="B100" s="665"/>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2806"/>
      <c r="Q100" s="21">
        <f t="shared" si="23"/>
        <v>1</v>
      </c>
      <c r="R100" s="663">
        <f t="shared" si="24"/>
        <v>0</v>
      </c>
      <c r="S100" s="316">
        <f t="shared" si="15"/>
        <v>0</v>
      </c>
    </row>
    <row r="101" spans="1:19">
      <c r="A101" s="665"/>
      <c r="B101" s="665"/>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1</v>
      </c>
      <c r="P101" s="2806"/>
      <c r="Q101" s="21">
        <f t="shared" si="23"/>
        <v>1</v>
      </c>
      <c r="R101" s="663">
        <f t="shared" si="24"/>
        <v>0</v>
      </c>
      <c r="S101" s="316">
        <f t="shared" si="15"/>
        <v>0</v>
      </c>
    </row>
    <row r="102" spans="1:19">
      <c r="A102" s="665"/>
      <c r="B102" s="665"/>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2806"/>
      <c r="Q102" s="21">
        <f t="shared" si="23"/>
        <v>1</v>
      </c>
      <c r="R102" s="663">
        <f t="shared" si="24"/>
        <v>0</v>
      </c>
      <c r="S102" s="316">
        <f t="shared" si="15"/>
        <v>0</v>
      </c>
    </row>
    <row r="103" spans="1:19">
      <c r="A103" s="665"/>
      <c r="B103" s="665"/>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1</v>
      </c>
      <c r="P103" s="2806"/>
      <c r="Q103" s="21">
        <f t="shared" si="23"/>
        <v>1</v>
      </c>
      <c r="R103" s="663">
        <f t="shared" si="24"/>
        <v>0</v>
      </c>
      <c r="S103" s="316">
        <f t="shared" si="15"/>
        <v>0</v>
      </c>
    </row>
    <row r="104" spans="1:19">
      <c r="A104" s="665"/>
      <c r="B104" s="665"/>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2806"/>
      <c r="Q104" s="21">
        <f t="shared" si="23"/>
        <v>1</v>
      </c>
      <c r="R104" s="663">
        <f t="shared" si="24"/>
        <v>0</v>
      </c>
      <c r="S104" s="316">
        <f t="shared" si="15"/>
        <v>0</v>
      </c>
    </row>
    <row r="105" spans="1:19">
      <c r="A105" s="665"/>
      <c r="B105" s="665"/>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1</v>
      </c>
      <c r="P105" s="2806"/>
      <c r="Q105" s="21">
        <f t="shared" si="23"/>
        <v>1</v>
      </c>
      <c r="R105" s="663">
        <f t="shared" si="24"/>
        <v>0</v>
      </c>
      <c r="S105" s="316">
        <f t="shared" si="15"/>
        <v>0</v>
      </c>
    </row>
    <row r="106" spans="1:19">
      <c r="A106" s="665"/>
      <c r="B106" s="665"/>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2806"/>
      <c r="Q106" s="21">
        <f t="shared" si="23"/>
        <v>1</v>
      </c>
      <c r="R106" s="663">
        <f t="shared" si="24"/>
        <v>0</v>
      </c>
      <c r="S106" s="316">
        <f t="shared" si="15"/>
        <v>0</v>
      </c>
    </row>
    <row r="107" spans="1:19">
      <c r="A107" s="665"/>
      <c r="B107" s="665"/>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1</v>
      </c>
      <c r="P107" s="2806"/>
      <c r="Q107" s="21">
        <f t="shared" si="23"/>
        <v>1</v>
      </c>
      <c r="R107" s="663">
        <f t="shared" si="24"/>
        <v>0</v>
      </c>
      <c r="S107" s="316">
        <f t="shared" si="15"/>
        <v>0</v>
      </c>
    </row>
    <row r="108" spans="1:19">
      <c r="A108" s="665"/>
      <c r="B108" s="665"/>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2806"/>
      <c r="Q108" s="21">
        <f t="shared" si="23"/>
        <v>1</v>
      </c>
      <c r="R108" s="663">
        <f t="shared" si="24"/>
        <v>0</v>
      </c>
      <c r="S108" s="316">
        <f t="shared" si="15"/>
        <v>0</v>
      </c>
    </row>
    <row r="109" spans="1:19">
      <c r="A109" s="665"/>
      <c r="B109" s="665"/>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1</v>
      </c>
      <c r="P109" s="2806"/>
      <c r="Q109" s="21">
        <f t="shared" si="23"/>
        <v>1</v>
      </c>
      <c r="R109" s="663">
        <f t="shared" si="24"/>
        <v>0</v>
      </c>
      <c r="S109" s="316">
        <f t="shared" si="15"/>
        <v>0</v>
      </c>
    </row>
    <row r="110" spans="1:19">
      <c r="A110" s="665"/>
      <c r="B110" s="665"/>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2806"/>
      <c r="Q110" s="21">
        <f t="shared" si="23"/>
        <v>1</v>
      </c>
      <c r="R110" s="663">
        <f t="shared" si="24"/>
        <v>0</v>
      </c>
      <c r="S110" s="316">
        <f t="shared" si="15"/>
        <v>0</v>
      </c>
    </row>
    <row r="111" spans="1:19">
      <c r="A111" s="665"/>
      <c r="B111" s="665"/>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1</v>
      </c>
      <c r="P111" s="2806"/>
      <c r="Q111" s="21">
        <f t="shared" si="23"/>
        <v>1</v>
      </c>
      <c r="R111" s="663">
        <f t="shared" si="24"/>
        <v>0</v>
      </c>
      <c r="S111" s="316">
        <f t="shared" si="15"/>
        <v>0</v>
      </c>
    </row>
    <row r="112" spans="1:19">
      <c r="A112" s="665"/>
      <c r="B112" s="665"/>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2806"/>
      <c r="Q112" s="21">
        <f t="shared" si="23"/>
        <v>1</v>
      </c>
      <c r="R112" s="663">
        <f t="shared" si="24"/>
        <v>0</v>
      </c>
      <c r="S112" s="316">
        <f t="shared" si="15"/>
        <v>0</v>
      </c>
    </row>
    <row r="113" spans="1:19">
      <c r="A113" s="665"/>
      <c r="B113" s="665"/>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1</v>
      </c>
      <c r="P113" s="2806"/>
      <c r="Q113" s="21">
        <f t="shared" si="23"/>
        <v>1</v>
      </c>
      <c r="R113" s="663">
        <f t="shared" si="24"/>
        <v>0</v>
      </c>
      <c r="S113" s="316">
        <f t="shared" si="15"/>
        <v>0</v>
      </c>
    </row>
    <row r="114" spans="1:19">
      <c r="A114" s="665"/>
      <c r="B114" s="665"/>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2806"/>
      <c r="Q114" s="21">
        <f t="shared" si="23"/>
        <v>1</v>
      </c>
      <c r="R114" s="663">
        <f t="shared" si="24"/>
        <v>0</v>
      </c>
      <c r="S114" s="316">
        <f t="shared" si="15"/>
        <v>0</v>
      </c>
    </row>
    <row r="115" spans="1:19">
      <c r="A115" s="665"/>
      <c r="B115" s="665"/>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1</v>
      </c>
      <c r="P115" s="2806"/>
      <c r="Q115" s="21">
        <f t="shared" si="23"/>
        <v>1</v>
      </c>
      <c r="R115" s="663">
        <f t="shared" si="24"/>
        <v>0</v>
      </c>
      <c r="S115" s="316">
        <f t="shared" si="15"/>
        <v>0</v>
      </c>
    </row>
    <row r="116" spans="1:19">
      <c r="A116" s="665"/>
      <c r="B116" s="665"/>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2806"/>
      <c r="Q116" s="21">
        <f t="shared" si="23"/>
        <v>1</v>
      </c>
      <c r="R116" s="663">
        <f t="shared" si="24"/>
        <v>0</v>
      </c>
      <c r="S116" s="316">
        <f t="shared" si="15"/>
        <v>0</v>
      </c>
    </row>
    <row r="117" spans="1:19">
      <c r="A117" s="665"/>
      <c r="B117" s="665"/>
      <c r="C117" s="21">
        <f t="shared" si="16"/>
        <v>1</v>
      </c>
      <c r="D117" s="667"/>
      <c r="E117" s="21">
        <f t="shared" si="17"/>
        <v>1</v>
      </c>
      <c r="F117" s="667"/>
      <c r="G117" s="21">
        <f t="shared" si="18"/>
        <v>1</v>
      </c>
      <c r="H117" s="667"/>
      <c r="I117" s="21">
        <f t="shared" si="19"/>
        <v>1</v>
      </c>
      <c r="J117" s="667"/>
      <c r="K117" s="21">
        <f t="shared" si="20"/>
        <v>1</v>
      </c>
      <c r="L117" s="667"/>
      <c r="M117" s="21">
        <f t="shared" si="21"/>
        <v>1</v>
      </c>
      <c r="N117" s="667"/>
      <c r="O117" s="21">
        <f t="shared" si="22"/>
        <v>1</v>
      </c>
      <c r="P117" s="2806"/>
      <c r="Q117" s="21">
        <f t="shared" si="23"/>
        <v>1</v>
      </c>
      <c r="R117" s="663">
        <f t="shared" si="24"/>
        <v>0</v>
      </c>
      <c r="S117" s="316">
        <f t="shared" si="15"/>
        <v>0</v>
      </c>
    </row>
    <row r="118" spans="1:19">
      <c r="A118" s="665"/>
      <c r="B118" s="665"/>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2806"/>
      <c r="Q118" s="21">
        <f t="shared" si="23"/>
        <v>1</v>
      </c>
      <c r="R118" s="663">
        <f t="shared" si="24"/>
        <v>0</v>
      </c>
      <c r="S118" s="316">
        <f t="shared" si="15"/>
        <v>0</v>
      </c>
    </row>
    <row r="119" spans="1:19">
      <c r="A119" s="665"/>
      <c r="B119" s="665"/>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1</v>
      </c>
      <c r="P119" s="2806"/>
      <c r="Q119" s="21">
        <f t="shared" si="23"/>
        <v>1</v>
      </c>
      <c r="R119" s="663">
        <f t="shared" si="24"/>
        <v>0</v>
      </c>
      <c r="S119" s="316">
        <f t="shared" si="15"/>
        <v>0</v>
      </c>
    </row>
    <row r="120" spans="1:19">
      <c r="A120" s="665"/>
      <c r="B120" s="665"/>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2806"/>
      <c r="Q120" s="21">
        <f t="shared" si="23"/>
        <v>1</v>
      </c>
      <c r="R120" s="663">
        <f t="shared" si="24"/>
        <v>0</v>
      </c>
      <c r="S120" s="316">
        <f t="shared" si="15"/>
        <v>0</v>
      </c>
    </row>
    <row r="121" spans="1:19">
      <c r="A121" s="665"/>
      <c r="B121" s="665"/>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1</v>
      </c>
      <c r="P121" s="2806"/>
      <c r="Q121" s="21">
        <f t="shared" si="23"/>
        <v>1</v>
      </c>
      <c r="R121" s="663">
        <f t="shared" si="24"/>
        <v>0</v>
      </c>
      <c r="S121" s="316">
        <f t="shared" si="15"/>
        <v>0</v>
      </c>
    </row>
    <row r="122" spans="1:19">
      <c r="A122" s="665"/>
      <c r="B122" s="665"/>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2806"/>
      <c r="Q122" s="21">
        <f t="shared" si="23"/>
        <v>1</v>
      </c>
      <c r="R122" s="663">
        <f t="shared" si="24"/>
        <v>0</v>
      </c>
      <c r="S122" s="316">
        <f t="shared" si="15"/>
        <v>0</v>
      </c>
    </row>
    <row r="123" spans="1:19">
      <c r="A123" s="665"/>
      <c r="B123" s="665"/>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1</v>
      </c>
      <c r="P123" s="2806"/>
      <c r="Q123" s="21">
        <f t="shared" si="23"/>
        <v>1</v>
      </c>
      <c r="R123" s="663">
        <f t="shared" si="24"/>
        <v>0</v>
      </c>
      <c r="S123" s="316">
        <f t="shared" si="15"/>
        <v>0</v>
      </c>
    </row>
    <row r="124" spans="1:19">
      <c r="A124" s="665"/>
      <c r="B124" s="665"/>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2806"/>
      <c r="Q124" s="21">
        <f t="shared" si="23"/>
        <v>1</v>
      </c>
      <c r="R124" s="663">
        <f t="shared" si="24"/>
        <v>0</v>
      </c>
      <c r="S124" s="316">
        <f t="shared" si="15"/>
        <v>0</v>
      </c>
    </row>
    <row r="125" spans="1:19">
      <c r="A125" s="665"/>
      <c r="B125" s="665"/>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1</v>
      </c>
      <c r="P125" s="2806"/>
      <c r="Q125" s="21">
        <f t="shared" si="23"/>
        <v>1</v>
      </c>
      <c r="R125" s="663">
        <f t="shared" si="24"/>
        <v>0</v>
      </c>
      <c r="S125" s="316">
        <f t="shared" si="15"/>
        <v>0</v>
      </c>
    </row>
    <row r="126" spans="1:19">
      <c r="A126" s="665"/>
      <c r="B126" s="665"/>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2806"/>
      <c r="Q126" s="21">
        <f t="shared" si="23"/>
        <v>1</v>
      </c>
      <c r="R126" s="663">
        <f t="shared" si="24"/>
        <v>0</v>
      </c>
      <c r="S126" s="316">
        <f t="shared" si="15"/>
        <v>0</v>
      </c>
    </row>
    <row r="127" spans="1:19">
      <c r="A127" s="665"/>
      <c r="B127" s="665"/>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1</v>
      </c>
      <c r="P127" s="2806"/>
      <c r="Q127" s="21">
        <f t="shared" si="23"/>
        <v>1</v>
      </c>
      <c r="R127" s="663">
        <f t="shared" si="24"/>
        <v>0</v>
      </c>
      <c r="S127" s="316">
        <f t="shared" si="15"/>
        <v>0</v>
      </c>
    </row>
    <row r="128" spans="1:19">
      <c r="A128" s="665"/>
      <c r="B128" s="665"/>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2806"/>
      <c r="Q128" s="21">
        <f t="shared" si="23"/>
        <v>1</v>
      </c>
      <c r="R128" s="663">
        <f t="shared" si="24"/>
        <v>0</v>
      </c>
      <c r="S128" s="316">
        <f t="shared" si="15"/>
        <v>0</v>
      </c>
    </row>
    <row r="129" spans="1:19">
      <c r="A129" s="665"/>
      <c r="B129" s="665"/>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1</v>
      </c>
      <c r="P129" s="2806"/>
      <c r="Q129" s="21">
        <f t="shared" si="23"/>
        <v>1</v>
      </c>
      <c r="R129" s="663">
        <f t="shared" si="24"/>
        <v>0</v>
      </c>
      <c r="S129" s="316">
        <f t="shared" si="15"/>
        <v>0</v>
      </c>
    </row>
    <row r="130" spans="1:19">
      <c r="A130" s="665"/>
      <c r="B130" s="665"/>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2806"/>
      <c r="Q130" s="21">
        <f t="shared" si="23"/>
        <v>1</v>
      </c>
      <c r="R130" s="663">
        <f t="shared" si="24"/>
        <v>0</v>
      </c>
      <c r="S130" s="316">
        <f t="shared" si="15"/>
        <v>0</v>
      </c>
    </row>
    <row r="131" spans="1:19">
      <c r="A131" s="665"/>
      <c r="B131" s="665"/>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1</v>
      </c>
      <c r="P131" s="2806"/>
      <c r="Q131" s="21">
        <f t="shared" si="23"/>
        <v>1</v>
      </c>
      <c r="R131" s="663">
        <f t="shared" si="24"/>
        <v>0</v>
      </c>
      <c r="S131" s="316">
        <f t="shared" si="15"/>
        <v>0</v>
      </c>
    </row>
    <row r="132" spans="1:19">
      <c r="A132" s="665"/>
      <c r="B132" s="665"/>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2806"/>
      <c r="Q132" s="21">
        <f t="shared" si="23"/>
        <v>1</v>
      </c>
      <c r="R132" s="663">
        <f t="shared" si="24"/>
        <v>0</v>
      </c>
      <c r="S132" s="316">
        <f t="shared" si="15"/>
        <v>0</v>
      </c>
    </row>
    <row r="133" spans="1:19">
      <c r="A133" s="665"/>
      <c r="B133" s="665"/>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1</v>
      </c>
      <c r="P133" s="2806"/>
      <c r="Q133" s="21">
        <f t="shared" si="23"/>
        <v>1</v>
      </c>
      <c r="R133" s="663">
        <f t="shared" si="24"/>
        <v>0</v>
      </c>
      <c r="S133" s="316">
        <f t="shared" si="15"/>
        <v>0</v>
      </c>
    </row>
    <row r="134" spans="1:19">
      <c r="A134" s="665"/>
      <c r="B134" s="665"/>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2806"/>
      <c r="Q134" s="21">
        <f t="shared" si="23"/>
        <v>1</v>
      </c>
      <c r="R134" s="663">
        <f t="shared" si="24"/>
        <v>0</v>
      </c>
      <c r="S134" s="316">
        <f t="shared" si="15"/>
        <v>0</v>
      </c>
    </row>
    <row r="135" spans="1:19">
      <c r="A135" s="665"/>
      <c r="B135" s="665"/>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1</v>
      </c>
      <c r="P135" s="2806"/>
      <c r="Q135" s="21">
        <f t="shared" si="23"/>
        <v>1</v>
      </c>
      <c r="R135" s="663">
        <f t="shared" si="24"/>
        <v>0</v>
      </c>
      <c r="S135" s="316">
        <f t="shared" si="15"/>
        <v>0</v>
      </c>
    </row>
    <row r="136" spans="1:19">
      <c r="A136" s="665"/>
      <c r="B136" s="665"/>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2806"/>
      <c r="Q136" s="21">
        <f t="shared" si="23"/>
        <v>1</v>
      </c>
      <c r="R136" s="663">
        <f t="shared" si="24"/>
        <v>0</v>
      </c>
      <c r="S136" s="316">
        <f t="shared" si="15"/>
        <v>0</v>
      </c>
    </row>
    <row r="137" spans="1:19">
      <c r="A137" s="665"/>
      <c r="B137" s="665"/>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1</v>
      </c>
      <c r="P137" s="2806"/>
      <c r="Q137" s="21">
        <f t="shared" si="23"/>
        <v>1</v>
      </c>
      <c r="R137" s="663">
        <f t="shared" si="24"/>
        <v>0</v>
      </c>
      <c r="S137" s="316">
        <f t="shared" si="15"/>
        <v>0</v>
      </c>
    </row>
    <row r="138" spans="1:19">
      <c r="A138" s="665"/>
      <c r="B138" s="665"/>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2806"/>
      <c r="Q138" s="21">
        <f t="shared" si="23"/>
        <v>1</v>
      </c>
      <c r="R138" s="663">
        <f t="shared" si="24"/>
        <v>0</v>
      </c>
      <c r="S138" s="316">
        <f t="shared" si="15"/>
        <v>0</v>
      </c>
    </row>
    <row r="139" spans="1:19">
      <c r="A139" s="665"/>
      <c r="B139" s="665"/>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1</v>
      </c>
      <c r="P139" s="2806"/>
      <c r="Q139" s="21">
        <f t="shared" si="23"/>
        <v>1</v>
      </c>
      <c r="R139" s="663">
        <f t="shared" si="24"/>
        <v>0</v>
      </c>
      <c r="S139" s="316">
        <f t="shared" si="15"/>
        <v>0</v>
      </c>
    </row>
    <row r="140" spans="1:19">
      <c r="A140" s="665"/>
      <c r="B140" s="665"/>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2806"/>
      <c r="Q140" s="21">
        <f t="shared" si="23"/>
        <v>1</v>
      </c>
      <c r="R140" s="663">
        <f t="shared" si="24"/>
        <v>0</v>
      </c>
      <c r="S140" s="316">
        <f t="shared" si="15"/>
        <v>0</v>
      </c>
    </row>
    <row r="141" spans="1:19">
      <c r="A141" s="665"/>
      <c r="B141" s="665"/>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1</v>
      </c>
      <c r="P141" s="2806"/>
      <c r="Q141" s="21">
        <f t="shared" si="23"/>
        <v>1</v>
      </c>
      <c r="R141" s="663">
        <f t="shared" si="24"/>
        <v>0</v>
      </c>
      <c r="S141" s="316">
        <f t="shared" si="15"/>
        <v>0</v>
      </c>
    </row>
    <row r="142" spans="1:19">
      <c r="A142" s="665"/>
      <c r="B142" s="665"/>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2806"/>
      <c r="Q142" s="21">
        <f t="shared" si="23"/>
        <v>1</v>
      </c>
      <c r="R142" s="663">
        <f t="shared" si="24"/>
        <v>0</v>
      </c>
      <c r="S142" s="316">
        <f t="shared" si="15"/>
        <v>0</v>
      </c>
    </row>
    <row r="143" spans="1:19">
      <c r="A143" s="665"/>
      <c r="B143" s="665"/>
      <c r="C143" s="21">
        <f t="shared" si="16"/>
        <v>1</v>
      </c>
      <c r="D143" s="667"/>
      <c r="E143" s="21">
        <f t="shared" si="17"/>
        <v>1</v>
      </c>
      <c r="F143" s="667"/>
      <c r="G143" s="21">
        <f t="shared" si="18"/>
        <v>1</v>
      </c>
      <c r="H143" s="667"/>
      <c r="I143" s="21">
        <f t="shared" si="19"/>
        <v>1</v>
      </c>
      <c r="J143" s="667"/>
      <c r="K143" s="21">
        <f t="shared" si="20"/>
        <v>1</v>
      </c>
      <c r="L143" s="667"/>
      <c r="M143" s="21">
        <f t="shared" si="21"/>
        <v>1</v>
      </c>
      <c r="N143" s="667"/>
      <c r="O143" s="21">
        <f t="shared" si="22"/>
        <v>1</v>
      </c>
      <c r="P143" s="2806"/>
      <c r="Q143" s="21">
        <f t="shared" si="23"/>
        <v>1</v>
      </c>
      <c r="R143" s="663">
        <f t="shared" si="24"/>
        <v>0</v>
      </c>
      <c r="S143" s="316">
        <f t="shared" si="15"/>
        <v>0</v>
      </c>
    </row>
    <row r="144" spans="1:19">
      <c r="A144" s="665"/>
      <c r="B144" s="665"/>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2806"/>
      <c r="Q144" s="21">
        <f t="shared" si="23"/>
        <v>1</v>
      </c>
      <c r="R144" s="663">
        <f t="shared" si="24"/>
        <v>0</v>
      </c>
      <c r="S144" s="316">
        <f t="shared" si="15"/>
        <v>0</v>
      </c>
    </row>
    <row r="145" spans="1:19">
      <c r="A145" s="665"/>
      <c r="B145" s="665"/>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1</v>
      </c>
      <c r="P145" s="2806"/>
      <c r="Q145" s="21">
        <f t="shared" si="23"/>
        <v>1</v>
      </c>
      <c r="R145" s="663">
        <f t="shared" si="24"/>
        <v>0</v>
      </c>
      <c r="S145" s="316">
        <f t="shared" si="15"/>
        <v>0</v>
      </c>
    </row>
    <row r="146" spans="1:19">
      <c r="A146" s="665"/>
      <c r="B146" s="665"/>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2806"/>
      <c r="Q146" s="21">
        <f t="shared" si="23"/>
        <v>1</v>
      </c>
      <c r="R146" s="663">
        <f t="shared" si="24"/>
        <v>0</v>
      </c>
      <c r="S146" s="316">
        <f t="shared" si="15"/>
        <v>0</v>
      </c>
    </row>
    <row r="147" spans="1:19">
      <c r="A147" s="665"/>
      <c r="B147" s="665"/>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1</v>
      </c>
      <c r="P147" s="2806"/>
      <c r="Q147" s="21">
        <f t="shared" si="23"/>
        <v>1</v>
      </c>
      <c r="R147" s="663">
        <f t="shared" si="24"/>
        <v>0</v>
      </c>
      <c r="S147" s="316">
        <f t="shared" si="15"/>
        <v>0</v>
      </c>
    </row>
    <row r="148" spans="1:19">
      <c r="A148" s="665"/>
      <c r="B148" s="665"/>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2806"/>
      <c r="Q148" s="21">
        <f t="shared" si="23"/>
        <v>1</v>
      </c>
      <c r="R148" s="663">
        <f t="shared" si="24"/>
        <v>0</v>
      </c>
      <c r="S148" s="316">
        <f t="shared" si="15"/>
        <v>0</v>
      </c>
    </row>
    <row r="149" spans="1:19">
      <c r="A149" s="665"/>
      <c r="B149" s="665"/>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1</v>
      </c>
      <c r="P149" s="2806"/>
      <c r="Q149" s="21">
        <f t="shared" si="23"/>
        <v>1</v>
      </c>
      <c r="R149" s="663">
        <f t="shared" si="24"/>
        <v>0</v>
      </c>
      <c r="S149" s="316">
        <f t="shared" si="15"/>
        <v>0</v>
      </c>
    </row>
    <row r="150" spans="1:19">
      <c r="A150" s="665"/>
      <c r="B150" s="665"/>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2806"/>
      <c r="Q150" s="21">
        <f t="shared" si="23"/>
        <v>1</v>
      </c>
      <c r="R150" s="663">
        <f t="shared" si="24"/>
        <v>0</v>
      </c>
      <c r="S150" s="316">
        <f t="shared" si="15"/>
        <v>0</v>
      </c>
    </row>
    <row r="151" spans="1:19">
      <c r="A151" s="665"/>
      <c r="B151" s="665"/>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1</v>
      </c>
      <c r="P151" s="2806"/>
      <c r="Q151" s="21">
        <f t="shared" si="23"/>
        <v>1</v>
      </c>
      <c r="R151" s="663">
        <f t="shared" si="24"/>
        <v>0</v>
      </c>
      <c r="S151" s="316">
        <f t="shared" si="15"/>
        <v>0</v>
      </c>
    </row>
    <row r="152" spans="1:19">
      <c r="A152" s="665"/>
      <c r="B152" s="665"/>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2806"/>
      <c r="Q152" s="21">
        <f t="shared" si="23"/>
        <v>1</v>
      </c>
      <c r="R152" s="663">
        <f t="shared" si="24"/>
        <v>0</v>
      </c>
      <c r="S152" s="316">
        <f t="shared" ref="S152:S215" si="25">ROUND(R152*B152/10000,0)</f>
        <v>0</v>
      </c>
    </row>
    <row r="153" spans="1:19">
      <c r="A153" s="665"/>
      <c r="B153" s="665"/>
      <c r="C153" s="21">
        <f t="shared" si="16"/>
        <v>1</v>
      </c>
      <c r="D153" s="667"/>
      <c r="E153" s="21">
        <f t="shared" si="17"/>
        <v>1</v>
      </c>
      <c r="F153" s="667"/>
      <c r="G153" s="21">
        <f t="shared" si="18"/>
        <v>1</v>
      </c>
      <c r="H153" s="667"/>
      <c r="I153" s="21">
        <f t="shared" si="19"/>
        <v>1</v>
      </c>
      <c r="J153" s="667"/>
      <c r="K153" s="21">
        <f t="shared" si="20"/>
        <v>1</v>
      </c>
      <c r="L153" s="667"/>
      <c r="M153" s="21">
        <f t="shared" si="21"/>
        <v>1</v>
      </c>
      <c r="N153" s="667"/>
      <c r="O153" s="21">
        <f t="shared" si="22"/>
        <v>1</v>
      </c>
      <c r="P153" s="2806"/>
      <c r="Q153" s="21">
        <f t="shared" si="23"/>
        <v>1</v>
      </c>
      <c r="R153" s="663">
        <f t="shared" si="24"/>
        <v>0</v>
      </c>
      <c r="S153" s="316">
        <f t="shared" si="25"/>
        <v>0</v>
      </c>
    </row>
    <row r="154" spans="1:19">
      <c r="A154" s="665"/>
      <c r="B154" s="665"/>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2806"/>
      <c r="Q154" s="21">
        <f t="shared" ref="Q154:Q217" si="33">(SUMIF($17:$17,P154,$18:$18)-SUMIF($17:$17,$P$24,$18:$18)+100)/100</f>
        <v>1</v>
      </c>
      <c r="R154" s="663">
        <f t="shared" ref="R154:R217" si="34">IF(B154="",0,ROUND($R$24*C154*E154*G154*I154*K154*M154*O154*Q154,0))</f>
        <v>0</v>
      </c>
      <c r="S154" s="316">
        <f t="shared" si="25"/>
        <v>0</v>
      </c>
    </row>
    <row r="155" spans="1:19">
      <c r="A155" s="665"/>
      <c r="B155" s="665"/>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1</v>
      </c>
      <c r="P155" s="2806"/>
      <c r="Q155" s="21">
        <f t="shared" si="33"/>
        <v>1</v>
      </c>
      <c r="R155" s="663">
        <f t="shared" si="34"/>
        <v>0</v>
      </c>
      <c r="S155" s="316">
        <f t="shared" si="25"/>
        <v>0</v>
      </c>
    </row>
    <row r="156" spans="1:19">
      <c r="A156" s="665"/>
      <c r="B156" s="665"/>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2806"/>
      <c r="Q156" s="21">
        <f t="shared" si="33"/>
        <v>1</v>
      </c>
      <c r="R156" s="663">
        <f t="shared" si="34"/>
        <v>0</v>
      </c>
      <c r="S156" s="316">
        <f t="shared" si="25"/>
        <v>0</v>
      </c>
    </row>
    <row r="157" spans="1:19">
      <c r="A157" s="665"/>
      <c r="B157" s="665"/>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1</v>
      </c>
      <c r="P157" s="2806"/>
      <c r="Q157" s="21">
        <f t="shared" si="33"/>
        <v>1</v>
      </c>
      <c r="R157" s="663">
        <f t="shared" si="34"/>
        <v>0</v>
      </c>
      <c r="S157" s="316">
        <f t="shared" si="25"/>
        <v>0</v>
      </c>
    </row>
    <row r="158" spans="1:19">
      <c r="A158" s="665"/>
      <c r="B158" s="665"/>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2806"/>
      <c r="Q158" s="21">
        <f t="shared" si="33"/>
        <v>1</v>
      </c>
      <c r="R158" s="663">
        <f t="shared" si="34"/>
        <v>0</v>
      </c>
      <c r="S158" s="316">
        <f t="shared" si="25"/>
        <v>0</v>
      </c>
    </row>
    <row r="159" spans="1:19">
      <c r="A159" s="665"/>
      <c r="B159" s="665"/>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1</v>
      </c>
      <c r="P159" s="2806"/>
      <c r="Q159" s="21">
        <f t="shared" si="33"/>
        <v>1</v>
      </c>
      <c r="R159" s="663">
        <f t="shared" si="34"/>
        <v>0</v>
      </c>
      <c r="S159" s="316">
        <f t="shared" si="25"/>
        <v>0</v>
      </c>
    </row>
    <row r="160" spans="1:19">
      <c r="A160" s="665"/>
      <c r="B160" s="665"/>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2806"/>
      <c r="Q160" s="21">
        <f t="shared" si="33"/>
        <v>1</v>
      </c>
      <c r="R160" s="663">
        <f t="shared" si="34"/>
        <v>0</v>
      </c>
      <c r="S160" s="316">
        <f t="shared" si="25"/>
        <v>0</v>
      </c>
    </row>
    <row r="161" spans="1:19">
      <c r="A161" s="665"/>
      <c r="B161" s="665"/>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1</v>
      </c>
      <c r="P161" s="2806"/>
      <c r="Q161" s="21">
        <f t="shared" si="33"/>
        <v>1</v>
      </c>
      <c r="R161" s="663">
        <f t="shared" si="34"/>
        <v>0</v>
      </c>
      <c r="S161" s="316">
        <f t="shared" si="25"/>
        <v>0</v>
      </c>
    </row>
    <row r="162" spans="1:19">
      <c r="A162" s="665"/>
      <c r="B162" s="665"/>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2806"/>
      <c r="Q162" s="21">
        <f t="shared" si="33"/>
        <v>1</v>
      </c>
      <c r="R162" s="663">
        <f t="shared" si="34"/>
        <v>0</v>
      </c>
      <c r="S162" s="316">
        <f t="shared" si="25"/>
        <v>0</v>
      </c>
    </row>
    <row r="163" spans="1:19">
      <c r="A163" s="665"/>
      <c r="B163" s="665"/>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1</v>
      </c>
      <c r="P163" s="2806"/>
      <c r="Q163" s="21">
        <f t="shared" si="33"/>
        <v>1</v>
      </c>
      <c r="R163" s="663">
        <f t="shared" si="34"/>
        <v>0</v>
      </c>
      <c r="S163" s="316">
        <f t="shared" si="25"/>
        <v>0</v>
      </c>
    </row>
    <row r="164" spans="1:19">
      <c r="A164" s="665"/>
      <c r="B164" s="665"/>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2806"/>
      <c r="Q164" s="21">
        <f t="shared" si="33"/>
        <v>1</v>
      </c>
      <c r="R164" s="663">
        <f t="shared" si="34"/>
        <v>0</v>
      </c>
      <c r="S164" s="316">
        <f t="shared" si="25"/>
        <v>0</v>
      </c>
    </row>
    <row r="165" spans="1:19">
      <c r="A165" s="665"/>
      <c r="B165" s="665"/>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1</v>
      </c>
      <c r="P165" s="2806"/>
      <c r="Q165" s="21">
        <f t="shared" si="33"/>
        <v>1</v>
      </c>
      <c r="R165" s="663">
        <f t="shared" si="34"/>
        <v>0</v>
      </c>
      <c r="S165" s="316">
        <f t="shared" si="25"/>
        <v>0</v>
      </c>
    </row>
    <row r="166" spans="1:19">
      <c r="A166" s="665"/>
      <c r="B166" s="665"/>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2806"/>
      <c r="Q166" s="21">
        <f t="shared" si="33"/>
        <v>1</v>
      </c>
      <c r="R166" s="663">
        <f t="shared" si="34"/>
        <v>0</v>
      </c>
      <c r="S166" s="316">
        <f t="shared" si="25"/>
        <v>0</v>
      </c>
    </row>
    <row r="167" spans="1:19">
      <c r="A167" s="665"/>
      <c r="B167" s="665"/>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1</v>
      </c>
      <c r="P167" s="2806"/>
      <c r="Q167" s="21">
        <f t="shared" si="33"/>
        <v>1</v>
      </c>
      <c r="R167" s="663">
        <f t="shared" si="34"/>
        <v>0</v>
      </c>
      <c r="S167" s="316">
        <f t="shared" si="25"/>
        <v>0</v>
      </c>
    </row>
    <row r="168" spans="1:19">
      <c r="A168" s="665"/>
      <c r="B168" s="665"/>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2806"/>
      <c r="Q168" s="21">
        <f t="shared" si="33"/>
        <v>1</v>
      </c>
      <c r="R168" s="663">
        <f t="shared" si="34"/>
        <v>0</v>
      </c>
      <c r="S168" s="316">
        <f t="shared" si="25"/>
        <v>0</v>
      </c>
    </row>
    <row r="169" spans="1:19">
      <c r="A169" s="665"/>
      <c r="B169" s="665"/>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1</v>
      </c>
      <c r="P169" s="2806"/>
      <c r="Q169" s="21">
        <f t="shared" si="33"/>
        <v>1</v>
      </c>
      <c r="R169" s="663">
        <f t="shared" si="34"/>
        <v>0</v>
      </c>
      <c r="S169" s="316">
        <f t="shared" si="25"/>
        <v>0</v>
      </c>
    </row>
    <row r="170" spans="1:19">
      <c r="A170" s="665"/>
      <c r="B170" s="665"/>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2806"/>
      <c r="Q170" s="21">
        <f t="shared" si="33"/>
        <v>1</v>
      </c>
      <c r="R170" s="663">
        <f t="shared" si="34"/>
        <v>0</v>
      </c>
      <c r="S170" s="316">
        <f t="shared" si="25"/>
        <v>0</v>
      </c>
    </row>
    <row r="171" spans="1:19">
      <c r="A171" s="665"/>
      <c r="B171" s="665"/>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1</v>
      </c>
      <c r="P171" s="2806"/>
      <c r="Q171" s="21">
        <f t="shared" si="33"/>
        <v>1</v>
      </c>
      <c r="R171" s="663">
        <f t="shared" si="34"/>
        <v>0</v>
      </c>
      <c r="S171" s="316">
        <f t="shared" si="25"/>
        <v>0</v>
      </c>
    </row>
    <row r="172" spans="1:19">
      <c r="A172" s="665"/>
      <c r="B172" s="665"/>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2806"/>
      <c r="Q172" s="21">
        <f t="shared" si="33"/>
        <v>1</v>
      </c>
      <c r="R172" s="663">
        <f t="shared" si="34"/>
        <v>0</v>
      </c>
      <c r="S172" s="316">
        <f t="shared" si="25"/>
        <v>0</v>
      </c>
    </row>
    <row r="173" spans="1:19">
      <c r="A173" s="665"/>
      <c r="B173" s="665"/>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1</v>
      </c>
      <c r="P173" s="2806"/>
      <c r="Q173" s="21">
        <f t="shared" si="33"/>
        <v>1</v>
      </c>
      <c r="R173" s="663">
        <f t="shared" si="34"/>
        <v>0</v>
      </c>
      <c r="S173" s="316">
        <f t="shared" si="25"/>
        <v>0</v>
      </c>
    </row>
    <row r="174" spans="1:19">
      <c r="A174" s="665"/>
      <c r="B174" s="665"/>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2806"/>
      <c r="Q174" s="21">
        <f t="shared" si="33"/>
        <v>1</v>
      </c>
      <c r="R174" s="663">
        <f t="shared" si="34"/>
        <v>0</v>
      </c>
      <c r="S174" s="316">
        <f t="shared" si="25"/>
        <v>0</v>
      </c>
    </row>
    <row r="175" spans="1:19">
      <c r="A175" s="665"/>
      <c r="B175" s="665"/>
      <c r="C175" s="21">
        <f t="shared" si="26"/>
        <v>1</v>
      </c>
      <c r="D175" s="667"/>
      <c r="E175" s="21">
        <f t="shared" si="27"/>
        <v>1</v>
      </c>
      <c r="F175" s="667"/>
      <c r="G175" s="21">
        <f t="shared" si="28"/>
        <v>1</v>
      </c>
      <c r="H175" s="667"/>
      <c r="I175" s="21">
        <f t="shared" si="29"/>
        <v>1</v>
      </c>
      <c r="J175" s="667"/>
      <c r="K175" s="21">
        <f t="shared" si="30"/>
        <v>1</v>
      </c>
      <c r="L175" s="667"/>
      <c r="M175" s="21">
        <f t="shared" si="31"/>
        <v>1</v>
      </c>
      <c r="N175" s="667"/>
      <c r="O175" s="21">
        <f t="shared" si="32"/>
        <v>1</v>
      </c>
      <c r="P175" s="2806"/>
      <c r="Q175" s="21">
        <f t="shared" si="33"/>
        <v>1</v>
      </c>
      <c r="R175" s="663">
        <f t="shared" si="34"/>
        <v>0</v>
      </c>
      <c r="S175" s="316">
        <f t="shared" si="25"/>
        <v>0</v>
      </c>
    </row>
    <row r="176" spans="1:19">
      <c r="A176" s="665"/>
      <c r="B176" s="665"/>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2806"/>
      <c r="Q176" s="21">
        <f t="shared" si="33"/>
        <v>1</v>
      </c>
      <c r="R176" s="663">
        <f t="shared" si="34"/>
        <v>0</v>
      </c>
      <c r="S176" s="316">
        <f t="shared" si="25"/>
        <v>0</v>
      </c>
    </row>
    <row r="177" spans="1:19">
      <c r="A177" s="665"/>
      <c r="B177" s="665"/>
      <c r="C177" s="21">
        <f t="shared" si="26"/>
        <v>1</v>
      </c>
      <c r="D177" s="667"/>
      <c r="E177" s="21">
        <f t="shared" si="27"/>
        <v>1</v>
      </c>
      <c r="F177" s="667"/>
      <c r="G177" s="21">
        <f t="shared" si="28"/>
        <v>1</v>
      </c>
      <c r="H177" s="667"/>
      <c r="I177" s="21">
        <f t="shared" si="29"/>
        <v>1</v>
      </c>
      <c r="J177" s="667"/>
      <c r="K177" s="21">
        <f t="shared" si="30"/>
        <v>1</v>
      </c>
      <c r="L177" s="667"/>
      <c r="M177" s="21">
        <f t="shared" si="31"/>
        <v>1</v>
      </c>
      <c r="N177" s="667"/>
      <c r="O177" s="21">
        <f t="shared" si="32"/>
        <v>1</v>
      </c>
      <c r="P177" s="2806"/>
      <c r="Q177" s="21">
        <f t="shared" si="33"/>
        <v>1</v>
      </c>
      <c r="R177" s="663">
        <f t="shared" si="34"/>
        <v>0</v>
      </c>
      <c r="S177" s="316">
        <f t="shared" si="25"/>
        <v>0</v>
      </c>
    </row>
    <row r="178" spans="1:19">
      <c r="A178" s="665"/>
      <c r="B178" s="665"/>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2806"/>
      <c r="Q178" s="21">
        <f t="shared" si="33"/>
        <v>1</v>
      </c>
      <c r="R178" s="663">
        <f t="shared" si="34"/>
        <v>0</v>
      </c>
      <c r="S178" s="316">
        <f t="shared" si="25"/>
        <v>0</v>
      </c>
    </row>
    <row r="179" spans="1:19">
      <c r="A179" s="665"/>
      <c r="B179" s="665"/>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1</v>
      </c>
      <c r="P179" s="2806"/>
      <c r="Q179" s="21">
        <f t="shared" si="33"/>
        <v>1</v>
      </c>
      <c r="R179" s="663">
        <f t="shared" si="34"/>
        <v>0</v>
      </c>
      <c r="S179" s="316">
        <f t="shared" si="25"/>
        <v>0</v>
      </c>
    </row>
    <row r="180" spans="1:19">
      <c r="A180" s="665"/>
      <c r="B180" s="665"/>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2806"/>
      <c r="Q180" s="21">
        <f t="shared" si="33"/>
        <v>1</v>
      </c>
      <c r="R180" s="663">
        <f t="shared" si="34"/>
        <v>0</v>
      </c>
      <c r="S180" s="316">
        <f t="shared" si="25"/>
        <v>0</v>
      </c>
    </row>
    <row r="181" spans="1:19">
      <c r="A181" s="665"/>
      <c r="B181" s="665"/>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1</v>
      </c>
      <c r="P181" s="2806"/>
      <c r="Q181" s="21">
        <f t="shared" si="33"/>
        <v>1</v>
      </c>
      <c r="R181" s="663">
        <f t="shared" si="34"/>
        <v>0</v>
      </c>
      <c r="S181" s="316">
        <f t="shared" si="25"/>
        <v>0</v>
      </c>
    </row>
    <row r="182" spans="1:19">
      <c r="A182" s="665"/>
      <c r="B182" s="665"/>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2806"/>
      <c r="Q182" s="21">
        <f t="shared" si="33"/>
        <v>1</v>
      </c>
      <c r="R182" s="663">
        <f t="shared" si="34"/>
        <v>0</v>
      </c>
      <c r="S182" s="316">
        <f t="shared" si="25"/>
        <v>0</v>
      </c>
    </row>
    <row r="183" spans="1:19">
      <c r="A183" s="665"/>
      <c r="B183" s="665"/>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1</v>
      </c>
      <c r="P183" s="2806"/>
      <c r="Q183" s="21">
        <f t="shared" si="33"/>
        <v>1</v>
      </c>
      <c r="R183" s="663">
        <f t="shared" si="34"/>
        <v>0</v>
      </c>
      <c r="S183" s="316">
        <f t="shared" si="25"/>
        <v>0</v>
      </c>
    </row>
    <row r="184" spans="1:19">
      <c r="A184" s="665"/>
      <c r="B184" s="665"/>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2806"/>
      <c r="Q184" s="21">
        <f t="shared" si="33"/>
        <v>1</v>
      </c>
      <c r="R184" s="663">
        <f t="shared" si="34"/>
        <v>0</v>
      </c>
      <c r="S184" s="316">
        <f t="shared" si="25"/>
        <v>0</v>
      </c>
    </row>
    <row r="185" spans="1:19">
      <c r="A185" s="665"/>
      <c r="B185" s="665"/>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1</v>
      </c>
      <c r="P185" s="2806"/>
      <c r="Q185" s="21">
        <f t="shared" si="33"/>
        <v>1</v>
      </c>
      <c r="R185" s="663">
        <f t="shared" si="34"/>
        <v>0</v>
      </c>
      <c r="S185" s="316">
        <f t="shared" si="25"/>
        <v>0</v>
      </c>
    </row>
    <row r="186" spans="1:19">
      <c r="A186" s="665"/>
      <c r="B186" s="665"/>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2806"/>
      <c r="Q186" s="21">
        <f t="shared" si="33"/>
        <v>1</v>
      </c>
      <c r="R186" s="663">
        <f t="shared" si="34"/>
        <v>0</v>
      </c>
      <c r="S186" s="316">
        <f t="shared" si="25"/>
        <v>0</v>
      </c>
    </row>
    <row r="187" spans="1:19">
      <c r="A187" s="665"/>
      <c r="B187" s="665"/>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1</v>
      </c>
      <c r="P187" s="2806"/>
      <c r="Q187" s="21">
        <f t="shared" si="33"/>
        <v>1</v>
      </c>
      <c r="R187" s="663">
        <f t="shared" si="34"/>
        <v>0</v>
      </c>
      <c r="S187" s="316">
        <f t="shared" si="25"/>
        <v>0</v>
      </c>
    </row>
    <row r="188" spans="1:19">
      <c r="A188" s="665"/>
      <c r="B188" s="665"/>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2806"/>
      <c r="Q188" s="21">
        <f t="shared" si="33"/>
        <v>1</v>
      </c>
      <c r="R188" s="663">
        <f t="shared" si="34"/>
        <v>0</v>
      </c>
      <c r="S188" s="316">
        <f t="shared" si="25"/>
        <v>0</v>
      </c>
    </row>
    <row r="189" spans="1:19">
      <c r="A189" s="665"/>
      <c r="B189" s="665"/>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1</v>
      </c>
      <c r="P189" s="2806"/>
      <c r="Q189" s="21">
        <f t="shared" si="33"/>
        <v>1</v>
      </c>
      <c r="R189" s="663">
        <f t="shared" si="34"/>
        <v>0</v>
      </c>
      <c r="S189" s="316">
        <f t="shared" si="25"/>
        <v>0</v>
      </c>
    </row>
    <row r="190" spans="1:19">
      <c r="A190" s="665"/>
      <c r="B190" s="665"/>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2806"/>
      <c r="Q190" s="21">
        <f t="shared" si="33"/>
        <v>1</v>
      </c>
      <c r="R190" s="663">
        <f t="shared" si="34"/>
        <v>0</v>
      </c>
      <c r="S190" s="316">
        <f t="shared" si="25"/>
        <v>0</v>
      </c>
    </row>
    <row r="191" spans="1:19">
      <c r="A191" s="665"/>
      <c r="B191" s="665"/>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1</v>
      </c>
      <c r="P191" s="2806"/>
      <c r="Q191" s="21">
        <f t="shared" si="33"/>
        <v>1</v>
      </c>
      <c r="R191" s="663">
        <f t="shared" si="34"/>
        <v>0</v>
      </c>
      <c r="S191" s="316">
        <f t="shared" si="25"/>
        <v>0</v>
      </c>
    </row>
    <row r="192" spans="1:19">
      <c r="A192" s="665"/>
      <c r="B192" s="665"/>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2806"/>
      <c r="Q192" s="21">
        <f t="shared" si="33"/>
        <v>1</v>
      </c>
      <c r="R192" s="663">
        <f t="shared" si="34"/>
        <v>0</v>
      </c>
      <c r="S192" s="316">
        <f t="shared" si="25"/>
        <v>0</v>
      </c>
    </row>
    <row r="193" spans="1:19">
      <c r="A193" s="665"/>
      <c r="B193" s="665"/>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1</v>
      </c>
      <c r="P193" s="2806"/>
      <c r="Q193" s="21">
        <f t="shared" si="33"/>
        <v>1</v>
      </c>
      <c r="R193" s="663">
        <f t="shared" si="34"/>
        <v>0</v>
      </c>
      <c r="S193" s="316">
        <f t="shared" si="25"/>
        <v>0</v>
      </c>
    </row>
    <row r="194" spans="1:19">
      <c r="A194" s="665"/>
      <c r="B194" s="665"/>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2806"/>
      <c r="Q194" s="21">
        <f t="shared" si="33"/>
        <v>1</v>
      </c>
      <c r="R194" s="663">
        <f t="shared" si="34"/>
        <v>0</v>
      </c>
      <c r="S194" s="316">
        <f t="shared" si="25"/>
        <v>0</v>
      </c>
    </row>
    <row r="195" spans="1:19">
      <c r="A195" s="665"/>
      <c r="B195" s="665"/>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1</v>
      </c>
      <c r="P195" s="2806"/>
      <c r="Q195" s="21">
        <f t="shared" si="33"/>
        <v>1</v>
      </c>
      <c r="R195" s="663">
        <f t="shared" si="34"/>
        <v>0</v>
      </c>
      <c r="S195" s="316">
        <f t="shared" si="25"/>
        <v>0</v>
      </c>
    </row>
    <row r="196" spans="1:19">
      <c r="A196" s="665"/>
      <c r="B196" s="665"/>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2806"/>
      <c r="Q196" s="21">
        <f t="shared" si="33"/>
        <v>1</v>
      </c>
      <c r="R196" s="663">
        <f t="shared" si="34"/>
        <v>0</v>
      </c>
      <c r="S196" s="316">
        <f t="shared" si="25"/>
        <v>0</v>
      </c>
    </row>
    <row r="197" spans="1:19">
      <c r="A197" s="665"/>
      <c r="B197" s="665"/>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1</v>
      </c>
      <c r="P197" s="2806"/>
      <c r="Q197" s="21">
        <f t="shared" si="33"/>
        <v>1</v>
      </c>
      <c r="R197" s="663">
        <f t="shared" si="34"/>
        <v>0</v>
      </c>
      <c r="S197" s="316">
        <f t="shared" si="25"/>
        <v>0</v>
      </c>
    </row>
    <row r="198" spans="1:19">
      <c r="A198" s="665"/>
      <c r="B198" s="665"/>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2806"/>
      <c r="Q198" s="21">
        <f t="shared" si="33"/>
        <v>1</v>
      </c>
      <c r="R198" s="663">
        <f t="shared" si="34"/>
        <v>0</v>
      </c>
      <c r="S198" s="316">
        <f t="shared" si="25"/>
        <v>0</v>
      </c>
    </row>
    <row r="199" spans="1:19">
      <c r="A199" s="665"/>
      <c r="B199" s="665"/>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1</v>
      </c>
      <c r="P199" s="2806"/>
      <c r="Q199" s="21">
        <f t="shared" si="33"/>
        <v>1</v>
      </c>
      <c r="R199" s="663">
        <f t="shared" si="34"/>
        <v>0</v>
      </c>
      <c r="S199" s="316">
        <f t="shared" si="25"/>
        <v>0</v>
      </c>
    </row>
    <row r="200" spans="1:19">
      <c r="A200" s="665"/>
      <c r="B200" s="665"/>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2806"/>
      <c r="Q200" s="21">
        <f t="shared" si="33"/>
        <v>1</v>
      </c>
      <c r="R200" s="663">
        <f t="shared" si="34"/>
        <v>0</v>
      </c>
      <c r="S200" s="316">
        <f t="shared" si="25"/>
        <v>0</v>
      </c>
    </row>
    <row r="201" spans="1:19">
      <c r="A201" s="665"/>
      <c r="B201" s="665"/>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1</v>
      </c>
      <c r="P201" s="2806"/>
      <c r="Q201" s="21">
        <f t="shared" si="33"/>
        <v>1</v>
      </c>
      <c r="R201" s="663">
        <f t="shared" si="34"/>
        <v>0</v>
      </c>
      <c r="S201" s="316">
        <f t="shared" si="25"/>
        <v>0</v>
      </c>
    </row>
    <row r="202" spans="1:19">
      <c r="A202" s="665"/>
      <c r="B202" s="665"/>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2806"/>
      <c r="Q202" s="21">
        <f t="shared" si="33"/>
        <v>1</v>
      </c>
      <c r="R202" s="663">
        <f t="shared" si="34"/>
        <v>0</v>
      </c>
      <c r="S202" s="316">
        <f t="shared" si="25"/>
        <v>0</v>
      </c>
    </row>
    <row r="203" spans="1:19">
      <c r="A203" s="665"/>
      <c r="B203" s="665"/>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1</v>
      </c>
      <c r="P203" s="2806"/>
      <c r="Q203" s="21">
        <f t="shared" si="33"/>
        <v>1</v>
      </c>
      <c r="R203" s="663">
        <f t="shared" si="34"/>
        <v>0</v>
      </c>
      <c r="S203" s="316">
        <f t="shared" si="25"/>
        <v>0</v>
      </c>
    </row>
    <row r="204" spans="1:19">
      <c r="A204" s="665"/>
      <c r="B204" s="665"/>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2806"/>
      <c r="Q204" s="21">
        <f t="shared" si="33"/>
        <v>1</v>
      </c>
      <c r="R204" s="663">
        <f t="shared" si="34"/>
        <v>0</v>
      </c>
      <c r="S204" s="316">
        <f t="shared" si="25"/>
        <v>0</v>
      </c>
    </row>
    <row r="205" spans="1:19">
      <c r="A205" s="665"/>
      <c r="B205" s="665"/>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1</v>
      </c>
      <c r="P205" s="2806"/>
      <c r="Q205" s="21">
        <f t="shared" si="33"/>
        <v>1</v>
      </c>
      <c r="R205" s="663">
        <f t="shared" si="34"/>
        <v>0</v>
      </c>
      <c r="S205" s="316">
        <f t="shared" si="25"/>
        <v>0</v>
      </c>
    </row>
    <row r="206" spans="1:19">
      <c r="A206" s="665"/>
      <c r="B206" s="665"/>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2806"/>
      <c r="Q206" s="21">
        <f t="shared" si="33"/>
        <v>1</v>
      </c>
      <c r="R206" s="663">
        <f t="shared" si="34"/>
        <v>0</v>
      </c>
      <c r="S206" s="316">
        <f t="shared" si="25"/>
        <v>0</v>
      </c>
    </row>
    <row r="207" spans="1:19">
      <c r="A207" s="665"/>
      <c r="B207" s="665"/>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1</v>
      </c>
      <c r="P207" s="2806"/>
      <c r="Q207" s="21">
        <f t="shared" si="33"/>
        <v>1</v>
      </c>
      <c r="R207" s="663">
        <f t="shared" si="34"/>
        <v>0</v>
      </c>
      <c r="S207" s="316">
        <f t="shared" si="25"/>
        <v>0</v>
      </c>
    </row>
    <row r="208" spans="1:19">
      <c r="A208" s="665"/>
      <c r="B208" s="665"/>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2806"/>
      <c r="Q208" s="21">
        <f t="shared" si="33"/>
        <v>1</v>
      </c>
      <c r="R208" s="663">
        <f t="shared" si="34"/>
        <v>0</v>
      </c>
      <c r="S208" s="316">
        <f t="shared" si="25"/>
        <v>0</v>
      </c>
    </row>
    <row r="209" spans="1:19">
      <c r="A209" s="665"/>
      <c r="B209" s="665"/>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1</v>
      </c>
      <c r="P209" s="2806"/>
      <c r="Q209" s="21">
        <f t="shared" si="33"/>
        <v>1</v>
      </c>
      <c r="R209" s="663">
        <f t="shared" si="34"/>
        <v>0</v>
      </c>
      <c r="S209" s="316">
        <f t="shared" si="25"/>
        <v>0</v>
      </c>
    </row>
    <row r="210" spans="1:19">
      <c r="A210" s="665"/>
      <c r="B210" s="665"/>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2806"/>
      <c r="Q210" s="21">
        <f t="shared" si="33"/>
        <v>1</v>
      </c>
      <c r="R210" s="663">
        <f t="shared" si="34"/>
        <v>0</v>
      </c>
      <c r="S210" s="316">
        <f t="shared" si="25"/>
        <v>0</v>
      </c>
    </row>
    <row r="211" spans="1:19">
      <c r="A211" s="665"/>
      <c r="B211" s="665"/>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1</v>
      </c>
      <c r="P211" s="2806"/>
      <c r="Q211" s="21">
        <f t="shared" si="33"/>
        <v>1</v>
      </c>
      <c r="R211" s="663">
        <f t="shared" si="34"/>
        <v>0</v>
      </c>
      <c r="S211" s="316">
        <f t="shared" si="25"/>
        <v>0</v>
      </c>
    </row>
    <row r="212" spans="1:19">
      <c r="A212" s="665"/>
      <c r="B212" s="665"/>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2806"/>
      <c r="Q212" s="21">
        <f t="shared" si="33"/>
        <v>1</v>
      </c>
      <c r="R212" s="663">
        <f t="shared" si="34"/>
        <v>0</v>
      </c>
      <c r="S212" s="316">
        <f t="shared" si="25"/>
        <v>0</v>
      </c>
    </row>
    <row r="213" spans="1:19">
      <c r="A213" s="665"/>
      <c r="B213" s="665"/>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1</v>
      </c>
      <c r="P213" s="2806"/>
      <c r="Q213" s="21">
        <f t="shared" si="33"/>
        <v>1</v>
      </c>
      <c r="R213" s="663">
        <f t="shared" si="34"/>
        <v>0</v>
      </c>
      <c r="S213" s="316">
        <f t="shared" si="25"/>
        <v>0</v>
      </c>
    </row>
    <row r="214" spans="1:19">
      <c r="A214" s="665"/>
      <c r="B214" s="665"/>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2806"/>
      <c r="Q214" s="21">
        <f t="shared" si="33"/>
        <v>1</v>
      </c>
      <c r="R214" s="663">
        <f t="shared" si="34"/>
        <v>0</v>
      </c>
      <c r="S214" s="316">
        <f t="shared" si="25"/>
        <v>0</v>
      </c>
    </row>
    <row r="215" spans="1:19">
      <c r="A215" s="665"/>
      <c r="B215" s="665"/>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1</v>
      </c>
      <c r="P215" s="2806"/>
      <c r="Q215" s="21">
        <f t="shared" si="33"/>
        <v>1</v>
      </c>
      <c r="R215" s="663">
        <f t="shared" si="34"/>
        <v>0</v>
      </c>
      <c r="S215" s="316">
        <f t="shared" si="25"/>
        <v>0</v>
      </c>
    </row>
    <row r="216" spans="1:19">
      <c r="A216" s="665"/>
      <c r="B216" s="665"/>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2806"/>
      <c r="Q216" s="21">
        <f t="shared" si="33"/>
        <v>1</v>
      </c>
      <c r="R216" s="663">
        <f t="shared" si="34"/>
        <v>0</v>
      </c>
      <c r="S216" s="316">
        <f t="shared" ref="S216:S279" si="35">ROUND(R216*B216/10000,0)</f>
        <v>0</v>
      </c>
    </row>
    <row r="217" spans="1:19">
      <c r="A217" s="665"/>
      <c r="B217" s="665"/>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1</v>
      </c>
      <c r="P217" s="2806"/>
      <c r="Q217" s="21">
        <f t="shared" si="33"/>
        <v>1</v>
      </c>
      <c r="R217" s="663">
        <f t="shared" si="34"/>
        <v>0</v>
      </c>
      <c r="S217" s="316">
        <f t="shared" si="35"/>
        <v>0</v>
      </c>
    </row>
    <row r="218" spans="1:19">
      <c r="A218" s="665"/>
      <c r="B218" s="665"/>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2806"/>
      <c r="Q218" s="21">
        <f t="shared" ref="Q218:Q281" si="43">(SUMIF($17:$17,P218,$18:$18)-SUMIF($17:$17,$P$24,$18:$18)+100)/100</f>
        <v>1</v>
      </c>
      <c r="R218" s="663">
        <f t="shared" ref="R218:R281" si="44">IF(B218="",0,ROUND($R$24*C218*E218*G218*I218*K218*M218*O218*Q218,0))</f>
        <v>0</v>
      </c>
      <c r="S218" s="316">
        <f t="shared" si="35"/>
        <v>0</v>
      </c>
    </row>
    <row r="219" spans="1:19">
      <c r="A219" s="665"/>
      <c r="B219" s="665"/>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1</v>
      </c>
      <c r="P219" s="2806"/>
      <c r="Q219" s="21">
        <f t="shared" si="43"/>
        <v>1</v>
      </c>
      <c r="R219" s="663">
        <f t="shared" si="44"/>
        <v>0</v>
      </c>
      <c r="S219" s="316">
        <f t="shared" si="35"/>
        <v>0</v>
      </c>
    </row>
    <row r="220" spans="1:19">
      <c r="A220" s="665"/>
      <c r="B220" s="665"/>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2806"/>
      <c r="Q220" s="21">
        <f t="shared" si="43"/>
        <v>1</v>
      </c>
      <c r="R220" s="663">
        <f t="shared" si="44"/>
        <v>0</v>
      </c>
      <c r="S220" s="316">
        <f t="shared" si="35"/>
        <v>0</v>
      </c>
    </row>
    <row r="221" spans="1:19">
      <c r="A221" s="665"/>
      <c r="B221" s="665"/>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1</v>
      </c>
      <c r="P221" s="2806"/>
      <c r="Q221" s="21">
        <f t="shared" si="43"/>
        <v>1</v>
      </c>
      <c r="R221" s="663">
        <f t="shared" si="44"/>
        <v>0</v>
      </c>
      <c r="S221" s="316">
        <f t="shared" si="35"/>
        <v>0</v>
      </c>
    </row>
    <row r="222" spans="1:19">
      <c r="A222" s="665"/>
      <c r="B222" s="665"/>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2806"/>
      <c r="Q222" s="21">
        <f t="shared" si="43"/>
        <v>1</v>
      </c>
      <c r="R222" s="663">
        <f t="shared" si="44"/>
        <v>0</v>
      </c>
      <c r="S222" s="316">
        <f t="shared" si="35"/>
        <v>0</v>
      </c>
    </row>
    <row r="223" spans="1:19">
      <c r="A223" s="665"/>
      <c r="B223" s="665"/>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1</v>
      </c>
      <c r="P223" s="2806"/>
      <c r="Q223" s="21">
        <f t="shared" si="43"/>
        <v>1</v>
      </c>
      <c r="R223" s="663">
        <f t="shared" si="44"/>
        <v>0</v>
      </c>
      <c r="S223" s="316">
        <f t="shared" si="35"/>
        <v>0</v>
      </c>
    </row>
    <row r="224" spans="1:19">
      <c r="A224" s="665"/>
      <c r="B224" s="665"/>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2806"/>
      <c r="Q224" s="21">
        <f t="shared" si="43"/>
        <v>1</v>
      </c>
      <c r="R224" s="663">
        <f t="shared" si="44"/>
        <v>0</v>
      </c>
      <c r="S224" s="316">
        <f t="shared" si="35"/>
        <v>0</v>
      </c>
    </row>
    <row r="225" spans="1:19">
      <c r="A225" s="665"/>
      <c r="B225" s="665"/>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1</v>
      </c>
      <c r="P225" s="2806"/>
      <c r="Q225" s="21">
        <f t="shared" si="43"/>
        <v>1</v>
      </c>
      <c r="R225" s="663">
        <f t="shared" si="44"/>
        <v>0</v>
      </c>
      <c r="S225" s="316">
        <f t="shared" si="35"/>
        <v>0</v>
      </c>
    </row>
    <row r="226" spans="1:19">
      <c r="A226" s="665"/>
      <c r="B226" s="665"/>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2806"/>
      <c r="Q226" s="21">
        <f t="shared" si="43"/>
        <v>1</v>
      </c>
      <c r="R226" s="663">
        <f t="shared" si="44"/>
        <v>0</v>
      </c>
      <c r="S226" s="316">
        <f t="shared" si="35"/>
        <v>0</v>
      </c>
    </row>
    <row r="227" spans="1:19">
      <c r="A227" s="665"/>
      <c r="B227" s="665"/>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1</v>
      </c>
      <c r="P227" s="2806"/>
      <c r="Q227" s="21">
        <f t="shared" si="43"/>
        <v>1</v>
      </c>
      <c r="R227" s="663">
        <f t="shared" si="44"/>
        <v>0</v>
      </c>
      <c r="S227" s="316">
        <f t="shared" si="35"/>
        <v>0</v>
      </c>
    </row>
    <row r="228" spans="1:19">
      <c r="A228" s="665"/>
      <c r="B228" s="665"/>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2806"/>
      <c r="Q228" s="21">
        <f t="shared" si="43"/>
        <v>1</v>
      </c>
      <c r="R228" s="663">
        <f t="shared" si="44"/>
        <v>0</v>
      </c>
      <c r="S228" s="316">
        <f t="shared" si="35"/>
        <v>0</v>
      </c>
    </row>
    <row r="229" spans="1:19">
      <c r="A229" s="665"/>
      <c r="B229" s="665"/>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1</v>
      </c>
      <c r="P229" s="2806"/>
      <c r="Q229" s="21">
        <f t="shared" si="43"/>
        <v>1</v>
      </c>
      <c r="R229" s="663">
        <f t="shared" si="44"/>
        <v>0</v>
      </c>
      <c r="S229" s="316">
        <f t="shared" si="35"/>
        <v>0</v>
      </c>
    </row>
    <row r="230" spans="1:19">
      <c r="A230" s="665"/>
      <c r="B230" s="665"/>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2806"/>
      <c r="Q230" s="21">
        <f t="shared" si="43"/>
        <v>1</v>
      </c>
      <c r="R230" s="663">
        <f t="shared" si="44"/>
        <v>0</v>
      </c>
      <c r="S230" s="316">
        <f t="shared" si="35"/>
        <v>0</v>
      </c>
    </row>
    <row r="231" spans="1:19">
      <c r="A231" s="665"/>
      <c r="B231" s="665"/>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1</v>
      </c>
      <c r="P231" s="2806"/>
      <c r="Q231" s="21">
        <f t="shared" si="43"/>
        <v>1</v>
      </c>
      <c r="R231" s="663">
        <f t="shared" si="44"/>
        <v>0</v>
      </c>
      <c r="S231" s="316">
        <f t="shared" si="35"/>
        <v>0</v>
      </c>
    </row>
    <row r="232" spans="1:19">
      <c r="A232" s="665"/>
      <c r="B232" s="665"/>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2806"/>
      <c r="Q232" s="21">
        <f t="shared" si="43"/>
        <v>1</v>
      </c>
      <c r="R232" s="663">
        <f t="shared" si="44"/>
        <v>0</v>
      </c>
      <c r="S232" s="316">
        <f t="shared" si="35"/>
        <v>0</v>
      </c>
    </row>
    <row r="233" spans="1:19">
      <c r="A233" s="665"/>
      <c r="B233" s="665"/>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1</v>
      </c>
      <c r="P233" s="2806"/>
      <c r="Q233" s="21">
        <f t="shared" si="43"/>
        <v>1</v>
      </c>
      <c r="R233" s="663">
        <f t="shared" si="44"/>
        <v>0</v>
      </c>
      <c r="S233" s="316">
        <f t="shared" si="35"/>
        <v>0</v>
      </c>
    </row>
    <row r="234" spans="1:19">
      <c r="A234" s="665"/>
      <c r="B234" s="665"/>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2806"/>
      <c r="Q234" s="21">
        <f t="shared" si="43"/>
        <v>1</v>
      </c>
      <c r="R234" s="663">
        <f t="shared" si="44"/>
        <v>0</v>
      </c>
      <c r="S234" s="316">
        <f t="shared" si="35"/>
        <v>0</v>
      </c>
    </row>
    <row r="235" spans="1:19">
      <c r="A235" s="665"/>
      <c r="B235" s="665"/>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1</v>
      </c>
      <c r="P235" s="2806"/>
      <c r="Q235" s="21">
        <f t="shared" si="43"/>
        <v>1</v>
      </c>
      <c r="R235" s="663">
        <f t="shared" si="44"/>
        <v>0</v>
      </c>
      <c r="S235" s="316">
        <f t="shared" si="35"/>
        <v>0</v>
      </c>
    </row>
    <row r="236" spans="1:19">
      <c r="A236" s="665"/>
      <c r="B236" s="665"/>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2806"/>
      <c r="Q236" s="21">
        <f t="shared" si="43"/>
        <v>1</v>
      </c>
      <c r="R236" s="663">
        <f t="shared" si="44"/>
        <v>0</v>
      </c>
      <c r="S236" s="316">
        <f t="shared" si="35"/>
        <v>0</v>
      </c>
    </row>
    <row r="237" spans="1:19">
      <c r="A237" s="665"/>
      <c r="B237" s="665"/>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1</v>
      </c>
      <c r="P237" s="2806"/>
      <c r="Q237" s="21">
        <f t="shared" si="43"/>
        <v>1</v>
      </c>
      <c r="R237" s="663">
        <f t="shared" si="44"/>
        <v>0</v>
      </c>
      <c r="S237" s="316">
        <f t="shared" si="35"/>
        <v>0</v>
      </c>
    </row>
    <row r="238" spans="1:19">
      <c r="A238" s="665"/>
      <c r="B238" s="665"/>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2806"/>
      <c r="Q238" s="21">
        <f t="shared" si="43"/>
        <v>1</v>
      </c>
      <c r="R238" s="663">
        <f t="shared" si="44"/>
        <v>0</v>
      </c>
      <c r="S238" s="316">
        <f t="shared" si="35"/>
        <v>0</v>
      </c>
    </row>
    <row r="239" spans="1:19">
      <c r="A239" s="665"/>
      <c r="B239" s="665"/>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1</v>
      </c>
      <c r="P239" s="2806"/>
      <c r="Q239" s="21">
        <f t="shared" si="43"/>
        <v>1</v>
      </c>
      <c r="R239" s="663">
        <f t="shared" si="44"/>
        <v>0</v>
      </c>
      <c r="S239" s="316">
        <f t="shared" si="35"/>
        <v>0</v>
      </c>
    </row>
    <row r="240" spans="1:19">
      <c r="A240" s="665"/>
      <c r="B240" s="665"/>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2806"/>
      <c r="Q240" s="21">
        <f t="shared" si="43"/>
        <v>1</v>
      </c>
      <c r="R240" s="663">
        <f t="shared" si="44"/>
        <v>0</v>
      </c>
      <c r="S240" s="316">
        <f t="shared" si="35"/>
        <v>0</v>
      </c>
    </row>
    <row r="241" spans="1:19">
      <c r="A241" s="665"/>
      <c r="B241" s="665"/>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1</v>
      </c>
      <c r="P241" s="2806"/>
      <c r="Q241" s="21">
        <f t="shared" si="43"/>
        <v>1</v>
      </c>
      <c r="R241" s="663">
        <f t="shared" si="44"/>
        <v>0</v>
      </c>
      <c r="S241" s="316">
        <f t="shared" si="35"/>
        <v>0</v>
      </c>
    </row>
    <row r="242" spans="1:19">
      <c r="A242" s="665"/>
      <c r="B242" s="665"/>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2806"/>
      <c r="Q242" s="21">
        <f t="shared" si="43"/>
        <v>1</v>
      </c>
      <c r="R242" s="663">
        <f t="shared" si="44"/>
        <v>0</v>
      </c>
      <c r="S242" s="316">
        <f t="shared" si="35"/>
        <v>0</v>
      </c>
    </row>
    <row r="243" spans="1:19">
      <c r="A243" s="665"/>
      <c r="B243" s="665"/>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1</v>
      </c>
      <c r="P243" s="2806"/>
      <c r="Q243" s="21">
        <f t="shared" si="43"/>
        <v>1</v>
      </c>
      <c r="R243" s="663">
        <f t="shared" si="44"/>
        <v>0</v>
      </c>
      <c r="S243" s="316">
        <f t="shared" si="35"/>
        <v>0</v>
      </c>
    </row>
    <row r="244" spans="1:19">
      <c r="A244" s="665"/>
      <c r="B244" s="665"/>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2806"/>
      <c r="Q244" s="21">
        <f t="shared" si="43"/>
        <v>1</v>
      </c>
      <c r="R244" s="663">
        <f t="shared" si="44"/>
        <v>0</v>
      </c>
      <c r="S244" s="316">
        <f t="shared" si="35"/>
        <v>0</v>
      </c>
    </row>
    <row r="245" spans="1:19">
      <c r="A245" s="665"/>
      <c r="B245" s="665"/>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1</v>
      </c>
      <c r="P245" s="2806"/>
      <c r="Q245" s="21">
        <f t="shared" si="43"/>
        <v>1</v>
      </c>
      <c r="R245" s="663">
        <f t="shared" si="44"/>
        <v>0</v>
      </c>
      <c r="S245" s="316">
        <f t="shared" si="35"/>
        <v>0</v>
      </c>
    </row>
    <row r="246" spans="1:19">
      <c r="A246" s="665"/>
      <c r="B246" s="665"/>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2806"/>
      <c r="Q246" s="21">
        <f t="shared" si="43"/>
        <v>1</v>
      </c>
      <c r="R246" s="663">
        <f t="shared" si="44"/>
        <v>0</v>
      </c>
      <c r="S246" s="316">
        <f t="shared" si="35"/>
        <v>0</v>
      </c>
    </row>
    <row r="247" spans="1:19">
      <c r="A247" s="665"/>
      <c r="B247" s="665"/>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1</v>
      </c>
      <c r="P247" s="2806"/>
      <c r="Q247" s="21">
        <f t="shared" si="43"/>
        <v>1</v>
      </c>
      <c r="R247" s="663">
        <f t="shared" si="44"/>
        <v>0</v>
      </c>
      <c r="S247" s="316">
        <f t="shared" si="35"/>
        <v>0</v>
      </c>
    </row>
    <row r="248" spans="1:19">
      <c r="A248" s="665"/>
      <c r="B248" s="665"/>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2806"/>
      <c r="Q248" s="21">
        <f t="shared" si="43"/>
        <v>1</v>
      </c>
      <c r="R248" s="663">
        <f t="shared" si="44"/>
        <v>0</v>
      </c>
      <c r="S248" s="316">
        <f t="shared" si="35"/>
        <v>0</v>
      </c>
    </row>
    <row r="249" spans="1:19">
      <c r="A249" s="665"/>
      <c r="B249" s="665"/>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1</v>
      </c>
      <c r="P249" s="2806"/>
      <c r="Q249" s="21">
        <f t="shared" si="43"/>
        <v>1</v>
      </c>
      <c r="R249" s="663">
        <f t="shared" si="44"/>
        <v>0</v>
      </c>
      <c r="S249" s="316">
        <f t="shared" si="35"/>
        <v>0</v>
      </c>
    </row>
    <row r="250" spans="1:19">
      <c r="A250" s="665"/>
      <c r="B250" s="665"/>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2806"/>
      <c r="Q250" s="21">
        <f t="shared" si="43"/>
        <v>1</v>
      </c>
      <c r="R250" s="663">
        <f t="shared" si="44"/>
        <v>0</v>
      </c>
      <c r="S250" s="316">
        <f t="shared" si="35"/>
        <v>0</v>
      </c>
    </row>
    <row r="251" spans="1:19">
      <c r="A251" s="665"/>
      <c r="B251" s="665"/>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1</v>
      </c>
      <c r="P251" s="2806"/>
      <c r="Q251" s="21">
        <f t="shared" si="43"/>
        <v>1</v>
      </c>
      <c r="R251" s="663">
        <f t="shared" si="44"/>
        <v>0</v>
      </c>
      <c r="S251" s="316">
        <f t="shared" si="35"/>
        <v>0</v>
      </c>
    </row>
    <row r="252" spans="1:19">
      <c r="A252" s="665"/>
      <c r="B252" s="665"/>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2806"/>
      <c r="Q252" s="21">
        <f t="shared" si="43"/>
        <v>1</v>
      </c>
      <c r="R252" s="663">
        <f t="shared" si="44"/>
        <v>0</v>
      </c>
      <c r="S252" s="316">
        <f t="shared" si="35"/>
        <v>0</v>
      </c>
    </row>
    <row r="253" spans="1:19">
      <c r="A253" s="665"/>
      <c r="B253" s="665"/>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1</v>
      </c>
      <c r="P253" s="2806"/>
      <c r="Q253" s="21">
        <f t="shared" si="43"/>
        <v>1</v>
      </c>
      <c r="R253" s="663">
        <f t="shared" si="44"/>
        <v>0</v>
      </c>
      <c r="S253" s="316">
        <f t="shared" si="35"/>
        <v>0</v>
      </c>
    </row>
    <row r="254" spans="1:19">
      <c r="A254" s="665"/>
      <c r="B254" s="665"/>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2806"/>
      <c r="Q254" s="21">
        <f t="shared" si="43"/>
        <v>1</v>
      </c>
      <c r="R254" s="663">
        <f t="shared" si="44"/>
        <v>0</v>
      </c>
      <c r="S254" s="316">
        <f t="shared" si="35"/>
        <v>0</v>
      </c>
    </row>
    <row r="255" spans="1:19">
      <c r="A255" s="665"/>
      <c r="B255" s="665"/>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1</v>
      </c>
      <c r="P255" s="2806"/>
      <c r="Q255" s="21">
        <f t="shared" si="43"/>
        <v>1</v>
      </c>
      <c r="R255" s="663">
        <f t="shared" si="44"/>
        <v>0</v>
      </c>
      <c r="S255" s="316">
        <f t="shared" si="35"/>
        <v>0</v>
      </c>
    </row>
    <row r="256" spans="1:19">
      <c r="A256" s="665"/>
      <c r="B256" s="665"/>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2806"/>
      <c r="Q256" s="21">
        <f t="shared" si="43"/>
        <v>1</v>
      </c>
      <c r="R256" s="663">
        <f t="shared" si="44"/>
        <v>0</v>
      </c>
      <c r="S256" s="316">
        <f t="shared" si="35"/>
        <v>0</v>
      </c>
    </row>
    <row r="257" spans="1:19">
      <c r="A257" s="665"/>
      <c r="B257" s="665"/>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1</v>
      </c>
      <c r="P257" s="2806"/>
      <c r="Q257" s="21">
        <f t="shared" si="43"/>
        <v>1</v>
      </c>
      <c r="R257" s="663">
        <f t="shared" si="44"/>
        <v>0</v>
      </c>
      <c r="S257" s="316">
        <f t="shared" si="35"/>
        <v>0</v>
      </c>
    </row>
    <row r="258" spans="1:19">
      <c r="A258" s="665"/>
      <c r="B258" s="665"/>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2806"/>
      <c r="Q258" s="21">
        <f t="shared" si="43"/>
        <v>1</v>
      </c>
      <c r="R258" s="663">
        <f t="shared" si="44"/>
        <v>0</v>
      </c>
      <c r="S258" s="316">
        <f t="shared" si="35"/>
        <v>0</v>
      </c>
    </row>
    <row r="259" spans="1:19">
      <c r="A259" s="665"/>
      <c r="B259" s="665"/>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1</v>
      </c>
      <c r="P259" s="2806"/>
      <c r="Q259" s="21">
        <f t="shared" si="43"/>
        <v>1</v>
      </c>
      <c r="R259" s="663">
        <f t="shared" si="44"/>
        <v>0</v>
      </c>
      <c r="S259" s="316">
        <f t="shared" si="35"/>
        <v>0</v>
      </c>
    </row>
    <row r="260" spans="1:19">
      <c r="A260" s="665"/>
      <c r="B260" s="665"/>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2806"/>
      <c r="Q260" s="21">
        <f t="shared" si="43"/>
        <v>1</v>
      </c>
      <c r="R260" s="663">
        <f t="shared" si="44"/>
        <v>0</v>
      </c>
      <c r="S260" s="316">
        <f t="shared" si="35"/>
        <v>0</v>
      </c>
    </row>
    <row r="261" spans="1:19">
      <c r="A261" s="665"/>
      <c r="B261" s="665"/>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1</v>
      </c>
      <c r="P261" s="2806"/>
      <c r="Q261" s="21">
        <f t="shared" si="43"/>
        <v>1</v>
      </c>
      <c r="R261" s="663">
        <f t="shared" si="44"/>
        <v>0</v>
      </c>
      <c r="S261" s="316">
        <f t="shared" si="35"/>
        <v>0</v>
      </c>
    </row>
    <row r="262" spans="1:19">
      <c r="A262" s="665"/>
      <c r="B262" s="665"/>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2806"/>
      <c r="Q262" s="21">
        <f t="shared" si="43"/>
        <v>1</v>
      </c>
      <c r="R262" s="663">
        <f t="shared" si="44"/>
        <v>0</v>
      </c>
      <c r="S262" s="316">
        <f t="shared" si="35"/>
        <v>0</v>
      </c>
    </row>
    <row r="263" spans="1:19">
      <c r="A263" s="665"/>
      <c r="B263" s="665"/>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1</v>
      </c>
      <c r="P263" s="2806"/>
      <c r="Q263" s="21">
        <f t="shared" si="43"/>
        <v>1</v>
      </c>
      <c r="R263" s="663">
        <f t="shared" si="44"/>
        <v>0</v>
      </c>
      <c r="S263" s="316">
        <f t="shared" si="35"/>
        <v>0</v>
      </c>
    </row>
    <row r="264" spans="1:19">
      <c r="A264" s="665"/>
      <c r="B264" s="665"/>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2806"/>
      <c r="Q264" s="21">
        <f t="shared" si="43"/>
        <v>1</v>
      </c>
      <c r="R264" s="663">
        <f t="shared" si="44"/>
        <v>0</v>
      </c>
      <c r="S264" s="316">
        <f t="shared" si="35"/>
        <v>0</v>
      </c>
    </row>
    <row r="265" spans="1:19">
      <c r="A265" s="665"/>
      <c r="B265" s="665"/>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1</v>
      </c>
      <c r="P265" s="2806"/>
      <c r="Q265" s="21">
        <f t="shared" si="43"/>
        <v>1</v>
      </c>
      <c r="R265" s="663">
        <f t="shared" si="44"/>
        <v>0</v>
      </c>
      <c r="S265" s="316">
        <f t="shared" si="35"/>
        <v>0</v>
      </c>
    </row>
    <row r="266" spans="1:19">
      <c r="A266" s="665"/>
      <c r="B266" s="665"/>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2806"/>
      <c r="Q266" s="21">
        <f t="shared" si="43"/>
        <v>1</v>
      </c>
      <c r="R266" s="663">
        <f t="shared" si="44"/>
        <v>0</v>
      </c>
      <c r="S266" s="316">
        <f t="shared" si="35"/>
        <v>0</v>
      </c>
    </row>
    <row r="267" spans="1:19">
      <c r="A267" s="665"/>
      <c r="B267" s="665"/>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1</v>
      </c>
      <c r="P267" s="2806"/>
      <c r="Q267" s="21">
        <f t="shared" si="43"/>
        <v>1</v>
      </c>
      <c r="R267" s="663">
        <f t="shared" si="44"/>
        <v>0</v>
      </c>
      <c r="S267" s="316">
        <f t="shared" si="35"/>
        <v>0</v>
      </c>
    </row>
    <row r="268" spans="1:19">
      <c r="A268" s="665"/>
      <c r="B268" s="665"/>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2806"/>
      <c r="Q268" s="21">
        <f t="shared" si="43"/>
        <v>1</v>
      </c>
      <c r="R268" s="663">
        <f t="shared" si="44"/>
        <v>0</v>
      </c>
      <c r="S268" s="316">
        <f t="shared" si="35"/>
        <v>0</v>
      </c>
    </row>
    <row r="269" spans="1:19">
      <c r="A269" s="665"/>
      <c r="B269" s="665"/>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1</v>
      </c>
      <c r="P269" s="2806"/>
      <c r="Q269" s="21">
        <f t="shared" si="43"/>
        <v>1</v>
      </c>
      <c r="R269" s="663">
        <f t="shared" si="44"/>
        <v>0</v>
      </c>
      <c r="S269" s="316">
        <f t="shared" si="35"/>
        <v>0</v>
      </c>
    </row>
    <row r="270" spans="1:19">
      <c r="A270" s="665"/>
      <c r="B270" s="665"/>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2806"/>
      <c r="Q270" s="21">
        <f t="shared" si="43"/>
        <v>1</v>
      </c>
      <c r="R270" s="663">
        <f t="shared" si="44"/>
        <v>0</v>
      </c>
      <c r="S270" s="316">
        <f t="shared" si="35"/>
        <v>0</v>
      </c>
    </row>
    <row r="271" spans="1:19">
      <c r="A271" s="665"/>
      <c r="B271" s="665"/>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1</v>
      </c>
      <c r="P271" s="2806"/>
      <c r="Q271" s="21">
        <f t="shared" si="43"/>
        <v>1</v>
      </c>
      <c r="R271" s="663">
        <f t="shared" si="44"/>
        <v>0</v>
      </c>
      <c r="S271" s="316">
        <f t="shared" si="35"/>
        <v>0</v>
      </c>
    </row>
    <row r="272" spans="1:19">
      <c r="A272" s="665"/>
      <c r="B272" s="665"/>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2806"/>
      <c r="Q272" s="21">
        <f t="shared" si="43"/>
        <v>1</v>
      </c>
      <c r="R272" s="663">
        <f t="shared" si="44"/>
        <v>0</v>
      </c>
      <c r="S272" s="316">
        <f t="shared" si="35"/>
        <v>0</v>
      </c>
    </row>
    <row r="273" spans="1:19">
      <c r="A273" s="665"/>
      <c r="B273" s="665"/>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1</v>
      </c>
      <c r="P273" s="2806"/>
      <c r="Q273" s="21">
        <f t="shared" si="43"/>
        <v>1</v>
      </c>
      <c r="R273" s="663">
        <f t="shared" si="44"/>
        <v>0</v>
      </c>
      <c r="S273" s="316">
        <f t="shared" si="35"/>
        <v>0</v>
      </c>
    </row>
    <row r="274" spans="1:19">
      <c r="A274" s="665"/>
      <c r="B274" s="665"/>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2806"/>
      <c r="Q274" s="21">
        <f t="shared" si="43"/>
        <v>1</v>
      </c>
      <c r="R274" s="663">
        <f t="shared" si="44"/>
        <v>0</v>
      </c>
      <c r="S274" s="316">
        <f t="shared" si="35"/>
        <v>0</v>
      </c>
    </row>
    <row r="275" spans="1:19">
      <c r="A275" s="665"/>
      <c r="B275" s="665"/>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1</v>
      </c>
      <c r="P275" s="2806"/>
      <c r="Q275" s="21">
        <f t="shared" si="43"/>
        <v>1</v>
      </c>
      <c r="R275" s="663">
        <f t="shared" si="44"/>
        <v>0</v>
      </c>
      <c r="S275" s="316">
        <f t="shared" si="35"/>
        <v>0</v>
      </c>
    </row>
    <row r="276" spans="1:19">
      <c r="A276" s="665"/>
      <c r="B276" s="665"/>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2806"/>
      <c r="Q276" s="21">
        <f t="shared" si="43"/>
        <v>1</v>
      </c>
      <c r="R276" s="663">
        <f t="shared" si="44"/>
        <v>0</v>
      </c>
      <c r="S276" s="316">
        <f t="shared" si="35"/>
        <v>0</v>
      </c>
    </row>
    <row r="277" spans="1:19">
      <c r="A277" s="665"/>
      <c r="B277" s="665"/>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1</v>
      </c>
      <c r="P277" s="2806"/>
      <c r="Q277" s="21">
        <f t="shared" si="43"/>
        <v>1</v>
      </c>
      <c r="R277" s="663">
        <f t="shared" si="44"/>
        <v>0</v>
      </c>
      <c r="S277" s="316">
        <f t="shared" si="35"/>
        <v>0</v>
      </c>
    </row>
    <row r="278" spans="1:19">
      <c r="A278" s="665"/>
      <c r="B278" s="665"/>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2806"/>
      <c r="Q278" s="21">
        <f t="shared" si="43"/>
        <v>1</v>
      </c>
      <c r="R278" s="663">
        <f t="shared" si="44"/>
        <v>0</v>
      </c>
      <c r="S278" s="316">
        <f t="shared" si="35"/>
        <v>0</v>
      </c>
    </row>
    <row r="279" spans="1:19">
      <c r="A279" s="665"/>
      <c r="B279" s="665"/>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1</v>
      </c>
      <c r="P279" s="2806"/>
      <c r="Q279" s="21">
        <f t="shared" si="43"/>
        <v>1</v>
      </c>
      <c r="R279" s="663">
        <f t="shared" si="44"/>
        <v>0</v>
      </c>
      <c r="S279" s="316">
        <f t="shared" si="35"/>
        <v>0</v>
      </c>
    </row>
    <row r="280" spans="1:19">
      <c r="A280" s="665"/>
      <c r="B280" s="665"/>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2806"/>
      <c r="Q280" s="21">
        <f t="shared" si="43"/>
        <v>1</v>
      </c>
      <c r="R280" s="663">
        <f t="shared" si="44"/>
        <v>0</v>
      </c>
      <c r="S280" s="316">
        <f t="shared" ref="S280:S343" si="45">ROUND(R280*B280/10000,0)</f>
        <v>0</v>
      </c>
    </row>
    <row r="281" spans="1:19">
      <c r="A281" s="665"/>
      <c r="B281" s="665"/>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1</v>
      </c>
      <c r="P281" s="2806"/>
      <c r="Q281" s="21">
        <f t="shared" si="43"/>
        <v>1</v>
      </c>
      <c r="R281" s="663">
        <f t="shared" si="44"/>
        <v>0</v>
      </c>
      <c r="S281" s="316">
        <f t="shared" si="45"/>
        <v>0</v>
      </c>
    </row>
    <row r="282" spans="1:19">
      <c r="A282" s="665"/>
      <c r="B282" s="665"/>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2806"/>
      <c r="Q282" s="21">
        <f t="shared" ref="Q282:Q345" si="53">(SUMIF($17:$17,P282,$18:$18)-SUMIF($17:$17,$P$24,$18:$18)+100)/100</f>
        <v>1</v>
      </c>
      <c r="R282" s="663">
        <f t="shared" ref="R282:R345" si="54">IF(B282="",0,ROUND($R$24*C282*E282*G282*I282*K282*M282*O282*Q282,0))</f>
        <v>0</v>
      </c>
      <c r="S282" s="316">
        <f t="shared" si="45"/>
        <v>0</v>
      </c>
    </row>
    <row r="283" spans="1:19">
      <c r="A283" s="665"/>
      <c r="B283" s="665"/>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1</v>
      </c>
      <c r="P283" s="2806"/>
      <c r="Q283" s="21">
        <f t="shared" si="53"/>
        <v>1</v>
      </c>
      <c r="R283" s="663">
        <f t="shared" si="54"/>
        <v>0</v>
      </c>
      <c r="S283" s="316">
        <f t="shared" si="45"/>
        <v>0</v>
      </c>
    </row>
    <row r="284" spans="1:19">
      <c r="A284" s="665"/>
      <c r="B284" s="665"/>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2806"/>
      <c r="Q284" s="21">
        <f t="shared" si="53"/>
        <v>1</v>
      </c>
      <c r="R284" s="663">
        <f t="shared" si="54"/>
        <v>0</v>
      </c>
      <c r="S284" s="316">
        <f t="shared" si="45"/>
        <v>0</v>
      </c>
    </row>
    <row r="285" spans="1:19">
      <c r="A285" s="665"/>
      <c r="B285" s="665"/>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1</v>
      </c>
      <c r="P285" s="2806"/>
      <c r="Q285" s="21">
        <f t="shared" si="53"/>
        <v>1</v>
      </c>
      <c r="R285" s="663">
        <f t="shared" si="54"/>
        <v>0</v>
      </c>
      <c r="S285" s="316">
        <f t="shared" si="45"/>
        <v>0</v>
      </c>
    </row>
    <row r="286" spans="1:19">
      <c r="A286" s="665"/>
      <c r="B286" s="665"/>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2806"/>
      <c r="Q286" s="21">
        <f t="shared" si="53"/>
        <v>1</v>
      </c>
      <c r="R286" s="663">
        <f t="shared" si="54"/>
        <v>0</v>
      </c>
      <c r="S286" s="316">
        <f t="shared" si="45"/>
        <v>0</v>
      </c>
    </row>
    <row r="287" spans="1:19">
      <c r="A287" s="665"/>
      <c r="B287" s="665"/>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1</v>
      </c>
      <c r="P287" s="2806"/>
      <c r="Q287" s="21">
        <f t="shared" si="53"/>
        <v>1</v>
      </c>
      <c r="R287" s="663">
        <f t="shared" si="54"/>
        <v>0</v>
      </c>
      <c r="S287" s="316">
        <f t="shared" si="45"/>
        <v>0</v>
      </c>
    </row>
    <row r="288" spans="1:19">
      <c r="A288" s="665"/>
      <c r="B288" s="665"/>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2806"/>
      <c r="Q288" s="21">
        <f t="shared" si="53"/>
        <v>1</v>
      </c>
      <c r="R288" s="663">
        <f t="shared" si="54"/>
        <v>0</v>
      </c>
      <c r="S288" s="316">
        <f t="shared" si="45"/>
        <v>0</v>
      </c>
    </row>
    <row r="289" spans="1:19">
      <c r="A289" s="665"/>
      <c r="B289" s="665"/>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1</v>
      </c>
      <c r="P289" s="2806"/>
      <c r="Q289" s="21">
        <f t="shared" si="53"/>
        <v>1</v>
      </c>
      <c r="R289" s="663">
        <f t="shared" si="54"/>
        <v>0</v>
      </c>
      <c r="S289" s="316">
        <f t="shared" si="45"/>
        <v>0</v>
      </c>
    </row>
    <row r="290" spans="1:19">
      <c r="A290" s="665"/>
      <c r="B290" s="665"/>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2806"/>
      <c r="Q290" s="21">
        <f t="shared" si="53"/>
        <v>1</v>
      </c>
      <c r="R290" s="663">
        <f t="shared" si="54"/>
        <v>0</v>
      </c>
      <c r="S290" s="316">
        <f t="shared" si="45"/>
        <v>0</v>
      </c>
    </row>
    <row r="291" spans="1:19">
      <c r="A291" s="665"/>
      <c r="B291" s="665"/>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1</v>
      </c>
      <c r="P291" s="2806"/>
      <c r="Q291" s="21">
        <f t="shared" si="53"/>
        <v>1</v>
      </c>
      <c r="R291" s="663">
        <f t="shared" si="54"/>
        <v>0</v>
      </c>
      <c r="S291" s="316">
        <f t="shared" si="45"/>
        <v>0</v>
      </c>
    </row>
    <row r="292" spans="1:19">
      <c r="A292" s="665"/>
      <c r="B292" s="665"/>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2806"/>
      <c r="Q292" s="21">
        <f t="shared" si="53"/>
        <v>1</v>
      </c>
      <c r="R292" s="663">
        <f t="shared" si="54"/>
        <v>0</v>
      </c>
      <c r="S292" s="316">
        <f t="shared" si="45"/>
        <v>0</v>
      </c>
    </row>
    <row r="293" spans="1:19">
      <c r="A293" s="665"/>
      <c r="B293" s="665"/>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1</v>
      </c>
      <c r="P293" s="2806"/>
      <c r="Q293" s="21">
        <f t="shared" si="53"/>
        <v>1</v>
      </c>
      <c r="R293" s="663">
        <f t="shared" si="54"/>
        <v>0</v>
      </c>
      <c r="S293" s="316">
        <f t="shared" si="45"/>
        <v>0</v>
      </c>
    </row>
    <row r="294" spans="1:19">
      <c r="A294" s="665"/>
      <c r="B294" s="665"/>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2806"/>
      <c r="Q294" s="21">
        <f t="shared" si="53"/>
        <v>1</v>
      </c>
      <c r="R294" s="663">
        <f t="shared" si="54"/>
        <v>0</v>
      </c>
      <c r="S294" s="316">
        <f t="shared" si="45"/>
        <v>0</v>
      </c>
    </row>
    <row r="295" spans="1:19">
      <c r="A295" s="665"/>
      <c r="B295" s="665"/>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1</v>
      </c>
      <c r="P295" s="2806"/>
      <c r="Q295" s="21">
        <f t="shared" si="53"/>
        <v>1</v>
      </c>
      <c r="R295" s="663">
        <f t="shared" si="54"/>
        <v>0</v>
      </c>
      <c r="S295" s="316">
        <f t="shared" si="45"/>
        <v>0</v>
      </c>
    </row>
    <row r="296" spans="1:19">
      <c r="A296" s="665"/>
      <c r="B296" s="665"/>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2806"/>
      <c r="Q296" s="21">
        <f t="shared" si="53"/>
        <v>1</v>
      </c>
      <c r="R296" s="663">
        <f t="shared" si="54"/>
        <v>0</v>
      </c>
      <c r="S296" s="316">
        <f t="shared" si="45"/>
        <v>0</v>
      </c>
    </row>
    <row r="297" spans="1:19">
      <c r="A297" s="665"/>
      <c r="B297" s="665"/>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1</v>
      </c>
      <c r="P297" s="2806"/>
      <c r="Q297" s="21">
        <f t="shared" si="53"/>
        <v>1</v>
      </c>
      <c r="R297" s="663">
        <f t="shared" si="54"/>
        <v>0</v>
      </c>
      <c r="S297" s="316">
        <f t="shared" si="45"/>
        <v>0</v>
      </c>
    </row>
    <row r="298" spans="1:19">
      <c r="A298" s="665"/>
      <c r="B298" s="665"/>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2806"/>
      <c r="Q298" s="21">
        <f t="shared" si="53"/>
        <v>1</v>
      </c>
      <c r="R298" s="663">
        <f t="shared" si="54"/>
        <v>0</v>
      </c>
      <c r="S298" s="316">
        <f t="shared" si="45"/>
        <v>0</v>
      </c>
    </row>
    <row r="299" spans="1:19">
      <c r="A299" s="665"/>
      <c r="B299" s="665"/>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1</v>
      </c>
      <c r="P299" s="2806"/>
      <c r="Q299" s="21">
        <f t="shared" si="53"/>
        <v>1</v>
      </c>
      <c r="R299" s="663">
        <f t="shared" si="54"/>
        <v>0</v>
      </c>
      <c r="S299" s="316">
        <f t="shared" si="45"/>
        <v>0</v>
      </c>
    </row>
    <row r="300" spans="1:19">
      <c r="A300" s="665"/>
      <c r="B300" s="665"/>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2806"/>
      <c r="Q300" s="21">
        <f t="shared" si="53"/>
        <v>1</v>
      </c>
      <c r="R300" s="663">
        <f t="shared" si="54"/>
        <v>0</v>
      </c>
      <c r="S300" s="316">
        <f t="shared" si="45"/>
        <v>0</v>
      </c>
    </row>
    <row r="301" spans="1:19">
      <c r="A301" s="665"/>
      <c r="B301" s="665"/>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1</v>
      </c>
      <c r="P301" s="2806"/>
      <c r="Q301" s="21">
        <f t="shared" si="53"/>
        <v>1</v>
      </c>
      <c r="R301" s="663">
        <f t="shared" si="54"/>
        <v>0</v>
      </c>
      <c r="S301" s="316">
        <f t="shared" si="45"/>
        <v>0</v>
      </c>
    </row>
    <row r="302" spans="1:19">
      <c r="A302" s="665"/>
      <c r="B302" s="665"/>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2806"/>
      <c r="Q302" s="21">
        <f t="shared" si="53"/>
        <v>1</v>
      </c>
      <c r="R302" s="663">
        <f t="shared" si="54"/>
        <v>0</v>
      </c>
      <c r="S302" s="316">
        <f t="shared" si="45"/>
        <v>0</v>
      </c>
    </row>
    <row r="303" spans="1:19">
      <c r="A303" s="665"/>
      <c r="B303" s="665"/>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1</v>
      </c>
      <c r="P303" s="2806"/>
      <c r="Q303" s="21">
        <f t="shared" si="53"/>
        <v>1</v>
      </c>
      <c r="R303" s="663">
        <f t="shared" si="54"/>
        <v>0</v>
      </c>
      <c r="S303" s="316">
        <f t="shared" si="45"/>
        <v>0</v>
      </c>
    </row>
    <row r="304" spans="1:19">
      <c r="A304" s="665"/>
      <c r="B304" s="665"/>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2806"/>
      <c r="Q304" s="21">
        <f t="shared" si="53"/>
        <v>1</v>
      </c>
      <c r="R304" s="663">
        <f t="shared" si="54"/>
        <v>0</v>
      </c>
      <c r="S304" s="316">
        <f t="shared" si="45"/>
        <v>0</v>
      </c>
    </row>
    <row r="305" spans="1:19">
      <c r="A305" s="665"/>
      <c r="B305" s="665"/>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1</v>
      </c>
      <c r="P305" s="2806"/>
      <c r="Q305" s="21">
        <f t="shared" si="53"/>
        <v>1</v>
      </c>
      <c r="R305" s="663">
        <f t="shared" si="54"/>
        <v>0</v>
      </c>
      <c r="S305" s="316">
        <f t="shared" si="45"/>
        <v>0</v>
      </c>
    </row>
    <row r="306" spans="1:19">
      <c r="A306" s="665"/>
      <c r="B306" s="665"/>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2806"/>
      <c r="Q306" s="21">
        <f t="shared" si="53"/>
        <v>1</v>
      </c>
      <c r="R306" s="663">
        <f t="shared" si="54"/>
        <v>0</v>
      </c>
      <c r="S306" s="316">
        <f t="shared" si="45"/>
        <v>0</v>
      </c>
    </row>
    <row r="307" spans="1:19">
      <c r="A307" s="665"/>
      <c r="B307" s="665"/>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1</v>
      </c>
      <c r="P307" s="2806"/>
      <c r="Q307" s="21">
        <f t="shared" si="53"/>
        <v>1</v>
      </c>
      <c r="R307" s="663">
        <f t="shared" si="54"/>
        <v>0</v>
      </c>
      <c r="S307" s="316">
        <f t="shared" si="45"/>
        <v>0</v>
      </c>
    </row>
    <row r="308" spans="1:19">
      <c r="A308" s="665"/>
      <c r="B308" s="665"/>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2806"/>
      <c r="Q308" s="21">
        <f t="shared" si="53"/>
        <v>1</v>
      </c>
      <c r="R308" s="663">
        <f t="shared" si="54"/>
        <v>0</v>
      </c>
      <c r="S308" s="316">
        <f t="shared" si="45"/>
        <v>0</v>
      </c>
    </row>
    <row r="309" spans="1:19">
      <c r="A309" s="665"/>
      <c r="B309" s="665"/>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1</v>
      </c>
      <c r="P309" s="2806"/>
      <c r="Q309" s="21">
        <f t="shared" si="53"/>
        <v>1</v>
      </c>
      <c r="R309" s="663">
        <f t="shared" si="54"/>
        <v>0</v>
      </c>
      <c r="S309" s="316">
        <f t="shared" si="45"/>
        <v>0</v>
      </c>
    </row>
    <row r="310" spans="1:19">
      <c r="A310" s="665"/>
      <c r="B310" s="665"/>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2806"/>
      <c r="Q310" s="21">
        <f t="shared" si="53"/>
        <v>1</v>
      </c>
      <c r="R310" s="663">
        <f t="shared" si="54"/>
        <v>0</v>
      </c>
      <c r="S310" s="316">
        <f t="shared" si="45"/>
        <v>0</v>
      </c>
    </row>
    <row r="311" spans="1:19">
      <c r="A311" s="665"/>
      <c r="B311" s="665"/>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1</v>
      </c>
      <c r="P311" s="2806"/>
      <c r="Q311" s="21">
        <f t="shared" si="53"/>
        <v>1</v>
      </c>
      <c r="R311" s="663">
        <f t="shared" si="54"/>
        <v>0</v>
      </c>
      <c r="S311" s="316">
        <f t="shared" si="45"/>
        <v>0</v>
      </c>
    </row>
    <row r="312" spans="1:19">
      <c r="A312" s="665"/>
      <c r="B312" s="665"/>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2806"/>
      <c r="Q312" s="21">
        <f t="shared" si="53"/>
        <v>1</v>
      </c>
      <c r="R312" s="663">
        <f t="shared" si="54"/>
        <v>0</v>
      </c>
      <c r="S312" s="316">
        <f t="shared" si="45"/>
        <v>0</v>
      </c>
    </row>
    <row r="313" spans="1:19">
      <c r="A313" s="665"/>
      <c r="B313" s="665"/>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1</v>
      </c>
      <c r="P313" s="2806"/>
      <c r="Q313" s="21">
        <f t="shared" si="53"/>
        <v>1</v>
      </c>
      <c r="R313" s="663">
        <f t="shared" si="54"/>
        <v>0</v>
      </c>
      <c r="S313" s="316">
        <f t="shared" si="45"/>
        <v>0</v>
      </c>
    </row>
    <row r="314" spans="1:19">
      <c r="A314" s="665"/>
      <c r="B314" s="665"/>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2806"/>
      <c r="Q314" s="21">
        <f t="shared" si="53"/>
        <v>1</v>
      </c>
      <c r="R314" s="663">
        <f t="shared" si="54"/>
        <v>0</v>
      </c>
      <c r="S314" s="316">
        <f t="shared" si="45"/>
        <v>0</v>
      </c>
    </row>
    <row r="315" spans="1:19">
      <c r="A315" s="665"/>
      <c r="B315" s="665"/>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1</v>
      </c>
      <c r="P315" s="2806"/>
      <c r="Q315" s="21">
        <f t="shared" si="53"/>
        <v>1</v>
      </c>
      <c r="R315" s="663">
        <f t="shared" si="54"/>
        <v>0</v>
      </c>
      <c r="S315" s="316">
        <f t="shared" si="45"/>
        <v>0</v>
      </c>
    </row>
    <row r="316" spans="1:19">
      <c r="A316" s="665"/>
      <c r="B316" s="665"/>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2806"/>
      <c r="Q316" s="21">
        <f t="shared" si="53"/>
        <v>1</v>
      </c>
      <c r="R316" s="663">
        <f t="shared" si="54"/>
        <v>0</v>
      </c>
      <c r="S316" s="316">
        <f t="shared" si="45"/>
        <v>0</v>
      </c>
    </row>
    <row r="317" spans="1:19">
      <c r="A317" s="665"/>
      <c r="B317" s="665"/>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1</v>
      </c>
      <c r="P317" s="2806"/>
      <c r="Q317" s="21">
        <f t="shared" si="53"/>
        <v>1</v>
      </c>
      <c r="R317" s="663">
        <f t="shared" si="54"/>
        <v>0</v>
      </c>
      <c r="S317" s="316">
        <f t="shared" si="45"/>
        <v>0</v>
      </c>
    </row>
    <row r="318" spans="1:19">
      <c r="A318" s="665"/>
      <c r="B318" s="665"/>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2806"/>
      <c r="Q318" s="21">
        <f t="shared" si="53"/>
        <v>1</v>
      </c>
      <c r="R318" s="663">
        <f t="shared" si="54"/>
        <v>0</v>
      </c>
      <c r="S318" s="316">
        <f t="shared" si="45"/>
        <v>0</v>
      </c>
    </row>
    <row r="319" spans="1:19">
      <c r="A319" s="665"/>
      <c r="B319" s="665"/>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1</v>
      </c>
      <c r="P319" s="2806"/>
      <c r="Q319" s="21">
        <f t="shared" si="53"/>
        <v>1</v>
      </c>
      <c r="R319" s="663">
        <f t="shared" si="54"/>
        <v>0</v>
      </c>
      <c r="S319" s="316">
        <f t="shared" si="45"/>
        <v>0</v>
      </c>
    </row>
    <row r="320" spans="1:19">
      <c r="A320" s="665"/>
      <c r="B320" s="665"/>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2806"/>
      <c r="Q320" s="21">
        <f t="shared" si="53"/>
        <v>1</v>
      </c>
      <c r="R320" s="663">
        <f t="shared" si="54"/>
        <v>0</v>
      </c>
      <c r="S320" s="316">
        <f t="shared" si="45"/>
        <v>0</v>
      </c>
    </row>
    <row r="321" spans="1:19">
      <c r="A321" s="665"/>
      <c r="B321" s="665"/>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1</v>
      </c>
      <c r="P321" s="2806"/>
      <c r="Q321" s="21">
        <f t="shared" si="53"/>
        <v>1</v>
      </c>
      <c r="R321" s="663">
        <f t="shared" si="54"/>
        <v>0</v>
      </c>
      <c r="S321" s="316">
        <f t="shared" si="45"/>
        <v>0</v>
      </c>
    </row>
    <row r="322" spans="1:19">
      <c r="A322" s="665"/>
      <c r="B322" s="665"/>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2806"/>
      <c r="Q322" s="21">
        <f t="shared" si="53"/>
        <v>1</v>
      </c>
      <c r="R322" s="663">
        <f t="shared" si="54"/>
        <v>0</v>
      </c>
      <c r="S322" s="316">
        <f t="shared" si="45"/>
        <v>0</v>
      </c>
    </row>
    <row r="323" spans="1:19">
      <c r="A323" s="665"/>
      <c r="B323" s="665"/>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1</v>
      </c>
      <c r="P323" s="2806"/>
      <c r="Q323" s="21">
        <f t="shared" si="53"/>
        <v>1</v>
      </c>
      <c r="R323" s="663">
        <f t="shared" si="54"/>
        <v>0</v>
      </c>
      <c r="S323" s="316">
        <f t="shared" si="45"/>
        <v>0</v>
      </c>
    </row>
    <row r="324" spans="1:19">
      <c r="A324" s="665"/>
      <c r="B324" s="665"/>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2806"/>
      <c r="Q324" s="21">
        <f t="shared" si="53"/>
        <v>1</v>
      </c>
      <c r="R324" s="663">
        <f t="shared" si="54"/>
        <v>0</v>
      </c>
      <c r="S324" s="316">
        <f t="shared" si="45"/>
        <v>0</v>
      </c>
    </row>
    <row r="325" spans="1:19">
      <c r="A325" s="665"/>
      <c r="B325" s="665"/>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1</v>
      </c>
      <c r="P325" s="2806"/>
      <c r="Q325" s="21">
        <f t="shared" si="53"/>
        <v>1</v>
      </c>
      <c r="R325" s="663">
        <f t="shared" si="54"/>
        <v>0</v>
      </c>
      <c r="S325" s="316">
        <f t="shared" si="45"/>
        <v>0</v>
      </c>
    </row>
    <row r="326" spans="1:19">
      <c r="A326" s="665"/>
      <c r="B326" s="665"/>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1</v>
      </c>
      <c r="R326" s="663">
        <f t="shared" si="54"/>
        <v>0</v>
      </c>
      <c r="S326" s="316">
        <f t="shared" si="45"/>
        <v>0</v>
      </c>
    </row>
    <row r="327" spans="1:19">
      <c r="A327" s="665"/>
      <c r="B327" s="665"/>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1</v>
      </c>
      <c r="R327" s="663">
        <f t="shared" si="54"/>
        <v>0</v>
      </c>
      <c r="S327" s="316">
        <f t="shared" si="45"/>
        <v>0</v>
      </c>
    </row>
    <row r="328" spans="1:19">
      <c r="A328" s="665"/>
      <c r="B328" s="665"/>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1</v>
      </c>
      <c r="R328" s="663">
        <f t="shared" si="54"/>
        <v>0</v>
      </c>
      <c r="S328" s="316">
        <f t="shared" si="45"/>
        <v>0</v>
      </c>
    </row>
    <row r="329" spans="1:19">
      <c r="A329" s="665"/>
      <c r="B329" s="665"/>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1</v>
      </c>
      <c r="R329" s="663">
        <f t="shared" si="54"/>
        <v>0</v>
      </c>
      <c r="S329" s="316">
        <f t="shared" si="45"/>
        <v>0</v>
      </c>
    </row>
    <row r="330" spans="1:19">
      <c r="A330" s="665"/>
      <c r="B330" s="665"/>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1</v>
      </c>
      <c r="R330" s="663">
        <f t="shared" si="54"/>
        <v>0</v>
      </c>
      <c r="S330" s="316">
        <f t="shared" si="45"/>
        <v>0</v>
      </c>
    </row>
    <row r="331" spans="1:19">
      <c r="A331" s="665"/>
      <c r="B331" s="665"/>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1</v>
      </c>
      <c r="R331" s="663">
        <f t="shared" si="54"/>
        <v>0</v>
      </c>
      <c r="S331" s="316">
        <f t="shared" si="45"/>
        <v>0</v>
      </c>
    </row>
    <row r="332" spans="1:19">
      <c r="A332" s="665"/>
      <c r="B332" s="665"/>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1</v>
      </c>
      <c r="R332" s="663">
        <f t="shared" si="54"/>
        <v>0</v>
      </c>
      <c r="S332" s="316">
        <f t="shared" si="45"/>
        <v>0</v>
      </c>
    </row>
    <row r="333" spans="1:19">
      <c r="A333" s="665"/>
      <c r="B333" s="665"/>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1</v>
      </c>
      <c r="R333" s="663">
        <f t="shared" si="54"/>
        <v>0</v>
      </c>
      <c r="S333" s="316">
        <f t="shared" si="45"/>
        <v>0</v>
      </c>
    </row>
    <row r="334" spans="1:19">
      <c r="A334" s="665"/>
      <c r="B334" s="665"/>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1</v>
      </c>
      <c r="R334" s="663">
        <f t="shared" si="54"/>
        <v>0</v>
      </c>
      <c r="S334" s="316">
        <f t="shared" si="45"/>
        <v>0</v>
      </c>
    </row>
    <row r="335" spans="1:19">
      <c r="A335" s="665"/>
      <c r="B335" s="665"/>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1</v>
      </c>
      <c r="R335" s="663">
        <f t="shared" si="54"/>
        <v>0</v>
      </c>
      <c r="S335" s="316">
        <f t="shared" si="45"/>
        <v>0</v>
      </c>
    </row>
    <row r="336" spans="1:19">
      <c r="A336" s="665"/>
      <c r="B336" s="665"/>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1</v>
      </c>
      <c r="R336" s="663">
        <f t="shared" si="54"/>
        <v>0</v>
      </c>
      <c r="S336" s="316">
        <f t="shared" si="45"/>
        <v>0</v>
      </c>
    </row>
    <row r="337" spans="1:19">
      <c r="A337" s="665"/>
      <c r="B337" s="665"/>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1</v>
      </c>
      <c r="R337" s="663">
        <f t="shared" si="54"/>
        <v>0</v>
      </c>
      <c r="S337" s="316">
        <f t="shared" si="45"/>
        <v>0</v>
      </c>
    </row>
    <row r="338" spans="1:19">
      <c r="A338" s="665"/>
      <c r="B338" s="665"/>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1</v>
      </c>
      <c r="R338" s="663">
        <f t="shared" si="54"/>
        <v>0</v>
      </c>
      <c r="S338" s="316">
        <f t="shared" si="45"/>
        <v>0</v>
      </c>
    </row>
    <row r="339" spans="1:19">
      <c r="A339" s="665"/>
      <c r="B339" s="665"/>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1</v>
      </c>
      <c r="R339" s="663">
        <f t="shared" si="54"/>
        <v>0</v>
      </c>
      <c r="S339" s="316">
        <f t="shared" si="45"/>
        <v>0</v>
      </c>
    </row>
    <row r="340" spans="1:19">
      <c r="A340" s="665"/>
      <c r="B340" s="665"/>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1</v>
      </c>
      <c r="R340" s="663">
        <f t="shared" si="54"/>
        <v>0</v>
      </c>
      <c r="S340" s="316">
        <f t="shared" si="45"/>
        <v>0</v>
      </c>
    </row>
    <row r="341" spans="1:19">
      <c r="A341" s="665"/>
      <c r="B341" s="665"/>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1</v>
      </c>
      <c r="R341" s="663">
        <f t="shared" si="54"/>
        <v>0</v>
      </c>
      <c r="S341" s="316">
        <f t="shared" si="45"/>
        <v>0</v>
      </c>
    </row>
    <row r="342" spans="1:19">
      <c r="A342" s="665"/>
      <c r="B342" s="665"/>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1</v>
      </c>
      <c r="R342" s="663">
        <f t="shared" si="54"/>
        <v>0</v>
      </c>
      <c r="S342" s="316">
        <f t="shared" si="45"/>
        <v>0</v>
      </c>
    </row>
    <row r="343" spans="1:19">
      <c r="A343" s="665"/>
      <c r="B343" s="665"/>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1</v>
      </c>
      <c r="R343" s="663">
        <f t="shared" si="54"/>
        <v>0</v>
      </c>
      <c r="S343" s="316">
        <f t="shared" si="45"/>
        <v>0</v>
      </c>
    </row>
    <row r="344" spans="1:19">
      <c r="A344" s="665"/>
      <c r="B344" s="665"/>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1</v>
      </c>
      <c r="R344" s="663">
        <f t="shared" si="54"/>
        <v>0</v>
      </c>
      <c r="S344" s="316">
        <f t="shared" ref="S344:S407" si="55">ROUND(R344*B344/10000,0)</f>
        <v>0</v>
      </c>
    </row>
    <row r="345" spans="1:19">
      <c r="A345" s="665"/>
      <c r="B345" s="665"/>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1</v>
      </c>
      <c r="R345" s="663">
        <f t="shared" si="54"/>
        <v>0</v>
      </c>
      <c r="S345" s="316">
        <f t="shared" si="55"/>
        <v>0</v>
      </c>
    </row>
    <row r="346" spans="1:19">
      <c r="A346" s="665"/>
      <c r="B346" s="665"/>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1</v>
      </c>
      <c r="R346" s="663">
        <f t="shared" ref="R346:R409" si="64">IF(B346="",0,ROUND($R$24*C346*E346*G346*I346*K346*M346*O346*Q346,0))</f>
        <v>0</v>
      </c>
      <c r="S346" s="316">
        <f t="shared" si="55"/>
        <v>0</v>
      </c>
    </row>
    <row r="347" spans="1:19">
      <c r="A347" s="665"/>
      <c r="B347" s="665"/>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1</v>
      </c>
      <c r="R347" s="663">
        <f t="shared" si="64"/>
        <v>0</v>
      </c>
      <c r="S347" s="316">
        <f t="shared" si="55"/>
        <v>0</v>
      </c>
    </row>
    <row r="348" spans="1:19">
      <c r="A348" s="665"/>
      <c r="B348" s="665"/>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1</v>
      </c>
      <c r="R348" s="663">
        <f t="shared" si="64"/>
        <v>0</v>
      </c>
      <c r="S348" s="316">
        <f t="shared" si="55"/>
        <v>0</v>
      </c>
    </row>
    <row r="349" spans="1:19">
      <c r="A349" s="665"/>
      <c r="B349" s="665"/>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1</v>
      </c>
      <c r="R349" s="663">
        <f t="shared" si="64"/>
        <v>0</v>
      </c>
      <c r="S349" s="316">
        <f t="shared" si="55"/>
        <v>0</v>
      </c>
    </row>
    <row r="350" spans="1:19">
      <c r="A350" s="665"/>
      <c r="B350" s="665"/>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1</v>
      </c>
      <c r="R350" s="663">
        <f t="shared" si="64"/>
        <v>0</v>
      </c>
      <c r="S350" s="316">
        <f t="shared" si="55"/>
        <v>0</v>
      </c>
    </row>
    <row r="351" spans="1:19">
      <c r="A351" s="665"/>
      <c r="B351" s="665"/>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1</v>
      </c>
      <c r="R351" s="663">
        <f t="shared" si="64"/>
        <v>0</v>
      </c>
      <c r="S351" s="316">
        <f t="shared" si="55"/>
        <v>0</v>
      </c>
    </row>
    <row r="352" spans="1:19">
      <c r="A352" s="665"/>
      <c r="B352" s="665"/>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1</v>
      </c>
      <c r="R352" s="663">
        <f t="shared" si="64"/>
        <v>0</v>
      </c>
      <c r="S352" s="316">
        <f t="shared" si="55"/>
        <v>0</v>
      </c>
    </row>
    <row r="353" spans="1:19">
      <c r="A353" s="665"/>
      <c r="B353" s="665"/>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1</v>
      </c>
      <c r="R353" s="663">
        <f t="shared" si="64"/>
        <v>0</v>
      </c>
      <c r="S353" s="316">
        <f t="shared" si="55"/>
        <v>0</v>
      </c>
    </row>
    <row r="354" spans="1:19">
      <c r="A354" s="665"/>
      <c r="B354" s="665"/>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1</v>
      </c>
      <c r="R354" s="663">
        <f t="shared" si="64"/>
        <v>0</v>
      </c>
      <c r="S354" s="316">
        <f t="shared" si="55"/>
        <v>0</v>
      </c>
    </row>
    <row r="355" spans="1:19">
      <c r="A355" s="665"/>
      <c r="B355" s="665"/>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1</v>
      </c>
      <c r="R355" s="663">
        <f t="shared" si="64"/>
        <v>0</v>
      </c>
      <c r="S355" s="316">
        <f t="shared" si="55"/>
        <v>0</v>
      </c>
    </row>
    <row r="356" spans="1:19">
      <c r="A356" s="665"/>
      <c r="B356" s="665"/>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1</v>
      </c>
      <c r="R356" s="663">
        <f t="shared" si="64"/>
        <v>0</v>
      </c>
      <c r="S356" s="316">
        <f t="shared" si="55"/>
        <v>0</v>
      </c>
    </row>
    <row r="357" spans="1:19">
      <c r="A357" s="665"/>
      <c r="B357" s="665"/>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1</v>
      </c>
      <c r="R357" s="663">
        <f t="shared" si="64"/>
        <v>0</v>
      </c>
      <c r="S357" s="316">
        <f t="shared" si="55"/>
        <v>0</v>
      </c>
    </row>
    <row r="358" spans="1:19">
      <c r="A358" s="665"/>
      <c r="B358" s="665"/>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1</v>
      </c>
      <c r="R358" s="663">
        <f t="shared" si="64"/>
        <v>0</v>
      </c>
      <c r="S358" s="316">
        <f t="shared" si="55"/>
        <v>0</v>
      </c>
    </row>
    <row r="359" spans="1:19">
      <c r="A359" s="665"/>
      <c r="B359" s="665"/>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1</v>
      </c>
      <c r="R359" s="663">
        <f t="shared" si="64"/>
        <v>0</v>
      </c>
      <c r="S359" s="316">
        <f t="shared" si="55"/>
        <v>0</v>
      </c>
    </row>
    <row r="360" spans="1:19">
      <c r="A360" s="665"/>
      <c r="B360" s="665"/>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1</v>
      </c>
      <c r="R360" s="663">
        <f t="shared" si="64"/>
        <v>0</v>
      </c>
      <c r="S360" s="316">
        <f t="shared" si="55"/>
        <v>0</v>
      </c>
    </row>
    <row r="361" spans="1:19">
      <c r="A361" s="665"/>
      <c r="B361" s="665"/>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1</v>
      </c>
      <c r="R361" s="663">
        <f t="shared" si="64"/>
        <v>0</v>
      </c>
      <c r="S361" s="316">
        <f t="shared" si="55"/>
        <v>0</v>
      </c>
    </row>
    <row r="362" spans="1:19">
      <c r="A362" s="665"/>
      <c r="B362" s="665"/>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1</v>
      </c>
      <c r="R362" s="663">
        <f t="shared" si="64"/>
        <v>0</v>
      </c>
      <c r="S362" s="316">
        <f t="shared" si="55"/>
        <v>0</v>
      </c>
    </row>
    <row r="363" spans="1:19">
      <c r="A363" s="665"/>
      <c r="B363" s="665"/>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1</v>
      </c>
      <c r="R363" s="663">
        <f t="shared" si="64"/>
        <v>0</v>
      </c>
      <c r="S363" s="316">
        <f t="shared" si="55"/>
        <v>0</v>
      </c>
    </row>
    <row r="364" spans="1:19">
      <c r="A364" s="665"/>
      <c r="B364" s="665"/>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1</v>
      </c>
      <c r="R364" s="663">
        <f t="shared" si="64"/>
        <v>0</v>
      </c>
      <c r="S364" s="316">
        <f t="shared" si="55"/>
        <v>0</v>
      </c>
    </row>
    <row r="365" spans="1:19">
      <c r="A365" s="665"/>
      <c r="B365" s="665"/>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1</v>
      </c>
      <c r="R365" s="663">
        <f t="shared" si="64"/>
        <v>0</v>
      </c>
      <c r="S365" s="316">
        <f t="shared" si="55"/>
        <v>0</v>
      </c>
    </row>
    <row r="366" spans="1:19">
      <c r="A366" s="665"/>
      <c r="B366" s="665"/>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1</v>
      </c>
      <c r="R366" s="663">
        <f t="shared" si="64"/>
        <v>0</v>
      </c>
      <c r="S366" s="316">
        <f t="shared" si="55"/>
        <v>0</v>
      </c>
    </row>
    <row r="367" spans="1:19">
      <c r="A367" s="665"/>
      <c r="B367" s="665"/>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1</v>
      </c>
      <c r="R367" s="663">
        <f t="shared" si="64"/>
        <v>0</v>
      </c>
      <c r="S367" s="316">
        <f t="shared" si="55"/>
        <v>0</v>
      </c>
    </row>
    <row r="368" spans="1:19">
      <c r="A368" s="665"/>
      <c r="B368" s="665"/>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1</v>
      </c>
      <c r="R368" s="663">
        <f t="shared" si="64"/>
        <v>0</v>
      </c>
      <c r="S368" s="316">
        <f t="shared" si="55"/>
        <v>0</v>
      </c>
    </row>
    <row r="369" spans="1:19">
      <c r="A369" s="665"/>
      <c r="B369" s="665"/>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1</v>
      </c>
      <c r="R369" s="663">
        <f t="shared" si="64"/>
        <v>0</v>
      </c>
      <c r="S369" s="316">
        <f t="shared" si="55"/>
        <v>0</v>
      </c>
    </row>
    <row r="370" spans="1:19">
      <c r="A370" s="665"/>
      <c r="B370" s="665"/>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1</v>
      </c>
      <c r="R370" s="663">
        <f t="shared" si="64"/>
        <v>0</v>
      </c>
      <c r="S370" s="316">
        <f t="shared" si="55"/>
        <v>0</v>
      </c>
    </row>
    <row r="371" spans="1:19">
      <c r="A371" s="665"/>
      <c r="B371" s="665"/>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1</v>
      </c>
      <c r="R371" s="663">
        <f t="shared" si="64"/>
        <v>0</v>
      </c>
      <c r="S371" s="316">
        <f t="shared" si="55"/>
        <v>0</v>
      </c>
    </row>
    <row r="372" spans="1:19">
      <c r="A372" s="665"/>
      <c r="B372" s="665"/>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1</v>
      </c>
      <c r="R372" s="663">
        <f t="shared" si="64"/>
        <v>0</v>
      </c>
      <c r="S372" s="316">
        <f t="shared" si="55"/>
        <v>0</v>
      </c>
    </row>
    <row r="373" spans="1:19">
      <c r="A373" s="665"/>
      <c r="B373" s="665"/>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1</v>
      </c>
      <c r="R373" s="663">
        <f t="shared" si="64"/>
        <v>0</v>
      </c>
      <c r="S373" s="316">
        <f t="shared" si="55"/>
        <v>0</v>
      </c>
    </row>
    <row r="374" spans="1:19">
      <c r="A374" s="665"/>
      <c r="B374" s="665"/>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1</v>
      </c>
      <c r="R374" s="663">
        <f t="shared" si="64"/>
        <v>0</v>
      </c>
      <c r="S374" s="316">
        <f t="shared" si="55"/>
        <v>0</v>
      </c>
    </row>
    <row r="375" spans="1:19">
      <c r="A375" s="665"/>
      <c r="B375" s="665"/>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1</v>
      </c>
      <c r="R375" s="663">
        <f t="shared" si="64"/>
        <v>0</v>
      </c>
      <c r="S375" s="316">
        <f t="shared" si="55"/>
        <v>0</v>
      </c>
    </row>
    <row r="376" spans="1:19">
      <c r="A376" s="665"/>
      <c r="B376" s="665"/>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1</v>
      </c>
      <c r="R376" s="663">
        <f t="shared" si="64"/>
        <v>0</v>
      </c>
      <c r="S376" s="316">
        <f t="shared" si="55"/>
        <v>0</v>
      </c>
    </row>
    <row r="377" spans="1:19">
      <c r="A377" s="665"/>
      <c r="B377" s="665"/>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1</v>
      </c>
      <c r="R377" s="663">
        <f t="shared" si="64"/>
        <v>0</v>
      </c>
      <c r="S377" s="316">
        <f t="shared" si="55"/>
        <v>0</v>
      </c>
    </row>
    <row r="378" spans="1:19">
      <c r="A378" s="665"/>
      <c r="B378" s="665"/>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1</v>
      </c>
      <c r="R378" s="663">
        <f t="shared" si="64"/>
        <v>0</v>
      </c>
      <c r="S378" s="316">
        <f t="shared" si="55"/>
        <v>0</v>
      </c>
    </row>
    <row r="379" spans="1:19">
      <c r="A379" s="665"/>
      <c r="B379" s="665"/>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1</v>
      </c>
      <c r="R379" s="663">
        <f t="shared" si="64"/>
        <v>0</v>
      </c>
      <c r="S379" s="316">
        <f t="shared" si="55"/>
        <v>0</v>
      </c>
    </row>
    <row r="380" spans="1:19">
      <c r="A380" s="665"/>
      <c r="B380" s="665"/>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1</v>
      </c>
      <c r="R380" s="663">
        <f t="shared" si="64"/>
        <v>0</v>
      </c>
      <c r="S380" s="316">
        <f t="shared" si="55"/>
        <v>0</v>
      </c>
    </row>
    <row r="381" spans="1:19">
      <c r="A381" s="665"/>
      <c r="B381" s="665"/>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1</v>
      </c>
      <c r="R381" s="663">
        <f t="shared" si="64"/>
        <v>0</v>
      </c>
      <c r="S381" s="316">
        <f t="shared" si="55"/>
        <v>0</v>
      </c>
    </row>
    <row r="382" spans="1:19">
      <c r="A382" s="665"/>
      <c r="B382" s="665"/>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1</v>
      </c>
      <c r="R382" s="663">
        <f t="shared" si="64"/>
        <v>0</v>
      </c>
      <c r="S382" s="316">
        <f t="shared" si="55"/>
        <v>0</v>
      </c>
    </row>
    <row r="383" spans="1:19">
      <c r="A383" s="665"/>
      <c r="B383" s="665"/>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1</v>
      </c>
      <c r="R383" s="663">
        <f t="shared" si="64"/>
        <v>0</v>
      </c>
      <c r="S383" s="316">
        <f t="shared" si="55"/>
        <v>0</v>
      </c>
    </row>
    <row r="384" spans="1:19">
      <c r="A384" s="665"/>
      <c r="B384" s="665"/>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1</v>
      </c>
      <c r="R384" s="663">
        <f t="shared" si="64"/>
        <v>0</v>
      </c>
      <c r="S384" s="316">
        <f t="shared" si="55"/>
        <v>0</v>
      </c>
    </row>
    <row r="385" spans="1:19">
      <c r="A385" s="665"/>
      <c r="B385" s="665"/>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1</v>
      </c>
      <c r="R385" s="663">
        <f t="shared" si="64"/>
        <v>0</v>
      </c>
      <c r="S385" s="316">
        <f t="shared" si="55"/>
        <v>0</v>
      </c>
    </row>
    <row r="386" spans="1:19">
      <c r="A386" s="665"/>
      <c r="B386" s="665"/>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1</v>
      </c>
      <c r="R386" s="663">
        <f t="shared" si="64"/>
        <v>0</v>
      </c>
      <c r="S386" s="316">
        <f t="shared" si="55"/>
        <v>0</v>
      </c>
    </row>
    <row r="387" spans="1:19">
      <c r="A387" s="665"/>
      <c r="B387" s="665"/>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1</v>
      </c>
      <c r="R387" s="663">
        <f t="shared" si="64"/>
        <v>0</v>
      </c>
      <c r="S387" s="316">
        <f t="shared" si="55"/>
        <v>0</v>
      </c>
    </row>
    <row r="388" spans="1:19">
      <c r="A388" s="665"/>
      <c r="B388" s="665"/>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1</v>
      </c>
      <c r="R388" s="663">
        <f t="shared" si="64"/>
        <v>0</v>
      </c>
      <c r="S388" s="316">
        <f t="shared" si="55"/>
        <v>0</v>
      </c>
    </row>
    <row r="389" spans="1:19">
      <c r="A389" s="665"/>
      <c r="B389" s="665"/>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1</v>
      </c>
      <c r="R389" s="663">
        <f t="shared" si="64"/>
        <v>0</v>
      </c>
      <c r="S389" s="316">
        <f t="shared" si="55"/>
        <v>0</v>
      </c>
    </row>
    <row r="390" spans="1:19">
      <c r="A390" s="665"/>
      <c r="B390" s="665"/>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1</v>
      </c>
      <c r="R390" s="663">
        <f t="shared" si="64"/>
        <v>0</v>
      </c>
      <c r="S390" s="316">
        <f t="shared" si="55"/>
        <v>0</v>
      </c>
    </row>
    <row r="391" spans="1:19">
      <c r="A391" s="665"/>
      <c r="B391" s="665"/>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1</v>
      </c>
      <c r="R391" s="663">
        <f t="shared" si="64"/>
        <v>0</v>
      </c>
      <c r="S391" s="316">
        <f t="shared" si="55"/>
        <v>0</v>
      </c>
    </row>
    <row r="392" spans="1:19">
      <c r="A392" s="665"/>
      <c r="B392" s="665"/>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1</v>
      </c>
      <c r="R392" s="663">
        <f t="shared" si="64"/>
        <v>0</v>
      </c>
      <c r="S392" s="316">
        <f t="shared" si="55"/>
        <v>0</v>
      </c>
    </row>
    <row r="393" spans="1:19">
      <c r="A393" s="665"/>
      <c r="B393" s="665"/>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1</v>
      </c>
      <c r="R393" s="663">
        <f t="shared" si="64"/>
        <v>0</v>
      </c>
      <c r="S393" s="316">
        <f t="shared" si="55"/>
        <v>0</v>
      </c>
    </row>
    <row r="394" spans="1:19">
      <c r="A394" s="665"/>
      <c r="B394" s="665"/>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1</v>
      </c>
      <c r="R394" s="663">
        <f t="shared" si="64"/>
        <v>0</v>
      </c>
      <c r="S394" s="316">
        <f t="shared" si="55"/>
        <v>0</v>
      </c>
    </row>
    <row r="395" spans="1:19">
      <c r="A395" s="665"/>
      <c r="B395" s="665"/>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1</v>
      </c>
      <c r="R395" s="663">
        <f t="shared" si="64"/>
        <v>0</v>
      </c>
      <c r="S395" s="316">
        <f t="shared" si="55"/>
        <v>0</v>
      </c>
    </row>
    <row r="396" spans="1:19">
      <c r="A396" s="665"/>
      <c r="B396" s="665"/>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1</v>
      </c>
      <c r="R396" s="663">
        <f t="shared" si="64"/>
        <v>0</v>
      </c>
      <c r="S396" s="316">
        <f t="shared" si="55"/>
        <v>0</v>
      </c>
    </row>
    <row r="397" spans="1:19">
      <c r="A397" s="665"/>
      <c r="B397" s="665"/>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1</v>
      </c>
      <c r="R397" s="663">
        <f t="shared" si="64"/>
        <v>0</v>
      </c>
      <c r="S397" s="316">
        <f t="shared" si="55"/>
        <v>0</v>
      </c>
    </row>
    <row r="398" spans="1:19">
      <c r="A398" s="665"/>
      <c r="B398" s="665"/>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1</v>
      </c>
      <c r="R398" s="663">
        <f t="shared" si="64"/>
        <v>0</v>
      </c>
      <c r="S398" s="316">
        <f t="shared" si="55"/>
        <v>0</v>
      </c>
    </row>
    <row r="399" spans="1:19">
      <c r="A399" s="665"/>
      <c r="B399" s="665"/>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1</v>
      </c>
      <c r="R399" s="663">
        <f t="shared" si="64"/>
        <v>0</v>
      </c>
      <c r="S399" s="316">
        <f t="shared" si="55"/>
        <v>0</v>
      </c>
    </row>
    <row r="400" spans="1:19">
      <c r="A400" s="665"/>
      <c r="B400" s="665"/>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1</v>
      </c>
      <c r="R400" s="663">
        <f t="shared" si="64"/>
        <v>0</v>
      </c>
      <c r="S400" s="316">
        <f t="shared" si="55"/>
        <v>0</v>
      </c>
    </row>
    <row r="401" spans="1:19">
      <c r="A401" s="665"/>
      <c r="B401" s="665"/>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1</v>
      </c>
      <c r="R401" s="663">
        <f t="shared" si="64"/>
        <v>0</v>
      </c>
      <c r="S401" s="316">
        <f t="shared" si="55"/>
        <v>0</v>
      </c>
    </row>
    <row r="402" spans="1:19">
      <c r="A402" s="665"/>
      <c r="B402" s="665"/>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1</v>
      </c>
      <c r="R402" s="663">
        <f t="shared" si="64"/>
        <v>0</v>
      </c>
      <c r="S402" s="316">
        <f t="shared" si="55"/>
        <v>0</v>
      </c>
    </row>
    <row r="403" spans="1:19">
      <c r="A403" s="665"/>
      <c r="B403" s="665"/>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1</v>
      </c>
      <c r="R403" s="663">
        <f t="shared" si="64"/>
        <v>0</v>
      </c>
      <c r="S403" s="316">
        <f t="shared" si="55"/>
        <v>0</v>
      </c>
    </row>
    <row r="404" spans="1:19">
      <c r="A404" s="665"/>
      <c r="B404" s="665"/>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1</v>
      </c>
      <c r="R404" s="663">
        <f t="shared" si="64"/>
        <v>0</v>
      </c>
      <c r="S404" s="316">
        <f t="shared" si="55"/>
        <v>0</v>
      </c>
    </row>
    <row r="405" spans="1:19">
      <c r="A405" s="665"/>
      <c r="B405" s="665"/>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1</v>
      </c>
      <c r="R405" s="663">
        <f t="shared" si="64"/>
        <v>0</v>
      </c>
      <c r="S405" s="316">
        <f t="shared" si="55"/>
        <v>0</v>
      </c>
    </row>
    <row r="406" spans="1:19">
      <c r="A406" s="665"/>
      <c r="B406" s="665"/>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1</v>
      </c>
      <c r="R406" s="663">
        <f t="shared" si="64"/>
        <v>0</v>
      </c>
      <c r="S406" s="316">
        <f t="shared" si="55"/>
        <v>0</v>
      </c>
    </row>
    <row r="407" spans="1:19">
      <c r="A407" s="665"/>
      <c r="B407" s="665"/>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1</v>
      </c>
      <c r="R407" s="663">
        <f t="shared" si="64"/>
        <v>0</v>
      </c>
      <c r="S407" s="316">
        <f t="shared" si="55"/>
        <v>0</v>
      </c>
    </row>
    <row r="408" spans="1:19">
      <c r="A408" s="665"/>
      <c r="B408" s="665"/>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1</v>
      </c>
      <c r="R408" s="663">
        <f t="shared" si="64"/>
        <v>0</v>
      </c>
      <c r="S408" s="316">
        <f t="shared" ref="S408:S471" si="65">ROUND(R408*B408/10000,0)</f>
        <v>0</v>
      </c>
    </row>
    <row r="409" spans="1:19">
      <c r="A409" s="665"/>
      <c r="B409" s="665"/>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1</v>
      </c>
      <c r="R409" s="663">
        <f t="shared" si="64"/>
        <v>0</v>
      </c>
      <c r="S409" s="316">
        <f t="shared" si="65"/>
        <v>0</v>
      </c>
    </row>
    <row r="410" spans="1:19">
      <c r="A410" s="665"/>
      <c r="B410" s="665"/>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1</v>
      </c>
      <c r="R410" s="663">
        <f t="shared" ref="R410:R473" si="74">IF(B410="",0,ROUND($R$24*C410*E410*G410*I410*K410*M410*O410*Q410,0))</f>
        <v>0</v>
      </c>
      <c r="S410" s="316">
        <f t="shared" si="65"/>
        <v>0</v>
      </c>
    </row>
    <row r="411" spans="1:19">
      <c r="A411" s="665"/>
      <c r="B411" s="665"/>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1</v>
      </c>
      <c r="R411" s="663">
        <f t="shared" si="74"/>
        <v>0</v>
      </c>
      <c r="S411" s="316">
        <f t="shared" si="65"/>
        <v>0</v>
      </c>
    </row>
    <row r="412" spans="1:19">
      <c r="A412" s="665"/>
      <c r="B412" s="665"/>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1</v>
      </c>
      <c r="R412" s="663">
        <f t="shared" si="74"/>
        <v>0</v>
      </c>
      <c r="S412" s="316">
        <f t="shared" si="65"/>
        <v>0</v>
      </c>
    </row>
    <row r="413" spans="1:19">
      <c r="A413" s="665"/>
      <c r="B413" s="665"/>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1</v>
      </c>
      <c r="R413" s="663">
        <f t="shared" si="74"/>
        <v>0</v>
      </c>
      <c r="S413" s="316">
        <f t="shared" si="65"/>
        <v>0</v>
      </c>
    </row>
    <row r="414" spans="1:19">
      <c r="A414" s="665"/>
      <c r="B414" s="665"/>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1</v>
      </c>
      <c r="R414" s="663">
        <f t="shared" si="74"/>
        <v>0</v>
      </c>
      <c r="S414" s="316">
        <f t="shared" si="65"/>
        <v>0</v>
      </c>
    </row>
    <row r="415" spans="1:19">
      <c r="A415" s="665"/>
      <c r="B415" s="665"/>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1</v>
      </c>
      <c r="R415" s="663">
        <f t="shared" si="74"/>
        <v>0</v>
      </c>
      <c r="S415" s="316">
        <f t="shared" si="65"/>
        <v>0</v>
      </c>
    </row>
    <row r="416" spans="1:19">
      <c r="A416" s="665"/>
      <c r="B416" s="665"/>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1</v>
      </c>
      <c r="R416" s="663">
        <f t="shared" si="74"/>
        <v>0</v>
      </c>
      <c r="S416" s="316">
        <f t="shared" si="65"/>
        <v>0</v>
      </c>
    </row>
    <row r="417" spans="1:19">
      <c r="A417" s="665"/>
      <c r="B417" s="665"/>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1</v>
      </c>
      <c r="R417" s="663">
        <f t="shared" si="74"/>
        <v>0</v>
      </c>
      <c r="S417" s="316">
        <f t="shared" si="65"/>
        <v>0</v>
      </c>
    </row>
    <row r="418" spans="1:19">
      <c r="A418" s="665"/>
      <c r="B418" s="665"/>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1</v>
      </c>
      <c r="R418" s="663">
        <f t="shared" si="74"/>
        <v>0</v>
      </c>
      <c r="S418" s="316">
        <f t="shared" si="65"/>
        <v>0</v>
      </c>
    </row>
    <row r="419" spans="1:19">
      <c r="A419" s="665"/>
      <c r="B419" s="665"/>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1</v>
      </c>
      <c r="R419" s="663">
        <f t="shared" si="74"/>
        <v>0</v>
      </c>
      <c r="S419" s="316">
        <f t="shared" si="65"/>
        <v>0</v>
      </c>
    </row>
    <row r="420" spans="1:19">
      <c r="A420" s="665"/>
      <c r="B420" s="665"/>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1</v>
      </c>
      <c r="R420" s="663">
        <f t="shared" si="74"/>
        <v>0</v>
      </c>
      <c r="S420" s="316">
        <f t="shared" si="65"/>
        <v>0</v>
      </c>
    </row>
    <row r="421" spans="1:19">
      <c r="A421" s="665"/>
      <c r="B421" s="665"/>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1</v>
      </c>
      <c r="R421" s="663">
        <f t="shared" si="74"/>
        <v>0</v>
      </c>
      <c r="S421" s="316">
        <f t="shared" si="65"/>
        <v>0</v>
      </c>
    </row>
    <row r="422" spans="1:19">
      <c r="A422" s="665"/>
      <c r="B422" s="665"/>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1</v>
      </c>
      <c r="R422" s="663">
        <f t="shared" si="74"/>
        <v>0</v>
      </c>
      <c r="S422" s="316">
        <f t="shared" si="65"/>
        <v>0</v>
      </c>
    </row>
    <row r="423" spans="1:19">
      <c r="A423" s="665"/>
      <c r="B423" s="665"/>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1</v>
      </c>
      <c r="R423" s="663">
        <f t="shared" si="74"/>
        <v>0</v>
      </c>
      <c r="S423" s="316">
        <f t="shared" si="65"/>
        <v>0</v>
      </c>
    </row>
    <row r="424" spans="1:19">
      <c r="A424" s="665"/>
      <c r="B424" s="665"/>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1</v>
      </c>
      <c r="R424" s="663">
        <f t="shared" si="74"/>
        <v>0</v>
      </c>
      <c r="S424" s="316">
        <f t="shared" si="65"/>
        <v>0</v>
      </c>
    </row>
    <row r="425" spans="1:19">
      <c r="A425" s="665"/>
      <c r="B425" s="665"/>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1</v>
      </c>
      <c r="R425" s="663">
        <f t="shared" si="74"/>
        <v>0</v>
      </c>
      <c r="S425" s="316">
        <f t="shared" si="65"/>
        <v>0</v>
      </c>
    </row>
    <row r="426" spans="1:19">
      <c r="A426" s="665"/>
      <c r="B426" s="665"/>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1</v>
      </c>
      <c r="R426" s="663">
        <f t="shared" si="74"/>
        <v>0</v>
      </c>
      <c r="S426" s="316">
        <f t="shared" si="65"/>
        <v>0</v>
      </c>
    </row>
    <row r="427" spans="1:19">
      <c r="A427" s="665"/>
      <c r="B427" s="665"/>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1</v>
      </c>
      <c r="R427" s="663">
        <f t="shared" si="74"/>
        <v>0</v>
      </c>
      <c r="S427" s="316">
        <f t="shared" si="65"/>
        <v>0</v>
      </c>
    </row>
    <row r="428" spans="1:19">
      <c r="A428" s="665"/>
      <c r="B428" s="665"/>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1</v>
      </c>
      <c r="R428" s="663">
        <f t="shared" si="74"/>
        <v>0</v>
      </c>
      <c r="S428" s="316">
        <f t="shared" si="65"/>
        <v>0</v>
      </c>
    </row>
    <row r="429" spans="1:19">
      <c r="A429" s="665"/>
      <c r="B429" s="665"/>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1</v>
      </c>
      <c r="R429" s="663">
        <f t="shared" si="74"/>
        <v>0</v>
      </c>
      <c r="S429" s="316">
        <f t="shared" si="65"/>
        <v>0</v>
      </c>
    </row>
    <row r="430" spans="1:19">
      <c r="A430" s="665"/>
      <c r="B430" s="665"/>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1</v>
      </c>
      <c r="R430" s="663">
        <f t="shared" si="74"/>
        <v>0</v>
      </c>
      <c r="S430" s="316">
        <f t="shared" si="65"/>
        <v>0</v>
      </c>
    </row>
    <row r="431" spans="1:19">
      <c r="A431" s="665"/>
      <c r="B431" s="665"/>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1</v>
      </c>
      <c r="R431" s="663">
        <f t="shared" si="74"/>
        <v>0</v>
      </c>
      <c r="S431" s="316">
        <f t="shared" si="65"/>
        <v>0</v>
      </c>
    </row>
    <row r="432" spans="1:19">
      <c r="A432" s="665"/>
      <c r="B432" s="665"/>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1</v>
      </c>
      <c r="R432" s="663">
        <f t="shared" si="74"/>
        <v>0</v>
      </c>
      <c r="S432" s="316">
        <f t="shared" si="65"/>
        <v>0</v>
      </c>
    </row>
    <row r="433" spans="1:19">
      <c r="A433" s="665"/>
      <c r="B433" s="665"/>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1</v>
      </c>
      <c r="R433" s="663">
        <f t="shared" si="74"/>
        <v>0</v>
      </c>
      <c r="S433" s="316">
        <f t="shared" si="65"/>
        <v>0</v>
      </c>
    </row>
    <row r="434" spans="1:19">
      <c r="A434" s="665"/>
      <c r="B434" s="665"/>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1</v>
      </c>
      <c r="R434" s="663">
        <f t="shared" si="74"/>
        <v>0</v>
      </c>
      <c r="S434" s="316">
        <f t="shared" si="65"/>
        <v>0</v>
      </c>
    </row>
    <row r="435" spans="1:19">
      <c r="A435" s="665"/>
      <c r="B435" s="665"/>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1</v>
      </c>
      <c r="R435" s="663">
        <f t="shared" si="74"/>
        <v>0</v>
      </c>
      <c r="S435" s="316">
        <f t="shared" si="65"/>
        <v>0</v>
      </c>
    </row>
    <row r="436" spans="1:19">
      <c r="A436" s="665"/>
      <c r="B436" s="665"/>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1</v>
      </c>
      <c r="R436" s="663">
        <f t="shared" si="74"/>
        <v>0</v>
      </c>
      <c r="S436" s="316">
        <f t="shared" si="65"/>
        <v>0</v>
      </c>
    </row>
    <row r="437" spans="1:19">
      <c r="A437" s="665"/>
      <c r="B437" s="665"/>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1</v>
      </c>
      <c r="R437" s="663">
        <f t="shared" si="74"/>
        <v>0</v>
      </c>
      <c r="S437" s="316">
        <f t="shared" si="65"/>
        <v>0</v>
      </c>
    </row>
    <row r="438" spans="1:19">
      <c r="A438" s="665"/>
      <c r="B438" s="665"/>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1</v>
      </c>
      <c r="R438" s="663">
        <f t="shared" si="74"/>
        <v>0</v>
      </c>
      <c r="S438" s="316">
        <f t="shared" si="65"/>
        <v>0</v>
      </c>
    </row>
    <row r="439" spans="1:19">
      <c r="A439" s="665"/>
      <c r="B439" s="665"/>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1</v>
      </c>
      <c r="R439" s="663">
        <f t="shared" si="74"/>
        <v>0</v>
      </c>
      <c r="S439" s="316">
        <f t="shared" si="65"/>
        <v>0</v>
      </c>
    </row>
    <row r="440" spans="1:19">
      <c r="A440" s="665"/>
      <c r="B440" s="665"/>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1</v>
      </c>
      <c r="R440" s="663">
        <f t="shared" si="74"/>
        <v>0</v>
      </c>
      <c r="S440" s="316">
        <f t="shared" si="65"/>
        <v>0</v>
      </c>
    </row>
    <row r="441" spans="1:19">
      <c r="A441" s="665"/>
      <c r="B441" s="665"/>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1</v>
      </c>
      <c r="R441" s="663">
        <f t="shared" si="74"/>
        <v>0</v>
      </c>
      <c r="S441" s="316">
        <f t="shared" si="65"/>
        <v>0</v>
      </c>
    </row>
    <row r="442" spans="1:19">
      <c r="A442" s="665"/>
      <c r="B442" s="665"/>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1</v>
      </c>
      <c r="R442" s="663">
        <f t="shared" si="74"/>
        <v>0</v>
      </c>
      <c r="S442" s="316">
        <f t="shared" si="65"/>
        <v>0</v>
      </c>
    </row>
    <row r="443" spans="1:19">
      <c r="A443" s="665"/>
      <c r="B443" s="665"/>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1</v>
      </c>
      <c r="R443" s="663">
        <f t="shared" si="74"/>
        <v>0</v>
      </c>
      <c r="S443" s="316">
        <f t="shared" si="65"/>
        <v>0</v>
      </c>
    </row>
    <row r="444" spans="1:19">
      <c r="A444" s="665"/>
      <c r="B444" s="665"/>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1</v>
      </c>
      <c r="R444" s="663">
        <f t="shared" si="74"/>
        <v>0</v>
      </c>
      <c r="S444" s="316">
        <f t="shared" si="65"/>
        <v>0</v>
      </c>
    </row>
    <row r="445" spans="1:19">
      <c r="A445" s="665"/>
      <c r="B445" s="665"/>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1</v>
      </c>
      <c r="R445" s="663">
        <f t="shared" si="74"/>
        <v>0</v>
      </c>
      <c r="S445" s="316">
        <f t="shared" si="65"/>
        <v>0</v>
      </c>
    </row>
    <row r="446" spans="1:19">
      <c r="A446" s="665"/>
      <c r="B446" s="665"/>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1</v>
      </c>
      <c r="R446" s="663">
        <f t="shared" si="74"/>
        <v>0</v>
      </c>
      <c r="S446" s="316">
        <f t="shared" si="65"/>
        <v>0</v>
      </c>
    </row>
    <row r="447" spans="1:19">
      <c r="A447" s="665"/>
      <c r="B447" s="665"/>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1</v>
      </c>
      <c r="R447" s="663">
        <f t="shared" si="74"/>
        <v>0</v>
      </c>
      <c r="S447" s="316">
        <f t="shared" si="65"/>
        <v>0</v>
      </c>
    </row>
    <row r="448" spans="1:19">
      <c r="A448" s="665"/>
      <c r="B448" s="665"/>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1</v>
      </c>
      <c r="R448" s="663">
        <f t="shared" si="74"/>
        <v>0</v>
      </c>
      <c r="S448" s="316">
        <f t="shared" si="65"/>
        <v>0</v>
      </c>
    </row>
    <row r="449" spans="1:19">
      <c r="A449" s="665"/>
      <c r="B449" s="665"/>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1</v>
      </c>
      <c r="R449" s="663">
        <f t="shared" si="74"/>
        <v>0</v>
      </c>
      <c r="S449" s="316">
        <f t="shared" si="65"/>
        <v>0</v>
      </c>
    </row>
    <row r="450" spans="1:19">
      <c r="A450" s="665"/>
      <c r="B450" s="665"/>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1</v>
      </c>
      <c r="R450" s="663">
        <f t="shared" si="74"/>
        <v>0</v>
      </c>
      <c r="S450" s="316">
        <f t="shared" si="65"/>
        <v>0</v>
      </c>
    </row>
    <row r="451" spans="1:19">
      <c r="A451" s="665"/>
      <c r="B451" s="665"/>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1</v>
      </c>
      <c r="R451" s="663">
        <f t="shared" si="74"/>
        <v>0</v>
      </c>
      <c r="S451" s="316">
        <f t="shared" si="65"/>
        <v>0</v>
      </c>
    </row>
    <row r="452" spans="1:19">
      <c r="A452" s="665"/>
      <c r="B452" s="665"/>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1</v>
      </c>
      <c r="R452" s="663">
        <f t="shared" si="74"/>
        <v>0</v>
      </c>
      <c r="S452" s="316">
        <f t="shared" si="65"/>
        <v>0</v>
      </c>
    </row>
    <row r="453" spans="1:19">
      <c r="A453" s="665"/>
      <c r="B453" s="665"/>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1</v>
      </c>
      <c r="R453" s="663">
        <f t="shared" si="74"/>
        <v>0</v>
      </c>
      <c r="S453" s="316">
        <f t="shared" si="65"/>
        <v>0</v>
      </c>
    </row>
    <row r="454" spans="1:19">
      <c r="A454" s="665"/>
      <c r="B454" s="665"/>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1</v>
      </c>
      <c r="R454" s="663">
        <f t="shared" si="74"/>
        <v>0</v>
      </c>
      <c r="S454" s="316">
        <f t="shared" si="65"/>
        <v>0</v>
      </c>
    </row>
    <row r="455" spans="1:19">
      <c r="A455" s="665"/>
      <c r="B455" s="665"/>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1</v>
      </c>
      <c r="R455" s="663">
        <f t="shared" si="74"/>
        <v>0</v>
      </c>
      <c r="S455" s="316">
        <f t="shared" si="65"/>
        <v>0</v>
      </c>
    </row>
    <row r="456" spans="1:19">
      <c r="A456" s="665"/>
      <c r="B456" s="665"/>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1</v>
      </c>
      <c r="R456" s="663">
        <f t="shared" si="74"/>
        <v>0</v>
      </c>
      <c r="S456" s="316">
        <f t="shared" si="65"/>
        <v>0</v>
      </c>
    </row>
    <row r="457" spans="1:19">
      <c r="A457" s="665"/>
      <c r="B457" s="665"/>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1</v>
      </c>
      <c r="R457" s="663">
        <f t="shared" si="74"/>
        <v>0</v>
      </c>
      <c r="S457" s="316">
        <f t="shared" si="65"/>
        <v>0</v>
      </c>
    </row>
    <row r="458" spans="1:19">
      <c r="A458" s="665"/>
      <c r="B458" s="665"/>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1</v>
      </c>
      <c r="R458" s="663">
        <f t="shared" si="74"/>
        <v>0</v>
      </c>
      <c r="S458" s="316">
        <f t="shared" si="65"/>
        <v>0</v>
      </c>
    </row>
    <row r="459" spans="1:19">
      <c r="A459" s="665"/>
      <c r="B459" s="665"/>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1</v>
      </c>
      <c r="R459" s="663">
        <f t="shared" si="74"/>
        <v>0</v>
      </c>
      <c r="S459" s="316">
        <f t="shared" si="65"/>
        <v>0</v>
      </c>
    </row>
    <row r="460" spans="1:19">
      <c r="A460" s="665"/>
      <c r="B460" s="665"/>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1</v>
      </c>
      <c r="R460" s="663">
        <f t="shared" si="74"/>
        <v>0</v>
      </c>
      <c r="S460" s="316">
        <f t="shared" si="65"/>
        <v>0</v>
      </c>
    </row>
    <row r="461" spans="1:19">
      <c r="A461" s="665"/>
      <c r="B461" s="665"/>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1</v>
      </c>
      <c r="R461" s="663">
        <f t="shared" si="74"/>
        <v>0</v>
      </c>
      <c r="S461" s="316">
        <f t="shared" si="65"/>
        <v>0</v>
      </c>
    </row>
    <row r="462" spans="1:19">
      <c r="A462" s="665"/>
      <c r="B462" s="665"/>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1</v>
      </c>
      <c r="R462" s="663">
        <f t="shared" si="74"/>
        <v>0</v>
      </c>
      <c r="S462" s="316">
        <f t="shared" si="65"/>
        <v>0</v>
      </c>
    </row>
    <row r="463" spans="1:19">
      <c r="A463" s="665"/>
      <c r="B463" s="665"/>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1</v>
      </c>
      <c r="R463" s="663">
        <f t="shared" si="74"/>
        <v>0</v>
      </c>
      <c r="S463" s="316">
        <f t="shared" si="65"/>
        <v>0</v>
      </c>
    </row>
    <row r="464" spans="1:19">
      <c r="A464" s="665"/>
      <c r="B464" s="665"/>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1</v>
      </c>
      <c r="R464" s="663">
        <f t="shared" si="74"/>
        <v>0</v>
      </c>
      <c r="S464" s="316">
        <f t="shared" si="65"/>
        <v>0</v>
      </c>
    </row>
    <row r="465" spans="1:19">
      <c r="A465" s="665"/>
      <c r="B465" s="665"/>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1</v>
      </c>
      <c r="R465" s="663">
        <f t="shared" si="74"/>
        <v>0</v>
      </c>
      <c r="S465" s="316">
        <f t="shared" si="65"/>
        <v>0</v>
      </c>
    </row>
    <row r="466" spans="1:19">
      <c r="A466" s="665"/>
      <c r="B466" s="665"/>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1</v>
      </c>
      <c r="R466" s="663">
        <f t="shared" si="74"/>
        <v>0</v>
      </c>
      <c r="S466" s="316">
        <f t="shared" si="65"/>
        <v>0</v>
      </c>
    </row>
    <row r="467" spans="1:19">
      <c r="A467" s="665"/>
      <c r="B467" s="665"/>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1</v>
      </c>
      <c r="R467" s="663">
        <f t="shared" si="74"/>
        <v>0</v>
      </c>
      <c r="S467" s="316">
        <f t="shared" si="65"/>
        <v>0</v>
      </c>
    </row>
    <row r="468" spans="1:19">
      <c r="A468" s="665"/>
      <c r="B468" s="665"/>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1</v>
      </c>
      <c r="R468" s="663">
        <f t="shared" si="74"/>
        <v>0</v>
      </c>
      <c r="S468" s="316">
        <f t="shared" si="65"/>
        <v>0</v>
      </c>
    </row>
    <row r="469" spans="1:19">
      <c r="A469" s="665"/>
      <c r="B469" s="665"/>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1</v>
      </c>
      <c r="R469" s="663">
        <f t="shared" si="74"/>
        <v>0</v>
      </c>
      <c r="S469" s="316">
        <f t="shared" si="65"/>
        <v>0</v>
      </c>
    </row>
    <row r="470" spans="1:19">
      <c r="A470" s="665"/>
      <c r="B470" s="665"/>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1</v>
      </c>
      <c r="R470" s="663">
        <f t="shared" si="74"/>
        <v>0</v>
      </c>
      <c r="S470" s="316">
        <f t="shared" si="65"/>
        <v>0</v>
      </c>
    </row>
    <row r="471" spans="1:19">
      <c r="A471" s="665"/>
      <c r="B471" s="665"/>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1</v>
      </c>
      <c r="R471" s="663">
        <f t="shared" si="74"/>
        <v>0</v>
      </c>
      <c r="S471" s="316">
        <f t="shared" si="65"/>
        <v>0</v>
      </c>
    </row>
    <row r="472" spans="1:19">
      <c r="A472" s="665"/>
      <c r="B472" s="665"/>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1</v>
      </c>
      <c r="R472" s="663">
        <f t="shared" si="74"/>
        <v>0</v>
      </c>
      <c r="S472" s="316">
        <f t="shared" ref="S472:S524" si="75">ROUND(R472*B472/10000,0)</f>
        <v>0</v>
      </c>
    </row>
    <row r="473" spans="1:19">
      <c r="A473" s="665"/>
      <c r="B473" s="665"/>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1</v>
      </c>
      <c r="R473" s="663">
        <f t="shared" si="74"/>
        <v>0</v>
      </c>
      <c r="S473" s="316">
        <f t="shared" si="75"/>
        <v>0</v>
      </c>
    </row>
    <row r="474" spans="1:19">
      <c r="A474" s="665"/>
      <c r="B474" s="665"/>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1</v>
      </c>
      <c r="P474" s="667"/>
      <c r="Q474" s="21">
        <f t="shared" ref="Q474:Q524" si="83">(SUMIF($17:$17,P474,$18:$18)-SUMIF($17:$17,$P$24,$18:$18)+100)/100</f>
        <v>1</v>
      </c>
      <c r="R474" s="663">
        <f t="shared" ref="R474:R524" si="84">IF(B474="",0,ROUND($R$24*C474*E474*G474*I474*K474*M474*O474*Q474,0))</f>
        <v>0</v>
      </c>
      <c r="S474" s="316">
        <f t="shared" si="75"/>
        <v>0</v>
      </c>
    </row>
    <row r="475" spans="1:19">
      <c r="A475" s="665"/>
      <c r="B475" s="665"/>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1</v>
      </c>
      <c r="R475" s="663">
        <f t="shared" si="84"/>
        <v>0</v>
      </c>
      <c r="S475" s="316">
        <f t="shared" si="75"/>
        <v>0</v>
      </c>
    </row>
    <row r="476" spans="1:19">
      <c r="A476" s="665"/>
      <c r="B476" s="665"/>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1</v>
      </c>
      <c r="R476" s="663">
        <f t="shared" si="84"/>
        <v>0</v>
      </c>
      <c r="S476" s="316">
        <f t="shared" si="75"/>
        <v>0</v>
      </c>
    </row>
    <row r="477" spans="1:19">
      <c r="A477" s="665"/>
      <c r="B477" s="665"/>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1</v>
      </c>
      <c r="R477" s="663">
        <f t="shared" si="84"/>
        <v>0</v>
      </c>
      <c r="S477" s="316">
        <f t="shared" si="75"/>
        <v>0</v>
      </c>
    </row>
    <row r="478" spans="1:19">
      <c r="A478" s="665"/>
      <c r="B478" s="665"/>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1</v>
      </c>
      <c r="R478" s="663">
        <f t="shared" si="84"/>
        <v>0</v>
      </c>
      <c r="S478" s="316">
        <f t="shared" si="75"/>
        <v>0</v>
      </c>
    </row>
    <row r="479" spans="1:19">
      <c r="A479" s="665"/>
      <c r="B479" s="665"/>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1</v>
      </c>
      <c r="R479" s="663">
        <f t="shared" si="84"/>
        <v>0</v>
      </c>
      <c r="S479" s="316">
        <f t="shared" si="75"/>
        <v>0</v>
      </c>
    </row>
    <row r="480" spans="1:19">
      <c r="A480" s="665"/>
      <c r="B480" s="665"/>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1</v>
      </c>
      <c r="R480" s="663">
        <f t="shared" si="84"/>
        <v>0</v>
      </c>
      <c r="S480" s="316">
        <f t="shared" si="75"/>
        <v>0</v>
      </c>
    </row>
    <row r="481" spans="1:19">
      <c r="A481" s="665"/>
      <c r="B481" s="665"/>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1</v>
      </c>
      <c r="R481" s="663">
        <f t="shared" si="84"/>
        <v>0</v>
      </c>
      <c r="S481" s="316">
        <f t="shared" si="75"/>
        <v>0</v>
      </c>
    </row>
    <row r="482" spans="1:19">
      <c r="A482" s="665"/>
      <c r="B482" s="665"/>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1</v>
      </c>
      <c r="R482" s="663">
        <f t="shared" si="84"/>
        <v>0</v>
      </c>
      <c r="S482" s="316">
        <f t="shared" si="75"/>
        <v>0</v>
      </c>
    </row>
    <row r="483" spans="1:19">
      <c r="A483" s="665"/>
      <c r="B483" s="665"/>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1</v>
      </c>
      <c r="R483" s="663">
        <f t="shared" si="84"/>
        <v>0</v>
      </c>
      <c r="S483" s="316">
        <f t="shared" si="75"/>
        <v>0</v>
      </c>
    </row>
    <row r="484" spans="1:19">
      <c r="A484" s="665"/>
      <c r="B484" s="665"/>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1</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1</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1</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1</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1</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1</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1</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1</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1</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1</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1</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1</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1</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1</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1</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1</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1</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1</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1</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1</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1</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1</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1</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1</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1</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1</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1</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1</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1</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1</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1</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1</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1</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1</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1</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1</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1</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1</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1</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1</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1</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7" sqref="K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4905</v>
      </c>
      <c r="C1" s="198"/>
      <c r="D1" s="198"/>
      <c r="E1" s="198"/>
      <c r="F1" s="198"/>
      <c r="G1" s="1125">
        <f>MATCH(B1,'数据-取费表'!A6:A16,0)+5</f>
        <v>8</v>
      </c>
    </row>
    <row r="2" spans="1:9" s="200" customFormat="1" ht="18" customHeight="1">
      <c r="A2" s="201" t="s">
        <v>1462</v>
      </c>
      <c r="B2" s="202">
        <f ca="1">IF(D2="——",C52,C52-E2)</f>
        <v>254</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42130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337</v>
      </c>
      <c r="B5" s="210" t="s">
        <v>1468</v>
      </c>
      <c r="C5" s="211">
        <f ca="1">C6+C7+C8</f>
        <v>181</v>
      </c>
      <c r="D5" s="211" t="s">
        <v>1469</v>
      </c>
      <c r="E5" s="212" t="s">
        <v>1470</v>
      </c>
      <c r="F5" s="212" t="s">
        <v>1471</v>
      </c>
      <c r="G5" s="213"/>
    </row>
    <row r="6" spans="1:9" s="214" customFormat="1" ht="13.5" customHeight="1">
      <c r="A6" s="778" t="s">
        <v>349</v>
      </c>
      <c r="B6" s="215" t="s">
        <v>1473</v>
      </c>
      <c r="C6" s="216">
        <f>'土地比较法-住宅、综合'!F56</f>
        <v>175</v>
      </c>
      <c r="D6" s="217"/>
      <c r="E6" s="218"/>
      <c r="F6" s="218"/>
      <c r="G6" s="219"/>
    </row>
    <row r="7" spans="1:9" s="214" customFormat="1" ht="13.5" customHeight="1">
      <c r="A7" s="778" t="s">
        <v>1474</v>
      </c>
      <c r="B7" s="215" t="s">
        <v>1475</v>
      </c>
      <c r="C7" s="220">
        <f>ROUND(C6*F7,0)</f>
        <v>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v>
      </c>
      <c r="D8" s="222"/>
      <c r="E8" s="220"/>
      <c r="F8" s="221"/>
      <c r="G8" s="1854" t="s">
        <v>3907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5" t="s">
        <v>3908</v>
      </c>
      <c r="H9" s="1136"/>
      <c r="I9" s="1856"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60.29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60.29</v>
      </c>
      <c r="E19" s="211">
        <f>'数据-取费表'!B31</f>
        <v>200</v>
      </c>
      <c r="F19" s="231"/>
      <c r="G19" s="1854" t="s">
        <v>3909</v>
      </c>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349</v>
      </c>
      <c r="B23" s="215" t="s">
        <v>1503</v>
      </c>
      <c r="C23" s="1104">
        <f ca="1">ROUND(IF('数据-取费表'!B22&lt;=1,C5*F22*'数据-取费表'!B23,C5*(POWER((1+F22),'数据-取费表'!B23)-1)),0)</f>
        <v>13</v>
      </c>
      <c r="D23" s="238"/>
      <c r="E23" s="238"/>
      <c r="F23" s="239"/>
      <c r="G23" s="240" t="s">
        <v>1504</v>
      </c>
    </row>
    <row r="24" spans="1:7" s="214" customFormat="1" ht="13.5" customHeight="1">
      <c r="A24" s="780" t="s">
        <v>1474</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19</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0</v>
      </c>
      <c r="D30" s="236" t="s">
        <v>1498</v>
      </c>
      <c r="E30" s="241"/>
      <c r="F30" s="237">
        <f>'数据-取费表'!B41</f>
        <v>0</v>
      </c>
      <c r="G30" s="234" t="s">
        <v>1520</v>
      </c>
    </row>
    <row r="31" spans="1:7" ht="16.5" customHeight="1">
      <c r="A31" s="209">
        <v>1</v>
      </c>
      <c r="B31" s="210" t="s">
        <v>1521</v>
      </c>
      <c r="C31" s="211">
        <f ca="1">ROUND((C5+C19+C20+C22+C27)/(1-C21-D22-D27-C30),0)</f>
        <v>222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60.29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1491</v>
      </c>
      <c r="B39" s="210" t="s">
        <v>1494</v>
      </c>
      <c r="C39" s="232">
        <f ca="1">ROUND(C33*F20,0)</f>
        <v>1</v>
      </c>
      <c r="D39" s="232"/>
      <c r="E39" s="232"/>
      <c r="F39" s="233">
        <f>F20</f>
        <v>0.02</v>
      </c>
      <c r="G39" s="234" t="s">
        <v>1536</v>
      </c>
    </row>
    <row r="40" spans="1:7" s="214" customFormat="1" ht="13.5" customHeight="1">
      <c r="A40" s="255" t="s">
        <v>1493</v>
      </c>
      <c r="B40" s="210" t="s">
        <v>1497</v>
      </c>
      <c r="C40" s="1325">
        <f>F21</f>
        <v>0.02</v>
      </c>
      <c r="D40" s="236" t="s">
        <v>1539</v>
      </c>
      <c r="E40" s="232"/>
      <c r="F40" s="233">
        <f>F21</f>
        <v>0.02</v>
      </c>
      <c r="G40" s="234" t="s">
        <v>1540</v>
      </c>
    </row>
    <row r="41" spans="1:7" s="214" customFormat="1" ht="13.5" customHeight="1">
      <c r="A41" s="255" t="s">
        <v>1496</v>
      </c>
      <c r="B41" s="210" t="s">
        <v>1501</v>
      </c>
      <c r="C41" s="232">
        <f ca="1">ROUND(SUM(C42:C43),0)</f>
        <v>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1</v>
      </c>
      <c r="D42" s="238"/>
      <c r="E42" s="238"/>
      <c r="F42" s="239"/>
      <c r="G42" s="3824" t="s">
        <v>1544</v>
      </c>
    </row>
    <row r="43" spans="1:7" ht="13.5" customHeight="1">
      <c r="A43" s="780" t="s">
        <v>347</v>
      </c>
      <c r="B43" s="215" t="s">
        <v>1506</v>
      </c>
      <c r="C43" s="238">
        <f ca="1">ROUND(IF('数据-取费表'!B22&lt;=1,C39*F22*'数据-取费表'!B21/2,C39*(POWER((1+F22),'数据-取费表'!B21/2)-1)),0)</f>
        <v>0</v>
      </c>
      <c r="D43" s="238"/>
      <c r="E43" s="238"/>
      <c r="F43" s="239"/>
      <c r="G43" s="3825"/>
    </row>
    <row r="44" spans="1:7" ht="13.5" customHeight="1">
      <c r="A44" s="780" t="s">
        <v>348</v>
      </c>
      <c r="B44" s="215" t="s">
        <v>1509</v>
      </c>
      <c r="C44" s="238">
        <f ca="1">ROUND(IF('数据-取费表'!B22&lt;=1,C40*F22*'数据-取费表'!B21/2,C40*(POWER((1+F22),'数据-取费表'!B21/2)-1)),4)</f>
        <v>6.9999999999999999E-4</v>
      </c>
      <c r="D44" s="238"/>
      <c r="E44" s="238"/>
      <c r="F44" s="239"/>
      <c r="G44" s="3826"/>
    </row>
    <row r="45" spans="1:7" s="214" customFormat="1" ht="13.5" customHeight="1">
      <c r="A45" s="255" t="s">
        <v>1500</v>
      </c>
      <c r="B45" s="244" t="s">
        <v>1513</v>
      </c>
      <c r="C45" s="245">
        <f ca="1">C46</f>
        <v>3</v>
      </c>
      <c r="D45" s="235">
        <f ca="1">C47</f>
        <v>2E-3</v>
      </c>
      <c r="E45" s="236" t="s">
        <v>1539</v>
      </c>
      <c r="F45" s="246">
        <f ca="1">F27</f>
        <v>0.1</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5">
        <f>ROUND(F30/(1+'数据-取费表'!C42),4)</f>
        <v>0</v>
      </c>
      <c r="D48" s="236" t="s">
        <v>1539</v>
      </c>
      <c r="E48" s="232"/>
      <c r="F48" s="237">
        <f>F30</f>
        <v>0</v>
      </c>
      <c r="G48" s="234" t="s">
        <v>1552</v>
      </c>
    </row>
    <row r="49" spans="1:7" ht="16.5" customHeight="1">
      <c r="A49" s="255" t="s">
        <v>1518</v>
      </c>
      <c r="B49" s="210" t="s">
        <v>1553</v>
      </c>
      <c r="C49" s="232">
        <f ca="1">ROUND((C33+C39+C41+C45)/(1-C40-D41-D45-C48),0)</f>
        <v>32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32</v>
      </c>
      <c r="D51" s="232"/>
      <c r="E51" s="232"/>
      <c r="F51" s="264"/>
      <c r="G51" s="234" t="s">
        <v>1560</v>
      </c>
    </row>
    <row r="52" spans="1:7" s="208" customFormat="1" ht="16.5" thickBot="1">
      <c r="A52" s="265" t="s">
        <v>1561</v>
      </c>
      <c r="B52" s="266"/>
      <c r="C52" s="267">
        <f ca="1">C31+C51</f>
        <v>254</v>
      </c>
      <c r="D52" s="266"/>
      <c r="E52" s="266"/>
      <c r="F52" s="266"/>
      <c r="G52" s="268"/>
    </row>
    <row r="55" spans="1:7" ht="15">
      <c r="B55" s="270" t="s">
        <v>1562</v>
      </c>
      <c r="C55" s="271"/>
    </row>
    <row r="56" spans="1:7">
      <c r="B56" s="273" t="s">
        <v>802</v>
      </c>
      <c r="C56" s="275">
        <f ca="1">1-C57</f>
        <v>0.874</v>
      </c>
    </row>
    <row r="57" spans="1:7">
      <c r="B57" s="273" t="s">
        <v>803</v>
      </c>
      <c r="C57" s="274">
        <f ca="1">ROUND(C51/C52,3)</f>
        <v>0.126</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92" t="s">
        <v>949</v>
      </c>
      <c r="B1" s="3592"/>
      <c r="C1" s="3592"/>
      <c r="D1" s="3592"/>
    </row>
    <row r="2" spans="1:4" ht="18">
      <c r="A2" s="3593" t="s">
        <v>933</v>
      </c>
      <c r="B2" s="3593"/>
      <c r="C2" s="3593"/>
      <c r="D2" s="359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93" t="s">
        <v>939</v>
      </c>
      <c r="B6" s="3593"/>
      <c r="C6" s="3593"/>
      <c r="D6" s="3593"/>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94" t="s">
        <v>942</v>
      </c>
      <c r="B11" s="3586"/>
      <c r="C11" s="3586"/>
      <c r="D11" s="3586"/>
    </row>
    <row r="12" spans="1:4" ht="15.75">
      <c r="A12" s="35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1"/>
      <c r="C12" s="3591"/>
      <c r="D12" s="3591"/>
    </row>
    <row r="13" spans="1:4" ht="30" customHeight="1">
      <c r="A13" s="35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1"/>
      <c r="C13" s="3591"/>
      <c r="D13" s="3591"/>
    </row>
    <row r="14" spans="1:4" ht="15.75" customHeight="1">
      <c r="A14" s="3586" t="str">
        <f>IF(项目基本情况!B8="抵押","4.本次评估估价师所知悉的法定优先受偿款情况说明如下：","——")</f>
        <v>4.本次评估估价师所知悉的法定优先受偿款情况说明如下：</v>
      </c>
      <c r="B14" s="3591"/>
      <c r="C14" s="3591"/>
      <c r="D14" s="3591"/>
    </row>
    <row r="15" spans="1:4" ht="42" customHeight="1">
      <c r="A15" s="35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6"/>
      <c r="C15" s="3586"/>
      <c r="D15" s="3586"/>
    </row>
    <row r="16" spans="1:4" ht="30" customHeight="1">
      <c r="A16" s="3588" t="s">
        <v>943</v>
      </c>
      <c r="B16" s="3588"/>
      <c r="C16" s="3588"/>
      <c r="D16" s="3588"/>
    </row>
    <row r="17" spans="1:4" ht="144" customHeight="1">
      <c r="A17" s="3588" t="s">
        <v>944</v>
      </c>
      <c r="B17" s="3588"/>
      <c r="C17" s="3588"/>
      <c r="D17" s="3588"/>
    </row>
    <row r="18" spans="1:4" ht="15.75" customHeight="1">
      <c r="A18" s="3586" t="str">
        <f>IF(项目基本情况!B8="抵押",结果表!K120,"——")</f>
        <v>故，本次评估不存在估价师知悉的法定优先受偿款</v>
      </c>
      <c r="B18" s="3586"/>
      <c r="C18" s="3586"/>
      <c r="D18" s="3586"/>
    </row>
    <row r="19" spans="1:4" ht="46.5" customHeight="1">
      <c r="A19" s="35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6"/>
      <c r="C19" s="3586"/>
      <c r="D19" s="3586"/>
    </row>
    <row r="20" spans="1:4" ht="57.75" customHeight="1">
      <c r="A20" s="35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6"/>
      <c r="C20" s="3586"/>
      <c r="D20" s="3586"/>
    </row>
    <row r="21" spans="1:4" ht="57.75" customHeight="1">
      <c r="A21" s="3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9"/>
      <c r="C21" s="3589"/>
      <c r="D21" s="3589"/>
    </row>
    <row r="22" spans="1:4" ht="18.75" customHeight="1">
      <c r="A22" s="3590" t="s">
        <v>945</v>
      </c>
      <c r="B22" s="3590"/>
      <c r="C22" s="3590"/>
      <c r="D22" s="359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87">
        <v>42551</v>
      </c>
      <c r="D31" s="35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00" t="s">
        <v>956</v>
      </c>
      <c r="B15" s="3595" t="s">
        <v>109</v>
      </c>
      <c r="C15" s="3596"/>
    </row>
    <row r="16" spans="1:7" ht="13.5">
      <c r="A16" s="3601"/>
      <c r="B16" s="3595" t="s">
        <v>42</v>
      </c>
      <c r="C16" s="3596"/>
    </row>
    <row r="17" spans="1:3" ht="13.5">
      <c r="A17" s="3601"/>
      <c r="B17" s="3598" t="s">
        <v>957</v>
      </c>
      <c r="C17" s="1530" t="s">
        <v>956</v>
      </c>
    </row>
    <row r="18" spans="1:3" ht="13.5">
      <c r="A18" s="3601"/>
      <c r="B18" s="3598"/>
      <c r="C18" s="1530" t="s">
        <v>958</v>
      </c>
    </row>
    <row r="19" spans="1:3" ht="13.5">
      <c r="A19" s="3601"/>
      <c r="B19" s="3598"/>
      <c r="C19" s="1530" t="s">
        <v>959</v>
      </c>
    </row>
    <row r="20" spans="1:3" ht="13.5">
      <c r="A20" s="3602"/>
      <c r="B20" s="3597" t="s">
        <v>960</v>
      </c>
      <c r="C20" s="3596"/>
    </row>
    <row r="21" spans="1:3" ht="13.5">
      <c r="A21" s="1531" t="s">
        <v>961</v>
      </c>
      <c r="B21" s="1532"/>
      <c r="C21" s="1533"/>
    </row>
    <row r="22" spans="1:3" ht="13.5">
      <c r="A22" s="3599" t="s">
        <v>962</v>
      </c>
      <c r="B22" s="3597" t="s">
        <v>963</v>
      </c>
      <c r="C22" s="3596"/>
    </row>
    <row r="23" spans="1:3" ht="13.5">
      <c r="A23" s="3599"/>
      <c r="B23" s="3597" t="s">
        <v>964</v>
      </c>
      <c r="C23" s="3596"/>
    </row>
    <row r="24" spans="1:3" ht="13.5">
      <c r="A24" s="3599"/>
      <c r="B24" s="3597" t="s">
        <v>965</v>
      </c>
      <c r="C24" s="3596"/>
    </row>
    <row r="25" spans="1:3" ht="13.5">
      <c r="A25" s="3599"/>
      <c r="B25" s="3598" t="s">
        <v>966</v>
      </c>
      <c r="C25" s="1530" t="s">
        <v>967</v>
      </c>
    </row>
    <row r="26" spans="1:3" ht="13.5">
      <c r="A26" s="3599"/>
      <c r="B26" s="3598"/>
      <c r="C26" s="1530" t="s">
        <v>968</v>
      </c>
    </row>
    <row r="27" spans="1:3" ht="13.5">
      <c r="A27" s="3599"/>
      <c r="B27" s="3598"/>
      <c r="C27" s="1530" t="s">
        <v>969</v>
      </c>
    </row>
    <row r="28" spans="1:3" ht="13.5">
      <c r="A28" s="3599"/>
      <c r="B28" s="3598"/>
      <c r="C28" s="1530" t="s">
        <v>970</v>
      </c>
    </row>
    <row r="29" spans="1:3" ht="13.5">
      <c r="A29" s="3599"/>
      <c r="B29" s="3598"/>
      <c r="C29" s="1530" t="s">
        <v>971</v>
      </c>
    </row>
    <row r="30" spans="1:3" ht="13.5">
      <c r="A30" s="3599"/>
      <c r="B30" s="3598"/>
      <c r="C30" s="1530" t="s">
        <v>972</v>
      </c>
    </row>
    <row r="31" spans="1:3" ht="13.5">
      <c r="A31" s="3599"/>
      <c r="B31" s="3598"/>
      <c r="C31" s="1530" t="s">
        <v>973</v>
      </c>
    </row>
    <row r="32" spans="1:3" ht="13.5">
      <c r="A32" s="3599"/>
      <c r="B32" s="3598"/>
      <c r="C32" s="1530" t="s">
        <v>974</v>
      </c>
    </row>
    <row r="33" spans="1:3" ht="13.5">
      <c r="A33" s="3599"/>
      <c r="B33" s="359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45128</v>
      </c>
      <c r="C2" s="2335" t="s">
        <v>2138</v>
      </c>
      <c r="D2" s="2335"/>
      <c r="E2" s="2335"/>
      <c r="F2" s="2331"/>
      <c r="G2" s="2331"/>
      <c r="H2" s="2331"/>
    </row>
    <row r="3" spans="1:8" ht="24" customHeight="1">
      <c r="A3" s="2336" t="s">
        <v>2139</v>
      </c>
      <c r="B3" s="2337" t="s">
        <v>2140</v>
      </c>
      <c r="C3" s="2337" t="s">
        <v>2141</v>
      </c>
      <c r="D3" s="2338" t="s">
        <v>2142</v>
      </c>
      <c r="E3" s="2339" t="s">
        <v>2143</v>
      </c>
      <c r="F3" s="1302" t="s">
        <v>2144</v>
      </c>
      <c r="G3" s="2337" t="s">
        <v>2141</v>
      </c>
      <c r="H3" s="2338" t="s">
        <v>2145</v>
      </c>
    </row>
    <row r="4" spans="1:8" ht="24" customHeight="1">
      <c r="A4" s="1302" t="s">
        <v>2146</v>
      </c>
      <c r="B4" s="1302">
        <f ca="1">IF(C4&lt;B2,"已过期",1119970066)</f>
        <v>1119970066</v>
      </c>
      <c r="C4" s="2340">
        <v>45937</v>
      </c>
      <c r="D4" s="2341" t="str">
        <f ca="1">A4&amp;"（注册号："&amp;B4&amp;"）"</f>
        <v>梁津（注册号：1119970066）</v>
      </c>
      <c r="E4" s="2342" t="s">
        <v>2146</v>
      </c>
      <c r="F4" s="1302">
        <f ca="1">IF(G4&lt;B2,"已过期",96010014)</f>
        <v>96010014</v>
      </c>
      <c r="G4" s="2343">
        <v>47118</v>
      </c>
      <c r="H4" s="2344" t="str">
        <f ca="1">E4&amp;"（注册号："&amp;F4&amp;"）"</f>
        <v>梁津（注册号：96010014）</v>
      </c>
    </row>
    <row r="5" spans="1:8" ht="24" customHeight="1">
      <c r="A5" s="1302" t="s">
        <v>2147</v>
      </c>
      <c r="B5" s="1302">
        <f ca="1">IF(C5&lt;B2,"已过期",1119970111)</f>
        <v>1119970111</v>
      </c>
      <c r="C5" s="2340">
        <v>45937</v>
      </c>
      <c r="D5" s="2341" t="str">
        <f t="shared" ref="D5:D15" ca="1" si="0">A5&amp;"（注册号："&amp;B5&amp;"）"</f>
        <v>叶凌（注册号：1119970111）</v>
      </c>
      <c r="E5" s="2342" t="s">
        <v>2147</v>
      </c>
      <c r="F5" s="1302">
        <f ca="1">IF(G5&lt;B2,"已过期",94010078)</f>
        <v>94010078</v>
      </c>
      <c r="G5" s="2343">
        <v>46387</v>
      </c>
      <c r="H5" s="2344" t="str">
        <f t="shared" ref="H5:H16" ca="1" si="1">E5&amp;"（注册号："&amp;F5&amp;"）"</f>
        <v>叶凌（注册号：94010078）</v>
      </c>
    </row>
    <row r="6" spans="1:8" ht="24" customHeight="1">
      <c r="A6" s="1302" t="s">
        <v>2148</v>
      </c>
      <c r="B6" s="1302">
        <f ca="1">IF(C6&lt;B2,"已过期",1120050019)</f>
        <v>1120050019</v>
      </c>
      <c r="C6" s="2340">
        <v>45410</v>
      </c>
      <c r="D6" s="2341" t="str">
        <f t="shared" ca="1" si="0"/>
        <v>王鹏（注册号：1120050019）</v>
      </c>
      <c r="E6" s="2342" t="s">
        <v>2148</v>
      </c>
      <c r="F6" s="1302">
        <f ca="1">IF(G6&lt;B2,"已过期",2002110030)</f>
        <v>2002110030</v>
      </c>
      <c r="G6" s="2343">
        <v>46387</v>
      </c>
      <c r="H6" s="2344" t="str">
        <f t="shared" ca="1" si="1"/>
        <v>王鹏（注册号：2002110030）</v>
      </c>
    </row>
    <row r="7" spans="1:8" ht="24" customHeight="1">
      <c r="A7" s="1302" t="s">
        <v>2149</v>
      </c>
      <c r="B7" s="1302">
        <f ca="1">IF(C7&lt;B2,"已过期",1120000080)</f>
        <v>1120000080</v>
      </c>
      <c r="C7" s="2340">
        <v>45937</v>
      </c>
      <c r="D7" s="2341" t="str">
        <f t="shared" ca="1" si="0"/>
        <v>欧红伟（注册号：1120000080）</v>
      </c>
      <c r="E7" s="2342" t="s">
        <v>2149</v>
      </c>
      <c r="F7" s="1302">
        <f ca="1">IF(G7&lt;B2,"已过期",2000110082)</f>
        <v>2000110082</v>
      </c>
      <c r="G7" s="2343">
        <v>46387</v>
      </c>
      <c r="H7" s="2344" t="str">
        <f t="shared" ca="1" si="1"/>
        <v>欧红伟（注册号：2000110082）</v>
      </c>
    </row>
    <row r="8" spans="1:8" ht="24" customHeight="1">
      <c r="A8" s="1302" t="s">
        <v>2150</v>
      </c>
      <c r="B8" s="1302">
        <f ca="1">IF(C8&lt;B2,"已过期",1419970001)</f>
        <v>1419970001</v>
      </c>
      <c r="C8" s="2340">
        <v>45937</v>
      </c>
      <c r="D8" s="2341" t="str">
        <f t="shared" ca="1" si="0"/>
        <v>吴薇（注册号：1419970001）</v>
      </c>
      <c r="E8" s="2342" t="s">
        <v>2150</v>
      </c>
      <c r="F8" s="1302">
        <f ca="1">IF(G8&lt;B2,"已过期",2002110125)</f>
        <v>2002110125</v>
      </c>
      <c r="G8" s="2343">
        <v>47118</v>
      </c>
      <c r="H8" s="2344" t="str">
        <f t="shared" ca="1" si="1"/>
        <v>吴薇（注册号：2002110125）</v>
      </c>
    </row>
    <row r="9" spans="1:8" ht="24" customHeight="1">
      <c r="A9" s="1302" t="s">
        <v>2151</v>
      </c>
      <c r="B9" s="1302">
        <f ca="1">IF(C9&lt;B2,"已过期",1120060040)</f>
        <v>1120060040</v>
      </c>
      <c r="C9" s="2345">
        <v>45592</v>
      </c>
      <c r="D9" s="2341" t="str">
        <f t="shared" ca="1" si="0"/>
        <v>陈颖（注册号：1120060040）</v>
      </c>
      <c r="E9" s="2342" t="s">
        <v>2151</v>
      </c>
      <c r="F9" s="1302">
        <f ca="1">IF(G9&lt;B2,"已过期",2004110096)</f>
        <v>2004110096</v>
      </c>
      <c r="G9" s="2343">
        <v>47118</v>
      </c>
      <c r="H9" s="2344" t="str">
        <f t="shared" ca="1" si="1"/>
        <v>陈颖（注册号：2004110096）</v>
      </c>
    </row>
    <row r="10" spans="1:8" ht="24" customHeight="1">
      <c r="A10" s="1302" t="s">
        <v>2152</v>
      </c>
      <c r="B10" s="1302">
        <f ca="1">IF(C10&lt;B2,"已过期",1120100036)</f>
        <v>1120100036</v>
      </c>
      <c r="C10" s="2345">
        <v>45752</v>
      </c>
      <c r="D10" s="2341" t="str">
        <f t="shared" ca="1" si="0"/>
        <v>崔锴（注册号：1120100036）</v>
      </c>
      <c r="E10" s="2342" t="s">
        <v>2152</v>
      </c>
      <c r="F10" s="1302">
        <f ca="1">IF(G10&lt;B2,"已过期",2010110070)</f>
        <v>2010110070</v>
      </c>
      <c r="G10" s="2343">
        <v>47907</v>
      </c>
      <c r="H10" s="2344" t="str">
        <f t="shared" ca="1" si="1"/>
        <v>崔锴（注册号：2010110070）</v>
      </c>
    </row>
    <row r="11" spans="1:8" ht="24" customHeight="1">
      <c r="A11" s="1302" t="s">
        <v>2153</v>
      </c>
      <c r="B11" s="1302">
        <f ca="1">IF(C11&lt;B2,"已过期",1120070131)</f>
        <v>1120070131</v>
      </c>
      <c r="C11" s="2340">
        <v>45937</v>
      </c>
      <c r="D11" s="2341" t="str">
        <f t="shared" ca="1" si="0"/>
        <v>郑燚（注册号：1120070131）</v>
      </c>
      <c r="E11" s="2342" t="s">
        <v>2153</v>
      </c>
      <c r="F11" s="1302">
        <f ca="1">IF(G11&lt;B2,"已过期",2014110011)</f>
        <v>2014110011</v>
      </c>
      <c r="G11" s="2343">
        <v>49302</v>
      </c>
      <c r="H11" s="2344" t="str">
        <f t="shared" ca="1" si="1"/>
        <v>郑燚（注册号：2014110011）</v>
      </c>
    </row>
    <row r="12" spans="1:8" ht="24" customHeight="1">
      <c r="A12" s="1302" t="s">
        <v>2154</v>
      </c>
      <c r="B12" s="1302">
        <f ca="1">IF(C12&lt;B2,"已过期",1120040230)</f>
        <v>1120040230</v>
      </c>
      <c r="C12" s="2345">
        <v>45937</v>
      </c>
      <c r="D12" s="2341" t="str">
        <f t="shared" ca="1" si="0"/>
        <v>苏海（注册号：1120040230）</v>
      </c>
      <c r="E12" s="2342" t="s">
        <v>2154</v>
      </c>
      <c r="F12" s="1302">
        <f ca="1">IF(G12&lt;B2,"已过期",98030020)</f>
        <v>98030020</v>
      </c>
      <c r="G12" s="2343">
        <v>47118</v>
      </c>
      <c r="H12" s="2344" t="str">
        <f t="shared" ca="1" si="1"/>
        <v>苏海（注册号：98030020）</v>
      </c>
    </row>
    <row r="13" spans="1:8" ht="24" customHeight="1">
      <c r="A13" s="1302" t="s">
        <v>2155</v>
      </c>
      <c r="B13" s="1302">
        <f ca="1">IF(C13&lt;B2,"已过期",1120020033)</f>
        <v>1120020033</v>
      </c>
      <c r="C13" s="2340">
        <v>45375</v>
      </c>
      <c r="D13" s="2341" t="str">
        <f t="shared" ca="1" si="0"/>
        <v>刘敬东（注册号：1120020033）</v>
      </c>
      <c r="E13" s="2342" t="s">
        <v>2155</v>
      </c>
      <c r="F13" s="1302">
        <f ca="1">IF(G13&lt;B2,"已过期",2000110137)</f>
        <v>2000110137</v>
      </c>
      <c r="G13" s="2343">
        <v>46387</v>
      </c>
      <c r="H13" s="2344" t="str">
        <f t="shared" ca="1" si="1"/>
        <v>刘敬东（注册号：2000110137）</v>
      </c>
    </row>
    <row r="14" spans="1:8" ht="24" customHeight="1">
      <c r="A14" s="1302" t="s">
        <v>2156</v>
      </c>
      <c r="B14" s="1302" t="str">
        <f ca="1">IF(C14&lt;B2,"已过期",1119980106)</f>
        <v>已过期</v>
      </c>
      <c r="C14" s="2345">
        <v>44969</v>
      </c>
      <c r="D14" s="2341" t="str">
        <f t="shared" ca="1" si="0"/>
        <v>刘俊财（注册号：已过期）</v>
      </c>
      <c r="E14" s="2342" t="s">
        <v>2156</v>
      </c>
      <c r="F14" s="1302">
        <f ca="1">IF(G14&lt;B2,"已过期",96010063)</f>
        <v>96010063</v>
      </c>
      <c r="G14" s="2343">
        <v>47483</v>
      </c>
      <c r="H14" s="2344" t="str">
        <f t="shared" ca="1" si="1"/>
        <v>刘俊财（注册号：96010063）</v>
      </c>
    </row>
    <row r="15" spans="1:8" ht="24" customHeight="1">
      <c r="A15" s="1302" t="s">
        <v>2439</v>
      </c>
      <c r="B15" s="1302">
        <v>1120210056</v>
      </c>
      <c r="C15" s="2345">
        <v>45410</v>
      </c>
      <c r="D15" s="2341" t="str">
        <f t="shared" si="0"/>
        <v>宁小鳗（注册号：1120210056）</v>
      </c>
      <c r="E15" s="2342" t="s">
        <v>2157</v>
      </c>
      <c r="F15" s="1302">
        <f ca="1">IF(G15&lt;B2,"已过期",2011110090)</f>
        <v>2011110090</v>
      </c>
      <c r="G15" s="2343">
        <v>48302</v>
      </c>
      <c r="H15" s="2344" t="str">
        <f t="shared" ca="1" si="1"/>
        <v>赵雯（注册号：2011110090）</v>
      </c>
    </row>
    <row r="16" spans="1:8" s="2347" customFormat="1" ht="24" customHeight="1">
      <c r="A16" s="1302"/>
      <c r="B16" s="1302"/>
      <c r="C16" s="1302"/>
      <c r="D16" s="2341" t="str">
        <f>A16&amp;"（注册号："&amp;B16&amp;"）"</f>
        <v>（注册号：）</v>
      </c>
      <c r="E16" s="2342"/>
      <c r="F16" s="1302"/>
      <c r="G16" s="1302"/>
      <c r="H16" s="2346" t="str">
        <f t="shared" si="1"/>
        <v>（注册号：）</v>
      </c>
    </row>
    <row r="17" spans="1:8" ht="24" customHeight="1">
      <c r="A17" s="3603" t="s">
        <v>2158</v>
      </c>
      <c r="B17" s="3603"/>
      <c r="C17" s="3603"/>
      <c r="D17" s="3603"/>
      <c r="E17" s="3603"/>
      <c r="F17" s="3603"/>
      <c r="G17" s="3603"/>
      <c r="H17" s="3603"/>
    </row>
    <row r="18" spans="1:8" ht="24" customHeight="1">
      <c r="A18" s="3604" t="s">
        <v>2159</v>
      </c>
      <c r="B18" s="3604"/>
      <c r="C18" s="3604"/>
      <c r="D18" s="2338"/>
      <c r="E18" s="3605" t="s">
        <v>2160</v>
      </c>
      <c r="F18" s="3604"/>
      <c r="G18" s="3604"/>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2440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171</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抵押物清单</vt:lpstr>
      <vt:lpstr>Sheet3</vt:lpstr>
      <vt:lpstr>数据-汇总表</vt:lpstr>
      <vt:lpstr>数据-取费表</vt:lpstr>
      <vt:lpstr>估价对象房地状况</vt:lpstr>
      <vt:lpstr>系统读取表</vt:lpstr>
      <vt:lpstr>结果表</vt:lpstr>
      <vt:lpstr>比较法-住宅</vt:lpstr>
      <vt:lpstr>成本法</vt:lpstr>
      <vt:lpstr>成本法 (元)</vt:lpstr>
      <vt:lpstr>土地比较法-住宅、综合</vt:lpstr>
      <vt:lpstr>土地案例</vt:lpstr>
      <vt:lpstr>假设开发法</vt:lpstr>
      <vt:lpstr>收益法</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典型户型修正</vt:lpstr>
      <vt:lpstr>住宅案例</vt:lpstr>
      <vt:lpstr>结果表-车库</vt:lpstr>
      <vt:lpstr>比较法-车位</vt:lpstr>
      <vt:lpstr>收益法 (元)</vt:lpstr>
      <vt:lpstr>典型户型修正-车库</vt:lpstr>
      <vt:lpstr>车位案例</vt:lpstr>
      <vt:lpstr>结果表-机械车库</vt:lpstr>
      <vt:lpstr>成本法 (元)-机械车库</vt:lpstr>
      <vt:lpstr>收益法 (元)-机械车库</vt:lpstr>
      <vt:lpstr>典型户型修正-机械车库</vt:lpstr>
      <vt:lpstr>成本法-机械车库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(元)-机械车库'!Print_Area</vt:lpstr>
      <vt:lpstr>'成本法-机械车库'!Print_Area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'结果表-机械车库'!Print_Area</vt:lpstr>
      <vt:lpstr>收益法!Print_Area</vt:lpstr>
      <vt:lpstr>'收益法 (元)'!Print_Area</vt:lpstr>
      <vt:lpstr>'收益法 (元)-机械车库'!Print_Area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'典型户型修正-机械车库'!一修多修正项2</vt:lpstr>
      <vt:lpstr>一修多修正项2</vt:lpstr>
      <vt:lpstr>'典型户型修正-车库'!一修多修正项3</vt:lpstr>
      <vt:lpstr>'典型户型修正-机械车库'!一修多修正项3</vt:lpstr>
      <vt:lpstr>一修多修正项3</vt:lpstr>
      <vt:lpstr>'典型户型修正-车库'!一修多修正项4</vt:lpstr>
      <vt:lpstr>'典型户型修正-机械车库'!一修多修正项4</vt:lpstr>
      <vt:lpstr>一修多修正项4</vt:lpstr>
      <vt:lpstr>'典型户型修正-车库'!一修多修正项5</vt:lpstr>
      <vt:lpstr>'典型户型修正-机械车库'!一修多修正项5</vt:lpstr>
      <vt:lpstr>一修多修正项5</vt:lpstr>
      <vt:lpstr>'典型户型修正-车库'!一修多修正项6</vt:lpstr>
      <vt:lpstr>'典型户型修正-机械车库'!一修多修正项6</vt:lpstr>
      <vt:lpstr>一修多修正项6</vt:lpstr>
      <vt:lpstr>'典型户型修正-车库'!一修多修正项7</vt:lpstr>
      <vt:lpstr>'典型户型修正-机械车库'!一修多修正项7</vt:lpstr>
      <vt:lpstr>一修多修正项7</vt:lpstr>
      <vt:lpstr>'典型户型修正-车库'!一修多修正项8</vt:lpstr>
      <vt:lpstr>'典型户型修正-机械车库'!一修多修正项8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2023-07-21T04:24:22Z</dcterms:modified>
</cp:coreProperties>
</file>