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19320" windowHeight="5760"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Sheet1" sheetId="80"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C33" i="33" l="1"/>
  <c r="I7" i="33"/>
  <c r="G7" i="33"/>
  <c r="E7" i="33"/>
  <c r="AD19" i="1"/>
  <c r="C6" i="69" l="1"/>
  <c r="G51" i="43"/>
  <c r="G52" i="43"/>
  <c r="G53" i="43"/>
  <c r="G54" i="43"/>
  <c r="G55" i="43"/>
  <c r="G56" i="43"/>
  <c r="G57" i="43"/>
  <c r="G58" i="43"/>
  <c r="G50" i="43"/>
  <c r="D37" i="43"/>
  <c r="Y6" i="1"/>
  <c r="U21" i="1"/>
  <c r="V19" i="1"/>
  <c r="U20" i="1"/>
  <c r="U19" i="1"/>
  <c r="N21" i="1"/>
  <c r="N19" i="1"/>
  <c r="G19" i="6"/>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3" i="79"/>
  <c r="U13" i="79"/>
  <c r="N23" i="79"/>
  <c r="AD30" i="79"/>
  <c r="S31" i="79"/>
  <c r="U31" i="79"/>
  <c r="AD32" i="79"/>
  <c r="T32" i="79"/>
  <c r="W32" i="79" s="1"/>
  <c r="S33"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C36" i="71" s="1"/>
  <c r="Y33" i="71"/>
  <c r="Z33" i="71" s="1"/>
  <c r="AB33" i="71"/>
  <c r="X34" i="71"/>
  <c r="AA34" i="71"/>
  <c r="X35" i="71"/>
  <c r="AA35" i="71"/>
  <c r="X36" i="71"/>
  <c r="AA36" i="71"/>
  <c r="C38" i="71"/>
  <c r="Y37" i="71"/>
  <c r="Z37" i="71" s="1"/>
  <c r="AB37" i="71"/>
  <c r="X38" i="71"/>
  <c r="AA38" i="71"/>
  <c r="F51" i="71"/>
  <c r="F52" i="71"/>
  <c r="V52" i="71" s="1"/>
  <c r="C28" i="71"/>
  <c r="C27" i="71" s="1"/>
  <c r="C26" i="71" s="1"/>
  <c r="D26" i="71" s="1"/>
  <c r="Y25" i="71"/>
  <c r="Z25" i="71"/>
  <c r="Y26" i="71"/>
  <c r="Z26" i="71"/>
  <c r="Y27" i="71"/>
  <c r="Z27" i="71"/>
  <c r="Y28" i="71"/>
  <c r="Z28" i="71"/>
  <c r="B28" i="71"/>
  <c r="B27" i="71"/>
  <c r="B26" i="71" s="1"/>
  <c r="X25" i="71"/>
  <c r="X26" i="71"/>
  <c r="X27" i="71"/>
  <c r="X28" i="71"/>
  <c r="C31" i="71"/>
  <c r="D30" i="71"/>
  <c r="D34" i="71"/>
  <c r="C39" i="71"/>
  <c r="D38" i="71"/>
  <c r="C51" i="71"/>
  <c r="D50" i="71"/>
  <c r="P28" i="71"/>
  <c r="AA3" i="71" s="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O67" i="71" s="1"/>
  <c r="Q68" i="71"/>
  <c r="C71" i="71"/>
  <c r="E71" i="71"/>
  <c r="E70" i="71"/>
  <c r="D72" i="71"/>
  <c r="C75" i="71"/>
  <c r="C74" i="71" s="1"/>
  <c r="E75" i="71"/>
  <c r="E74" i="71"/>
  <c r="D76" i="71"/>
  <c r="C79" i="71"/>
  <c r="D79" i="71" s="1"/>
  <c r="E79" i="71"/>
  <c r="E78" i="71"/>
  <c r="D80" i="71"/>
  <c r="C83" i="71"/>
  <c r="D83" i="71" s="1"/>
  <c r="C87" i="71"/>
  <c r="T28" i="71"/>
  <c r="S28" i="71"/>
  <c r="F28" i="71"/>
  <c r="F27" i="71"/>
  <c r="F26" i="71" s="1"/>
  <c r="AB25" i="71"/>
  <c r="AB26" i="71"/>
  <c r="AB27" i="71"/>
  <c r="AB28" i="71"/>
  <c r="E28" i="71"/>
  <c r="E27" i="71" s="1"/>
  <c r="E26" i="71" s="1"/>
  <c r="AA25" i="71"/>
  <c r="AA27" i="71"/>
  <c r="AA28" i="71"/>
  <c r="D28" i="71"/>
  <c r="U28" i="71" s="1"/>
  <c r="C66" i="71"/>
  <c r="O66" i="71" s="1"/>
  <c r="D67" i="71"/>
  <c r="C64" i="71"/>
  <c r="D63" i="71"/>
  <c r="C82" i="71"/>
  <c r="D82" i="71" s="1"/>
  <c r="D74" i="71"/>
  <c r="N65" i="71"/>
  <c r="N66" i="71"/>
  <c r="D87" i="71"/>
  <c r="C86" i="71"/>
  <c r="D86" i="71" s="1"/>
  <c r="C78" i="71"/>
  <c r="D78" i="71" s="1"/>
  <c r="D71" i="71"/>
  <c r="C70" i="71"/>
  <c r="D70" i="71"/>
  <c r="C60" i="71"/>
  <c r="D59" i="71"/>
  <c r="C56" i="71"/>
  <c r="D55" i="71"/>
  <c r="P67" i="71"/>
  <c r="E66" i="71"/>
  <c r="P65" i="71" s="1"/>
  <c r="C52" i="71"/>
  <c r="D51" i="71"/>
  <c r="C40" i="71"/>
  <c r="D39" i="71"/>
  <c r="D35" i="71"/>
  <c r="C32" i="71"/>
  <c r="D31" i="71"/>
  <c r="V28" i="71"/>
  <c r="P66" i="71"/>
  <c r="D66" i="71"/>
  <c r="T32" i="71"/>
  <c r="D32" i="71"/>
  <c r="T40" i="71"/>
  <c r="D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c r="D123" i="21"/>
  <c r="E123" i="21"/>
  <c r="F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F26" i="33"/>
  <c r="AA26"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H27" i="33"/>
  <c r="AB27" i="33" s="1"/>
  <c r="F87" i="33"/>
  <c r="H25" i="33"/>
  <c r="U25" i="33" s="1"/>
  <c r="F25" i="33"/>
  <c r="J23" i="33"/>
  <c r="W23" i="33" s="1"/>
  <c r="F85" i="33"/>
  <c r="H23" i="33"/>
  <c r="U23" i="33" s="1"/>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S45" i="2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J27" i="33"/>
  <c r="AC27" i="33" s="1"/>
  <c r="AB25" i="33"/>
  <c r="S25" i="33"/>
  <c r="AA25" i="33"/>
  <c r="G87" i="33"/>
  <c r="H87" i="33"/>
  <c r="I87" i="33" s="1"/>
  <c r="J87" i="33" s="1"/>
  <c r="K87" i="33" s="1"/>
  <c r="L87" i="33" s="1"/>
  <c r="M87" i="33" s="1"/>
  <c r="J25" i="33"/>
  <c r="AC25" i="33" s="1"/>
  <c r="F23" i="33"/>
  <c r="AA23" i="33" s="1"/>
  <c r="G85" i="33"/>
  <c r="AC23" i="33"/>
  <c r="H19" i="33"/>
  <c r="U19" i="33" s="1"/>
  <c r="G81" i="33"/>
  <c r="G79" i="33"/>
  <c r="H17" i="33"/>
  <c r="AB17" i="33" s="1"/>
  <c r="F17" i="33"/>
  <c r="S17" i="33" s="1"/>
  <c r="W17" i="33"/>
  <c r="AC17" i="33"/>
  <c r="S37" i="21"/>
  <c r="AA23" i="21"/>
  <c r="J23" i="21"/>
  <c r="W23" i="21" s="1"/>
  <c r="F85" i="21"/>
  <c r="G85" i="21"/>
  <c r="H23" i="21"/>
  <c r="S13" i="21"/>
  <c r="D6" i="52"/>
  <c r="AP7" i="1"/>
  <c r="AB45" i="21"/>
  <c r="AB9" i="21"/>
  <c r="U9" i="21"/>
  <c r="S32" i="21"/>
  <c r="AC9" i="21"/>
  <c r="AB32" i="21"/>
  <c r="U32" i="21"/>
  <c r="U32" i="39"/>
  <c r="AC32" i="39"/>
  <c r="W32" i="39"/>
  <c r="W19" i="37"/>
  <c r="AC19" i="37"/>
  <c r="AC23" i="37"/>
  <c r="H63" i="37"/>
  <c r="I63" i="37"/>
  <c r="J63" i="37" s="1"/>
  <c r="K63" i="37"/>
  <c r="L63" i="37" s="1"/>
  <c r="M63" i="37" s="1"/>
  <c r="J11" i="37"/>
  <c r="AC11" i="37" s="1"/>
  <c r="H70" i="34"/>
  <c r="I70" i="34" s="1"/>
  <c r="J70" i="34"/>
  <c r="K70" i="34" s="1"/>
  <c r="L70" i="34" s="1"/>
  <c r="M70" i="34" s="1"/>
  <c r="J11" i="34"/>
  <c r="W11" i="34" s="1"/>
  <c r="W25" i="33"/>
  <c r="AA17" i="33"/>
  <c r="U23" i="21"/>
  <c r="AB23" i="21"/>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C20" i="71"/>
  <c r="C19" i="71" s="1"/>
  <c r="C18" i="71" s="1"/>
  <c r="C17" i="71" s="1"/>
  <c r="D21" i="71"/>
  <c r="D18" i="71"/>
  <c r="T20" i="71"/>
  <c r="D19" i="71"/>
  <c r="D20" i="71"/>
  <c r="U20" i="71" s="1"/>
  <c r="B10" i="76"/>
  <c r="M8" i="67"/>
  <c r="M28" i="15"/>
  <c r="M26" i="15"/>
  <c r="M9" i="15"/>
  <c r="M26" i="67"/>
  <c r="F5" i="73"/>
  <c r="J15" i="67"/>
  <c r="F36" i="67"/>
  <c r="E12" i="76"/>
  <c r="F37" i="67"/>
  <c r="L47" i="15"/>
  <c r="B12" i="76"/>
  <c r="F6" i="73"/>
  <c r="F38" i="67"/>
  <c r="M24" i="15"/>
  <c r="C76" i="15"/>
  <c r="J15" i="15"/>
  <c r="B11" i="76"/>
  <c r="C76" i="67"/>
  <c r="D5" i="73"/>
  <c r="B9" i="76"/>
  <c r="F20" i="31"/>
  <c r="F6" i="67"/>
  <c r="E8" i="76"/>
  <c r="D34" i="9"/>
  <c r="E9" i="76"/>
  <c r="F40" i="15"/>
  <c r="M22" i="67"/>
  <c r="M23" i="15"/>
  <c r="D4" i="73"/>
  <c r="F8" i="67"/>
  <c r="B7" i="76"/>
  <c r="M29" i="67"/>
  <c r="F42" i="67"/>
  <c r="E10" i="76"/>
  <c r="M9" i="67"/>
  <c r="F9" i="67"/>
  <c r="F36" i="15"/>
  <c r="AO13" i="1"/>
  <c r="E2" i="68"/>
  <c r="F7" i="15"/>
  <c r="E13" i="76"/>
  <c r="F7" i="67"/>
  <c r="M24" i="67"/>
  <c r="D7" i="73"/>
  <c r="F4" i="73"/>
  <c r="L47" i="67"/>
  <c r="B8" i="76"/>
  <c r="E11" i="76"/>
  <c r="M22" i="15"/>
  <c r="F43" i="15"/>
  <c r="M6" i="67"/>
  <c r="F9" i="15"/>
  <c r="L48" i="67"/>
  <c r="F13" i="67"/>
  <c r="F43" i="67"/>
  <c r="M28" i="67"/>
  <c r="F42" i="15"/>
  <c r="M23" i="67"/>
  <c r="F3" i="73"/>
  <c r="B13" i="76"/>
  <c r="D35" i="9"/>
  <c r="F7" i="73"/>
  <c r="E2" i="69"/>
  <c r="M6" i="15"/>
  <c r="M29" i="15"/>
  <c r="E7" i="76"/>
  <c r="F8" i="15"/>
  <c r="F6" i="15"/>
  <c r="F26" i="67"/>
  <c r="F26" i="15"/>
  <c r="F38" i="15"/>
  <c r="L48" i="15"/>
  <c r="F16" i="67"/>
  <c r="F40" i="67"/>
  <c r="F16" i="15"/>
  <c r="F37" i="15"/>
  <c r="D3" i="73"/>
  <c r="F13" i="15"/>
  <c r="D6" i="73"/>
  <c r="M8" i="15"/>
  <c r="C40" i="69" l="1"/>
  <c r="AC34" i="33"/>
  <c r="AB36" i="33"/>
  <c r="U32" i="33"/>
  <c r="S38" i="33"/>
  <c r="AA34" i="33"/>
  <c r="U33" i="33"/>
  <c r="AB21" i="33"/>
  <c r="S28" i="33"/>
  <c r="AC28" i="33"/>
  <c r="U27" i="33"/>
  <c r="W27" i="33"/>
  <c r="S23" i="33"/>
  <c r="AB23" i="33"/>
  <c r="AC21" i="33"/>
  <c r="AB19" i="33"/>
  <c r="AA19" i="33"/>
  <c r="U17" i="33"/>
  <c r="C28" i="67"/>
  <c r="D52" i="43"/>
  <c r="AZ557" i="3"/>
  <c r="E15" i="71"/>
  <c r="E14" i="71" s="1"/>
  <c r="E13" i="71" s="1"/>
  <c r="E12" i="71" s="1"/>
  <c r="V16" i="71"/>
  <c r="D126" i="9"/>
  <c r="D19" i="53"/>
  <c r="B38" i="72" s="1"/>
  <c r="D16" i="53"/>
  <c r="B34" i="72" s="1"/>
  <c r="BL5" i="3"/>
  <c r="G5" i="3"/>
  <c r="B3" i="3" s="1"/>
  <c r="B101" i="43"/>
  <c r="B79" i="43"/>
  <c r="B97" i="43"/>
  <c r="B75" i="43"/>
  <c r="J9" i="34"/>
  <c r="F9" i="34"/>
  <c r="AA9" i="34" s="1"/>
  <c r="J12" i="34"/>
  <c r="F12" i="34"/>
  <c r="J34" i="35"/>
  <c r="H34" i="35"/>
  <c r="F34" i="35"/>
  <c r="AZ425" i="3"/>
  <c r="AZ432" i="3"/>
  <c r="AZ464" i="3"/>
  <c r="AZ467" i="3"/>
  <c r="AZ474" i="3"/>
  <c r="AZ480" i="3"/>
  <c r="AZ482" i="3"/>
  <c r="AZ486" i="3"/>
  <c r="AZ488" i="3"/>
  <c r="AZ216" i="3"/>
  <c r="D17" i="71"/>
  <c r="C16" i="71"/>
  <c r="AB15" i="21"/>
  <c r="W17" i="21"/>
  <c r="AC15" i="21"/>
  <c r="U12" i="39"/>
  <c r="AA27" i="40"/>
  <c r="AB27" i="40"/>
  <c r="G28" i="6"/>
  <c r="F29" i="6"/>
  <c r="E29" i="6" s="1"/>
  <c r="K15" i="1" s="1"/>
  <c r="U43" i="33"/>
  <c r="AA41" i="34"/>
  <c r="U46" i="33"/>
  <c r="AA13" i="35"/>
  <c r="B94" i="43"/>
  <c r="B73" i="43"/>
  <c r="B99" i="43"/>
  <c r="B76" i="43"/>
  <c r="H9" i="34"/>
  <c r="H12" i="34"/>
  <c r="J12" i="35"/>
  <c r="H36" i="35"/>
  <c r="J36" i="35"/>
  <c r="J23" i="36"/>
  <c r="H23" i="36"/>
  <c r="F23" i="36"/>
  <c r="AZ399" i="3"/>
  <c r="AZ404" i="3"/>
  <c r="AZ414" i="3"/>
  <c r="AZ421" i="3"/>
  <c r="AZ430" i="3"/>
  <c r="AZ440" i="3"/>
  <c r="AZ449" i="3"/>
  <c r="AZ453" i="3"/>
  <c r="AZ455" i="3"/>
  <c r="AZ460" i="3"/>
  <c r="AZ471" i="3"/>
  <c r="AZ492" i="3"/>
  <c r="AZ211" i="3"/>
  <c r="AC31" i="35"/>
  <c r="AZ231" i="3"/>
  <c r="AZ244" i="3"/>
  <c r="AZ247" i="3"/>
  <c r="AZ260" i="3"/>
  <c r="AZ264" i="3"/>
  <c r="AZ282" i="3"/>
  <c r="AZ285" i="3"/>
  <c r="AZ290" i="3"/>
  <c r="AZ293" i="3"/>
  <c r="AZ153" i="3"/>
  <c r="AZ169" i="3"/>
  <c r="AZ185" i="3"/>
  <c r="AZ201" i="3"/>
  <c r="AZ207" i="3"/>
  <c r="AZ25" i="3"/>
  <c r="AZ30" i="3"/>
  <c r="AZ36" i="3"/>
  <c r="AZ40" i="3"/>
  <c r="AZ46" i="3"/>
  <c r="AZ49" i="3"/>
  <c r="D36" i="71"/>
  <c r="T36" i="71"/>
  <c r="AZ60" i="3"/>
  <c r="AZ73" i="3"/>
  <c r="AZ78" i="3"/>
  <c r="AZ87" i="3"/>
  <c r="AZ91" i="3"/>
  <c r="AZ95" i="3"/>
  <c r="AZ98" i="3"/>
  <c r="AZ100" i="3"/>
  <c r="AZ104" i="3"/>
  <c r="AZ108" i="3"/>
  <c r="C43" i="71"/>
  <c r="D42" i="71"/>
  <c r="C47" i="71"/>
  <c r="D47" i="71" s="1"/>
  <c r="D46" i="71"/>
  <c r="S21" i="21"/>
  <c r="U18" i="36"/>
  <c r="O65" i="71"/>
  <c r="D27" i="71"/>
  <c r="D75" i="71"/>
  <c r="F30" i="71"/>
  <c r="F31" i="71" s="1"/>
  <c r="F32" i="71" s="1"/>
  <c r="V32" i="71" s="1"/>
  <c r="Y9" i="71"/>
  <c r="Z9" i="71" s="1"/>
  <c r="Y10" i="71"/>
  <c r="Z10" i="71" s="1"/>
  <c r="AA9" i="71"/>
  <c r="AA10" i="71"/>
  <c r="V68" i="71"/>
  <c r="F67" i="71"/>
  <c r="X22" i="71"/>
  <c r="AA24" i="71"/>
  <c r="AA22" i="71"/>
  <c r="X21" i="71"/>
  <c r="Y18" i="71"/>
  <c r="Z18" i="71" s="1"/>
  <c r="X17" i="71"/>
  <c r="Y17" i="71"/>
  <c r="Z17" i="71" s="1"/>
  <c r="AB18" i="71"/>
  <c r="Y14" i="71"/>
  <c r="Z14" i="71" s="1"/>
  <c r="AA17" i="71"/>
  <c r="AA26" i="71"/>
  <c r="AA31" i="71"/>
  <c r="X9" i="71"/>
  <c r="X10" i="71"/>
  <c r="Y39" i="71"/>
  <c r="Z39" i="71" s="1"/>
  <c r="AA39" i="71"/>
  <c r="AB9" i="71"/>
  <c r="AB10" i="71"/>
  <c r="AB24" i="71"/>
  <c r="Y21" i="71"/>
  <c r="Z21" i="71" s="1"/>
  <c r="AB23" i="71"/>
  <c r="AB21" i="71"/>
  <c r="AA21" i="71"/>
  <c r="X18" i="71"/>
  <c r="AA18" i="71"/>
  <c r="X13" i="71"/>
  <c r="AA14" i="71"/>
  <c r="AB17" i="71"/>
  <c r="X24" i="71"/>
  <c r="Y24" i="71"/>
  <c r="Z24" i="71" s="1"/>
  <c r="AB15" i="71"/>
  <c r="AB11" i="71"/>
  <c r="AB14" i="71"/>
  <c r="Y12" i="71"/>
  <c r="Z12" i="71" s="1"/>
  <c r="Y13" i="71"/>
  <c r="Z13" i="71" s="1"/>
  <c r="AA11" i="71"/>
  <c r="AA13" i="71"/>
  <c r="X12" i="71"/>
  <c r="Y23" i="71"/>
  <c r="Z23" i="71" s="1"/>
  <c r="Y22" i="71"/>
  <c r="Z22" i="71" s="1"/>
  <c r="AA23"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C16" i="67"/>
  <c r="C16" i="15"/>
  <c r="D9" i="69"/>
  <c r="F27" i="69"/>
  <c r="G1" i="73"/>
  <c r="K16" i="1" l="1"/>
  <c r="F66" i="71"/>
  <c r="Q67" i="71"/>
  <c r="AA23" i="36"/>
  <c r="S23" i="36"/>
  <c r="AC23" i="36"/>
  <c r="W23" i="36"/>
  <c r="AB36" i="35"/>
  <c r="U36" i="35"/>
  <c r="U12" i="34"/>
  <c r="AB12" i="34"/>
  <c r="C15" i="71"/>
  <c r="T16" i="71"/>
  <c r="AA34" i="35"/>
  <c r="S34" i="35"/>
  <c r="AC34" i="35"/>
  <c r="W34" i="35"/>
  <c r="W12" i="34"/>
  <c r="AC12" i="34"/>
  <c r="AC9" i="34"/>
  <c r="W9" i="34"/>
  <c r="E11" i="71"/>
  <c r="E10" i="71" s="1"/>
  <c r="E9" i="71" s="1"/>
  <c r="E8" i="71" s="1"/>
  <c r="E7" i="71" s="1"/>
  <c r="E6" i="71" s="1"/>
  <c r="E5" i="71" s="1"/>
  <c r="V12" i="71"/>
  <c r="B15" i="71"/>
  <c r="B14" i="71" s="1"/>
  <c r="B13" i="71" s="1"/>
  <c r="B12" i="71" s="1"/>
  <c r="S16" i="71"/>
  <c r="C44" i="71"/>
  <c r="D43" i="71"/>
  <c r="U23" i="36"/>
  <c r="AB23" i="36"/>
  <c r="W36" i="35"/>
  <c r="AC36" i="35"/>
  <c r="W12" i="35"/>
  <c r="AC12" i="35"/>
  <c r="AB9" i="34"/>
  <c r="U9" i="34"/>
  <c r="AB34" i="35"/>
  <c r="U34" i="35"/>
  <c r="S12" i="34"/>
  <c r="AA12"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D44" i="71"/>
  <c r="T44" i="71"/>
  <c r="B11" i="71"/>
  <c r="B10" i="71" s="1"/>
  <c r="B9" i="71" s="1"/>
  <c r="B8" i="71" s="1"/>
  <c r="B7" i="71" s="1"/>
  <c r="B6" i="71" s="1"/>
  <c r="B5" i="71" s="1"/>
  <c r="S12" i="71"/>
  <c r="D15" i="71"/>
  <c r="C14" i="71"/>
  <c r="Q66" i="71"/>
  <c r="Q65"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8"/>
  <c r="C34" i="69"/>
  <c r="D10" i="69"/>
  <c r="C14" i="67"/>
  <c r="C17" i="67"/>
  <c r="C17" i="15"/>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2" i="12"/>
  <c r="C30" i="12" s="1"/>
  <c r="C28" i="12" s="1"/>
  <c r="J7" i="35"/>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25" i="68" l="1"/>
  <c r="C22" i="68" s="1"/>
  <c r="C31" i="68" s="1"/>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2" i="68" l="1"/>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5" i="71" l="1"/>
  <c r="D5" i="71" s="1"/>
  <c r="M24" i="43" s="1"/>
  <c r="D6" i="7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19" i="9"/>
  <c r="D2" i="37"/>
  <c r="L51" i="15"/>
  <c r="D2" i="35"/>
  <c r="D2" i="34"/>
  <c r="D2" i="36"/>
  <c r="C21" i="9" l="1"/>
  <c r="C102" i="9"/>
  <c r="B3" i="33"/>
  <c r="D102" i="9"/>
  <c r="D21" i="9"/>
  <c r="D22" i="9"/>
  <c r="G19" i="9"/>
  <c r="G21"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D20" i="9"/>
  <c r="AO10" i="1"/>
  <c r="AO6" i="1"/>
  <c r="AO8" i="1"/>
  <c r="AO9" i="1"/>
  <c r="AO12" i="1"/>
  <c r="AO7" i="1"/>
  <c r="AO11" i="1"/>
  <c r="C103" i="9" l="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C105" i="9" s="1"/>
  <c r="F118" i="9" l="1"/>
  <c r="F119" i="9" s="1"/>
  <c r="F5" i="52" s="1"/>
  <c r="B53" i="72" s="1"/>
  <c r="H118" i="9"/>
  <c r="E118" i="9"/>
  <c r="I4" i="52"/>
  <c r="H102" i="9"/>
  <c r="F4" i="52" l="1"/>
  <c r="B51" i="72" s="1"/>
  <c r="C5" i="74"/>
  <c r="D7" i="53"/>
  <c r="B21" i="72" s="1"/>
  <c r="D118" i="9"/>
  <c r="E4" i="52"/>
  <c r="B48" i="72" s="1"/>
  <c r="H4" i="52"/>
  <c r="H119" i="9"/>
  <c r="H5" i="52" s="1"/>
  <c r="C104" i="9"/>
  <c r="H101" i="9"/>
  <c r="M48" i="9" l="1"/>
  <c r="D45" i="9"/>
  <c r="D5" i="53"/>
  <c r="H107" i="9"/>
  <c r="D119" i="9"/>
  <c r="D5" i="52" s="1"/>
  <c r="B49" i="72" s="1"/>
  <c r="D4" i="52"/>
  <c r="B47" i="72" s="1"/>
  <c r="D122" i="9" l="1"/>
  <c r="H108" i="9"/>
  <c r="D13" i="53"/>
  <c r="M49" i="9"/>
  <c r="D52" i="9"/>
  <c r="D55" i="9"/>
  <c r="M53" i="9" s="1"/>
  <c r="C72" i="9"/>
  <c r="D53" i="9"/>
  <c r="C93" i="9"/>
  <c r="C86" i="9" s="1"/>
  <c r="C78" i="9"/>
  <c r="C73" i="9" s="1"/>
  <c r="C85" i="9"/>
  <c r="C64" i="9"/>
  <c r="C63" i="9" s="1"/>
  <c r="C67" i="9" s="1"/>
  <c r="B20" i="72"/>
  <c r="D6" i="53"/>
  <c r="B22" i="72" s="1"/>
  <c r="C95" i="9" l="1"/>
  <c r="C96" i="9" s="1"/>
  <c r="E96" i="9" s="1"/>
  <c r="E97" i="9" s="1"/>
  <c r="C68" i="9"/>
  <c r="D54" i="9" s="1"/>
  <c r="D59" i="9"/>
  <c r="M55" i="9" s="1"/>
  <c r="L65" i="9"/>
  <c r="M65" i="9" s="1"/>
  <c r="L68" i="9"/>
  <c r="M68" i="9" s="1"/>
  <c r="L66" i="9"/>
  <c r="M66" i="9" s="1"/>
  <c r="L64" i="9"/>
  <c r="M64" i="9" s="1"/>
  <c r="L67" i="9"/>
  <c r="M67" i="9" s="1"/>
  <c r="L63" i="9"/>
  <c r="M63" i="9" s="1"/>
  <c r="C6" i="74"/>
  <c r="D15" i="53"/>
  <c r="B31" i="72" s="1"/>
  <c r="C79" i="9"/>
  <c r="D14" i="53"/>
  <c r="B32" i="72" s="1"/>
  <c r="B30" i="72"/>
  <c r="D8" i="52"/>
  <c r="D123" i="9"/>
  <c r="D9" i="52" s="1"/>
  <c r="C97" i="9" l="1"/>
  <c r="D58" i="9" s="1"/>
  <c r="D56" i="9" s="1"/>
  <c r="M54" i="9" s="1"/>
  <c r="N57" i="9" s="1"/>
  <c r="P57" i="9" s="1"/>
  <c r="M69" i="9"/>
  <c r="N69" i="9" s="1"/>
  <c r="C80" i="9"/>
  <c r="E80" i="9" s="1"/>
  <c r="E81" i="9" s="1"/>
  <c r="N58"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<sst xmlns="http://schemas.openxmlformats.org/spreadsheetml/2006/main" count="7890" uniqueCount="3445">
  <si>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</si>
  <si>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</si>
  <si>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</si>
  <si>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</si>
  <si>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</si>
  <si>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</si>
  <si>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</si>
  <si>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</si>
  <si>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</si>
  <si>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</si>
  <si>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</si>
  <si>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</si>
  <si>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</si>
  <si>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</si>
  <si>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</si>
  <si>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</si>
  <si>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</si>
  <si>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</si>
  <si>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</si>
  <si>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</si>
  <si>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</si>
  <si>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</si>
  <si>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</si>
  <si>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</si>
  <si>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</si>
  <si>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</si>
  <si>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</si>
  <si>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</si>
  <si>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</si>
  <si>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</si>
  <si>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</si>
  <si>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</si>
  <si>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</si>
  <si>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</si>
  <si>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</si>
  <si>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</si>
  <si>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</si>
  <si>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</si>
  <si>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</si>
  <si>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</si>
  <si>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</si>
  <si>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</si>
  <si>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</si>
  <si>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</si>
  <si>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</si>
  <si>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</si>
  <si>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</si>
  <si>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</si>
  <si>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</si>
  <si>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</si>
  <si>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</si>
  <si>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</si>
  <si>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</si>
  <si>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</si>
  <si>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</si>
  <si>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</si>
  <si>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</si>
  <si>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</si>
  <si>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</si>
  <si>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</si>
  <si>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</si>
  <si>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</si>
  <si>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</si>
  <si>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</si>
  <si>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</si>
  <si>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</si>
  <si>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</si>
  <si>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</si>
  <si>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</si>
  <si>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</si>
  <si>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</si>
  <si>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</si>
  <si>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</si>
  <si>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</si>
  <si>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</si>
  <si>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</si>
  <si>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</si>
  <si>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</si>
  <si>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</si>
  <si>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</si>
  <si>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</si>
  <si>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</si>
  <si>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</si>
  <si>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</si>
  <si>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</si>
  <si>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</si>
  <si>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</si>
  <si>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</si>
  <si>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</si>
  <si>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</si>
  <si>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</si>
  <si>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</si>
  <si>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</si>
  <si>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</si>
  <si>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</si>
  <si>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</si>
  <si>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</si>
  <si>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</si>
  <si>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</si>
  <si>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</si>
  <si>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</si>
  <si>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</si>
  <si>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</si>
  <si>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</si>
  <si>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</si>
  <si>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</si>
  <si>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</si>
  <si>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</si>
  <si>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</si>
  <si>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</si>
  <si>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</si>
  <si>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</si>
  <si>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</si>
  <si>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</si>
  <si>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</si>
  <si>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</si>
  <si>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</si>
  <si>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</si>
  <si>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</si>
  <si>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</si>
  <si>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</si>
  <si>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</si>
  <si>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</si>
  <si>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</si>
  <si>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</si>
  <si>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</si>
  <si>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</si>
  <si>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</si>
  <si>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</si>
  <si>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</si>
  <si>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</si>
  <si>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</si>
  <si>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</si>
  <si>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</si>
  <si>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</si>
  <si>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</si>
  <si>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</si>
  <si>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</si>
  <si>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</si>
  <si>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</si>
  <si>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</si>
  <si>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</si>
  <si>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</si>
  <si>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</si>
  <si>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</si>
  <si>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</si>
  <si>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</si>
  <si>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</si>
  <si>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</si>
  <si>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</si>
  <si>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</si>
  <si>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</si>
  <si>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</si>
  <si>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</si>
  <si>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</si>
  <si>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</si>
  <si>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</si>
  <si>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</si>
  <si>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</si>
  <si>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</si>
  <si>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</si>
  <si>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</si>
  <si>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</si>
  <si>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</si>
  <si>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</si>
  <si>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</si>
  <si>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</si>
  <si>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</si>
  <si>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</si>
  <si>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</si>
  <si>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</si>
  <si>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</si>
  <si>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</si>
  <si>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</si>
  <si>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</si>
  <si>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</si>
  <si>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</si>
  <si>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</si>
  <si>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</si>
  <si>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</si>
  <si>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</si>
  <si>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</si>
  <si>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</si>
  <si>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</si>
  <si>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</si>
  <si>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</si>
  <si>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</si>
  <si>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</si>
  <si>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</si>
  <si>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</si>
  <si>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</si>
  <si>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</si>
  <si>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</si>
  <si>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</si>
  <si>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</si>
  <si>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</si>
  <si>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</si>
  <si>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</si>
  <si>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</si>
  <si>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</si>
  <si>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</si>
  <si>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</si>
  <si>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</si>
  <si>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</si>
  <si>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</si>
  <si>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</si>
  <si>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</si>
  <si>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</si>
  <si>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</si>
  <si>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</si>
  <si>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</si>
  <si>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</si>
  <si>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</si>
  <si>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</si>
  <si>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</si>
  <si>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</si>
  <si>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</si>
  <si>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</si>
  <si>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</si>
  <si>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</si>
  <si>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</si>
  <si>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</si>
  <si>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</si>
  <si>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</si>
  <si>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</si>
  <si>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</si>
  <si>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</si>
  <si>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</si>
  <si>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</si>
  <si>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</si>
  <si>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</si>
  <si>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</si>
  <si>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</si>
  <si>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</si>
  <si>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</si>
  <si>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</si>
  <si>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</si>
  <si>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</si>
  <si>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</si>
  <si>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</si>
  <si>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</si>
  <si>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</si>
  <si>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</si>
  <si>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</si>
  <si>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</si>
  <si>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</si>
  <si>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</si>
  <si>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</si>
  <si>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</si>
  <si>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</si>
  <si>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</si>
  <si>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</si>
  <si>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</si>
  <si>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</si>
  <si>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</si>
  <si>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</si>
  <si>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</si>
  <si>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</si>
  <si>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</si>
  <si>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</si>
  <si>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</si>
  <si>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</si>
  <si>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</si>
  <si>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</si>
  <si>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</si>
  <si>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</si>
  <si>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</si>
  <si>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</si>
  <si>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</si>
  <si>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</si>
  <si>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</si>
  <si>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</si>
  <si>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</si>
  <si>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</si>
  <si>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</si>
  <si>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</si>
  <si>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</si>
  <si>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</si>
  <si>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</si>
  <si>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</si>
  <si>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</si>
  <si>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</si>
  <si>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</si>
  <si>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</si>
  <si>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</si>
  <si>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</si>
  <si>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</si>
  <si>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</si>
  <si>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</si>
  <si>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</si>
  <si>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</si>
  <si>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</si>
  <si>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</si>
  <si>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</si>
  <si>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</si>
  <si>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</si>
  <si>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</si>
  <si>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</si>
  <si>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</si>
  <si>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</si>
  <si>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</si>
  <si>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</si>
  <si>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</si>
  <si>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</si>
  <si>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</si>
  <si>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</si>
  <si>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</si>
  <si>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</si>
  <si>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</si>
  <si>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</si>
  <si>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</si>
  <si>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</si>
  <si>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</si>
  <si>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</si>
  <si>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</si>
  <si>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</si>
  <si>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</si>
  <si>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</si>
  <si>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</si>
  <si>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</si>
  <si>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</si>
  <si>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</si>
  <si>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</si>
  <si>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</si>
  <si>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</si>
  <si>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</si>
  <si>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</si>
  <si>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</si>
  <si>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</si>
  <si>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</si>
  <si>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</si>
  <si>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</si>
  <si>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</si>
  <si>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</si>
  <si>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</si>
  <si>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</si>
  <si>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</si>
  <si>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</si>
  <si>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</si>
  <si>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</si>
  <si>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</si>
  <si>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</si>
  <si>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</si>
  <si>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</si>
  <si>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</si>
  <si>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</si>
  <si>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</si>
  <si>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</si>
  <si>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</si>
  <si>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</si>
  <si>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</si>
  <si>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</si>
  <si>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</si>
  <si>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</si>
  <si>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</si>
  <si>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</si>
  <si>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</si>
  <si>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</si>
  <si>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</si>
  <si>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</si>
  <si>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</si>
  <si>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</si>
  <si>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</si>
  <si>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</si>
  <si>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</si>
  <si>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</si>
  <si>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</si>
  <si>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</si>
  <si>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</si>
  <si>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</si>
  <si>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</si>
  <si>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</si>
  <si>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</si>
  <si>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</si>
  <si>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</si>
  <si>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</si>
  <si>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</si>
  <si>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</si>
  <si>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</si>
  <si>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</si>
  <si>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</si>
  <si>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</si>
  <si>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</si>
  <si>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</si>
  <si>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</si>
  <si>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</si>
  <si>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</si>
  <si>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</si>
  <si>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</si>
  <si>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</si>
  <si>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</si>
  <si>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</si>
  <si>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</si>
  <si>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</si>
  <si>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</si>
  <si>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</si>
  <si>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</si>
  <si>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</si>
  <si>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</si>
  <si>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</si>
  <si>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</si>
  <si>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</si>
  <si>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</si>
  <si>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</si>
  <si>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</si>
  <si>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</si>
  <si>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</si>
  <si>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</si>
  <si>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</si>
  <si>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</si>
  <si>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</si>
  <si>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</si>
  <si>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</si>
  <si>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</si>
  <si>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</si>
  <si>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</si>
  <si>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</si>
  <si>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</si>
  <si>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</si>
  <si>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</si>
  <si>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</si>
  <si>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</si>
  <si>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</si>
  <si>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</si>
  <si>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</si>
  <si>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</si>
  <si>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</si>
  <si>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</si>
  <si>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</si>
  <si>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</si>
  <si>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</si>
  <si>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</si>
  <si>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</si>
  <si>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</si>
  <si>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</si>
  <si>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</si>
  <si>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</si>
  <si>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</si>
  <si>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</si>
  <si>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</si>
  <si>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</si>
  <si>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</si>
  <si>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</si>
  <si>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</si>
  <si>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</si>
  <si>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</si>
  <si>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</si>
  <si>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</si>
  <si>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</si>
  <si>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</si>
  <si>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</si>
  <si>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</si>
  <si>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</si>
  <si>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</si>
  <si>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</si>
  <si>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</si>
  <si>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</si>
  <si>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</si>
  <si>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</si>
  <si>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</si>
  <si>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</si>
  <si>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</si>
  <si>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</si>
  <si>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</si>
  <si>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</si>
  <si>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</si>
  <si>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</si>
  <si>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</si>
  <si>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</si>
  <si>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</si>
  <si>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</si>
  <si>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</si>
  <si>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</si>
  <si>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</si>
  <si>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</si>
  <si>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</si>
  <si>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</si>
  <si>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</si>
  <si>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</si>
  <si>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</si>
  <si>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</si>
  <si>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</si>
  <si>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</si>
  <si>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</si>
  <si>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</si>
  <si>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</si>
  <si>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</si>
  <si>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</si>
  <si>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</si>
  <si>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</si>
  <si>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</si>
  <si>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</si>
  <si>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</si>
  <si>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</si>
  <si>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</si>
  <si>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</si>
  <si>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</si>
  <si>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</si>
  <si>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</si>
  <si>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</si>
  <si>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</si>
  <si>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</si>
  <si>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</si>
  <si>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</si>
  <si>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</si>
  <si>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</si>
  <si>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</si>
  <si>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</si>
  <si>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</si>
  <si>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</si>
  <si>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</si>
  <si>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</si>
  <si>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</si>
  <si>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</si>
  <si>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</si>
  <si>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</si>
  <si>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</si>
  <si>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</si>
  <si>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</si>
  <si>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</si>
  <si>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</si>
  <si>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</si>
  <si>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</si>
  <si>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</si>
  <si>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</si>
  <si>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</si>
  <si>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</si>
  <si>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</si>
  <si>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</si>
  <si>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</si>
  <si>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</si>
  <si>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</si>
  <si>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</si>
  <si>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</si>
  <si>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</si>
  <si>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</si>
  <si>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</si>
  <si>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</si>
  <si>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</si>
  <si>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</si>
  <si>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</si>
  <si>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</si>
  <si>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</si>
  <si>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</si>
  <si>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</si>
  <si>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</si>
  <si>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</si>
  <si>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</si>
  <si>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</si>
  <si>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</si>
  <si>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</si>
  <si>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</si>
  <si>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</si>
  <si>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</si>
  <si>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</si>
  <si>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</si>
  <si>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</si>
  <si>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</si>
  <si>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</si>
  <si>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</si>
  <si>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</si>
  <si>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</si>
  <si>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</si>
  <si>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</si>
  <si>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</si>
  <si>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</si>
  <si>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</si>
  <si>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</si>
  <si>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</si>
  <si>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</si>
  <si>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</si>
  <si>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</si>
  <si>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</si>
  <si>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</si>
  <si>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</si>
  <si>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</si>
  <si>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</si>
  <si>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</si>
  <si>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</si>
  <si>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</si>
  <si>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</si>
  <si>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</si>
  <si>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</si>
  <si>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</si>
  <si>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</si>
  <si>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</si>
  <si>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</si>
  <si>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</si>
  <si>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</si>
  <si>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</si>
  <si>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</si>
  <si>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</si>
  <si>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</si>
  <si>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</si>
  <si>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</si>
  <si>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</si>
  <si>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</si>
  <si>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</si>
  <si>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</si>
  <si>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</si>
  <si>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</si>
  <si>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</si>
  <si>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</si>
  <si>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</si>
  <si>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</si>
  <si>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</si>
  <si>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</si>
  <si>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</si>
  <si>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</si>
  <si>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</si>
  <si>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</si>
  <si>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</si>
  <si>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</si>
  <si>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</si>
  <si>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</si>
  <si>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</si>
  <si>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</si>
  <si>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</si>
  <si>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</si>
  <si>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</si>
  <si>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</si>
  <si>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</si>
  <si>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</si>
  <si>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</si>
  <si>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</si>
  <si>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</si>
  <si>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</si>
  <si>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</si>
  <si>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</si>
  <si>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</si>
  <si>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</si>
  <si>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</si>
  <si>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</si>
  <si>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</si>
  <si>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</si>
  <si>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</si>
  <si>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</si>
  <si>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</si>
  <si>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</si>
  <si>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</si>
  <si>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</si>
  <si>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</si>
  <si>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</si>
  <si>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</si>
  <si>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</si>
  <si>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</si>
  <si>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</si>
  <si>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</si>
  <si>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</si>
  <si>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</si>
  <si>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</si>
  <si>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</si>
  <si>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</si>
  <si>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</si>
  <si>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</si>
  <si>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</si>
  <si>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</si>
  <si>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</si>
  <si>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</si>
  <si>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</si>
  <si>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</si>
  <si>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</si>
  <si>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</si>
  <si>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</si>
  <si>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</si>
  <si>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</si>
  <si>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</si>
  <si>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</si>
  <si>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</si>
  <si>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</si>
  <si>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</si>
  <si>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</si>
  <si>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</si>
  <si>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</si>
  <si>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</si>
  <si>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</si>
  <si>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</si>
  <si>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</si>
  <si>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</si>
  <si>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</si>
  <si>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</si>
  <si>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</si>
  <si>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</si>
  <si>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</si>
  <si>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</si>
  <si>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</si>
  <si>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</si>
  <si>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</si>
  <si>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</si>
  <si>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</si>
  <si>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</si>
  <si>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</si>
  <si>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</si>
  <si>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</si>
  <si>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</si>
  <si>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</si>
  <si>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</si>
  <si>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</si>
  <si>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</si>
  <si>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</si>
  <si>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</si>
  <si>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</si>
  <si>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</si>
  <si>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</si>
  <si>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</si>
  <si>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</si>
  <si>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</si>
  <si>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</si>
  <si>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</si>
  <si>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</si>
  <si>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</si>
  <si>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</si>
  <si>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</si>
  <si>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</si>
  <si>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</si>
  <si>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</si>
  <si>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</si>
  <si>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</si>
  <si>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</si>
  <si>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</si>
  <si>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</si>
  <si>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</si>
  <si>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</si>
  <si>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</si>
  <si>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</si>
  <si>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</si>
  <si>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</si>
  <si>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</si>
  <si>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</si>
  <si>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</si>
  <si>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</si>
  <si>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</si>
  <si>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</si>
  <si>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</si>
  <si>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</si>
  <si>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</si>
  <si>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</si>
  <si>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</si>
  <si>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</si>
  <si>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</si>
  <si>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</si>
  <si>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</si>
  <si>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</si>
  <si>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</si>
  <si>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</si>
  <si>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</si>
  <si>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</si>
  <si>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</si>
  <si>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</si>
  <si>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</si>
  <si>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</si>
  <si>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</si>
  <si>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</si>
  <si>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</si>
  <si>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</si>
  <si>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</si>
  <si>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</si>
  <si>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</si>
  <si>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</si>
  <si>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</si>
  <si>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</si>
  <si>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</si>
  <si>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</si>
  <si>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</si>
  <si>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</si>
  <si>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</si>
  <si>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</si>
  <si>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</si>
  <si>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</si>
  <si>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</si>
  <si>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</si>
  <si>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</si>
  <si>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</si>
  <si>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</si>
  <si>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</si>
  <si>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</si>
  <si>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</si>
  <si>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</si>
  <si>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</si>
  <si>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</si>
  <si>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</si>
  <si>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</si>
  <si>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</si>
  <si>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</si>
  <si>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</si>
  <si>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</si>
  <si>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</si>
  <si>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</si>
  <si>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</si>
  <si>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</si>
  <si>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</si>
  <si>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</si>
  <si>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</si>
  <si>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</si>
  <si>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</si>
  <si>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</si>
  <si>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</si>
  <si>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</si>
  <si>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</si>
  <si>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</si>
  <si>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</si>
  <si>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</si>
  <si>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</si>
  <si>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</si>
  <si>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</si>
  <si>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</si>
  <si>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</si>
  <si>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</si>
  <si>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</si>
  <si>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</si>
  <si>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</si>
  <si>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</si>
  <si>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</si>
  <si>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</si>
  <si>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</si>
  <si>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</si>
  <si>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</si>
  <si>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</si>
  <si>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</si>
  <si>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</si>
  <si>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</si>
  <si>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</si>
  <si>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</si>
  <si>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</si>
  <si>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</si>
  <si>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</si>
  <si>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</si>
  <si>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</si>
  <si>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</si>
  <si>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</si>
  <si>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</si>
  <si>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</si>
  <si>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</si>
  <si>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</si>
  <si>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</si>
  <si>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</si>
  <si>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</si>
  <si>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</si>
  <si>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</si>
  <si>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</si>
  <si>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</si>
  <si>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</si>
  <si>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</si>
  <si>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</si>
  <si>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</si>
  <si>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</si>
  <si>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</si>
  <si>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</si>
  <si>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</si>
  <si>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</si>
  <si>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</si>
  <si>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</si>
  <si>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</si>
  <si>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</si>
  <si>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</si>
  <si>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</si>
  <si>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</si>
  <si>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</si>
  <si>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</si>
  <si>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</si>
  <si>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</si>
  <si>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</si>
  <si>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</si>
  <si>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</si>
  <si>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</si>
  <si>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</si>
  <si>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</si>
  <si>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</si>
  <si>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</si>
  <si>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</si>
  <si>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</si>
  <si>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</si>
  <si>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</si>
  <si>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</si>
  <si>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</si>
  <si>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</si>
  <si>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</si>
  <si>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</si>
  <si>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</si>
  <si>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</si>
  <si>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</si>
  <si>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</si>
  <si>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</si>
  <si>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</si>
  <si>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</si>
  <si>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</si>
  <si>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</si>
  <si>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</si>
  <si>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</si>
  <si>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</si>
  <si>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</si>
  <si>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</si>
  <si>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</si>
  <si>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</si>
  <si>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</si>
  <si>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</si>
  <si>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</si>
  <si>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</si>
  <si>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</si>
  <si>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</si>
  <si>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</si>
  <si>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</si>
  <si>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</si>
  <si>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</si>
  <si>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</si>
  <si>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</si>
  <si>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</si>
  <si>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</si>
  <si>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</si>
  <si>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</si>
  <si>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</si>
  <si>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</si>
  <si>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</si>
  <si>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</si>
  <si>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</si>
  <si>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</si>
  <si>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</si>
  <si>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</si>
  <si>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</si>
  <si>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</si>
  <si>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</si>
  <si>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</si>
  <si>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</si>
  <si>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</si>
  <si>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</si>
  <si>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</si>
  <si>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</si>
  <si>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</si>
  <si>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</si>
  <si>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</si>
  <si>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</si>
  <si>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</si>
  <si>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</si>
  <si>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</si>
  <si>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</si>
  <si>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</si>
  <si>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</si>
  <si>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</si>
  <si>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</si>
  <si>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</si>
  <si>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</si>
  <si>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</si>
  <si>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</si>
  <si>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</si>
  <si>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</si>
  <si>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</si>
  <si>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</si>
  <si>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</si>
  <si>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</si>
  <si>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</si>
  <si>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</si>
  <si>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</si>
  <si>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</si>
  <si>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</si>
  <si>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</si>
  <si>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</si>
  <si>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</si>
  <si>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</si>
  <si>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</si>
  <si>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</si>
  <si>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</si>
  <si>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</si>
  <si>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</si>
  <si>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</si>
  <si>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</si>
  <si>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</si>
  <si>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</si>
  <si>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</si>
  <si>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</si>
  <si>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</si>
  <si>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</si>
  <si>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</si>
  <si>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</si>
  <si>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</si>
  <si>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</si>
  <si>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</si>
  <si>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</si>
  <si>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</si>
  <si>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</si>
  <si>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</si>
  <si>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</si>
  <si>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</si>
  <si>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</si>
  <si>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</si>
  <si>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</si>
  <si>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</si>
  <si>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</si>
  <si>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</si>
  <si>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</si>
  <si>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</si>
  <si>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</si>
  <si>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</si>
  <si>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</si>
  <si>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</si>
  <si>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</si>
  <si>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</si>
  <si>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</si>
  <si>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</si>
  <si>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</si>
  <si>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</si>
  <si>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</si>
  <si>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</si>
  <si>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</si>
  <si>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</si>
  <si>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</si>
  <si>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</si>
  <si>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</si>
  <si>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</si>
  <si>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</si>
  <si>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</si>
  <si>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</si>
  <si>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</si>
  <si>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</si>
  <si>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</si>
  <si>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</si>
  <si>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</si>
  <si>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</si>
  <si>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</si>
  <si>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</si>
  <si>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</si>
  <si>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</si>
  <si>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</si>
  <si>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</si>
  <si>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</si>
  <si>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</si>
  <si>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</si>
  <si>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</si>
  <si>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</si>
  <si>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</si>
  <si>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</si>
  <si>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</si>
  <si>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</si>
  <si>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</si>
  <si>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</si>
  <si>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</si>
  <si>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</si>
  <si>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</si>
  <si>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</si>
  <si>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</si>
  <si>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</si>
  <si>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</si>
  <si>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</si>
  <si>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</si>
  <si>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</si>
  <si>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</si>
  <si>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</si>
  <si>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</si>
  <si>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</si>
  <si>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</si>
  <si>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</si>
  <si>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</si>
  <si>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</si>
  <si>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</si>
  <si>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</si>
  <si>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</si>
  <si>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</si>
  <si>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</si>
  <si>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</si>
  <si>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</si>
  <si>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</si>
  <si>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</si>
  <si>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</si>
  <si>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</si>
  <si>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</si>
  <si>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</si>
  <si>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</si>
  <si>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</si>
  <si>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</si>
  <si>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</si>
  <si>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</si>
  <si>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</si>
  <si>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</si>
  <si>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</si>
  <si>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</si>
  <si>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</si>
  <si>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</si>
  <si>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</si>
  <si>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</si>
  <si>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</si>
  <si>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</si>
  <si>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</si>
  <si>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</si>
  <si>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</si>
  <si>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</si>
  <si>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</si>
  <si>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</si>
  <si>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</si>
  <si>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</si>
  <si>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</si>
  <si>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</si>
  <si>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</si>
  <si>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</si>
  <si>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</si>
  <si>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</si>
  <si>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</si>
  <si>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</si>
  <si>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</si>
  <si>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</si>
  <si>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</si>
  <si>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</si>
  <si>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</si>
  <si>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</si>
  <si>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</si>
  <si>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</si>
  <si>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</si>
  <si>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</si>
  <si>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</si>
  <si>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</si>
  <si>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</si>
  <si>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</si>
  <si>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</si>
  <si>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</si>
  <si>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</si>
  <si>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</si>
  <si>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</si>
  <si>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</si>
  <si>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</si>
  <si>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</si>
  <si>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</si>
  <si>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</si>
  <si>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</si>
  <si>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</si>
  <si>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</si>
  <si>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</si>
  <si>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</si>
  <si>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</si>
  <si>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</si>
  <si>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</si>
  <si>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</si>
  <si>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</si>
  <si>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</si>
  <si>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</si>
  <si>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</si>
  <si>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</si>
  <si>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</si>
  <si>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</si>
  <si>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</si>
  <si>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</si>
  <si>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</si>
  <si>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</si>
  <si>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</si>
  <si>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</si>
  <si>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</si>
  <si>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</si>
  <si>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</si>
  <si>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</si>
  <si>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</si>
  <si>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</si>
  <si>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</si>
  <si>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</si>
  <si>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</si>
  <si>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</si>
  <si>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</si>
  <si>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</si>
  <si>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</si>
  <si>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</si>
  <si>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</si>
  <si>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</si>
  <si>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</si>
  <si>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</si>
  <si>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</si>
  <si>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</si>
  <si>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</si>
  <si>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</si>
  <si>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</si>
  <si>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</si>
  <si>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</si>
  <si>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</si>
  <si>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</si>
  <si>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</si>
  <si>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</si>
  <si>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</si>
  <si>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</si>
  <si>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</si>
  <si>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</si>
  <si>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</si>
  <si>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</si>
  <si>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</si>
  <si>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</si>
  <si>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</si>
  <si>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</si>
  <si>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</si>
  <si>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</si>
  <si>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</si>
  <si>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</si>
  <si>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</si>
  <si>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</si>
  <si>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</si>
  <si>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</si>
  <si>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</si>
  <si>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</si>
  <si>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</si>
  <si>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</si>
  <si>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</si>
  <si>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</si>
  <si>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</si>
  <si>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</si>
  <si>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</si>
  <si>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</si>
  <si>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</si>
  <si>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</si>
  <si>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</si>
  <si>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</si>
  <si>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</si>
  <si>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</si>
  <si>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</si>
  <si>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</si>
  <si>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</si>
  <si>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</si>
  <si>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</si>
  <si>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</si>
  <si>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</si>
  <si>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</si>
  <si>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</si>
  <si>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</si>
  <si>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</si>
  <si>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</si>
  <si>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</si>
  <si>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</si>
  <si>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</si>
  <si>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</si>
  <si>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</si>
  <si>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</si>
  <si>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</si>
  <si>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</si>
  <si>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</si>
  <si>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</si>
  <si>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</si>
  <si>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</si>
  <si>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</si>
  <si>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</si>
  <si>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</si>
  <si>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</si>
  <si>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</si>
  <si>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</si>
  <si>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</si>
  <si>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</si>
  <si>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</si>
  <si>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</si>
  <si>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</si>
  <si>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</si>
  <si>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</si>
  <si>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</si>
  <si>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</si>
  <si>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</si>
  <si>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</si>
  <si>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</si>
  <si>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</si>
  <si>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</si>
  <si>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</si>
  <si>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</si>
  <si>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</si>
  <si>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</si>
  <si>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</si>
  <si>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</si>
  <si>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</si>
  <si>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</si>
  <si>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</si>
  <si>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</si>
  <si>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</si>
  <si>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</si>
  <si>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</si>
  <si>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</si>
  <si>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</si>
  <si>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</si>
  <si>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</si>
  <si>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</si>
  <si>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</si>
  <si>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</si>
  <si>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</si>
  <si>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</si>
  <si>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</si>
  <si>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</si>
  <si>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</si>
  <si>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</si>
  <si>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</si>
  <si>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</si>
  <si>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</si>
  <si>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</si>
  <si>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</si>
  <si>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</si>
  <si>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</si>
  <si>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</si>
  <si>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</si>
  <si>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</si>
  <si>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</si>
  <si>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</si>
  <si>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</si>
  <si>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</si>
  <si>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</si>
  <si>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</si>
  <si>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</si>
  <si>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</si>
  <si>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</si>
  <si>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</si>
  <si>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</si>
  <si>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</si>
  <si>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</si>
  <si>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</si>
  <si>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</si>
  <si>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</si>
  <si>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</si>
  <si>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</si>
  <si>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</si>
  <si>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</si>
  <si>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</si>
  <si>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</si>
  <si>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</si>
  <si>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</si>
  <si>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</si>
  <si>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</si>
  <si>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</si>
  <si>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</si>
  <si>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</si>
  <si>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</si>
  <si>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</si>
  <si>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</si>
  <si>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</si>
  <si>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</si>
  <si>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</si>
  <si>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</si>
  <si>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</si>
  <si>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</si>
  <si>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</si>
  <si>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</si>
  <si>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</si>
  <si>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</si>
  <si>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</si>
  <si>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</si>
  <si>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</si>
  <si>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</si>
  <si>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</si>
  <si>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</si>
  <si>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</si>
  <si>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</si>
  <si>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</si>
  <si>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</si>
  <si>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</si>
  <si>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</si>
  <si>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</si>
  <si>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</si>
  <si>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</si>
  <si>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</si>
  <si>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</si>
  <si>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</si>
  <si>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</si>
  <si>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</si>
  <si>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</si>
  <si>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</si>
  <si>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</si>
  <si>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</si>
  <si>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</si>
  <si>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</si>
  <si>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</si>
  <si>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</si>
  <si>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</si>
  <si>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</si>
  <si>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</si>
  <si>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</si>
  <si>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</si>
  <si>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</si>
  <si>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</si>
  <si>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</si>
  <si>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</si>
  <si>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</si>
  <si>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</si>
  <si>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</si>
  <si>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</si>
  <si>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</si>
  <si>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</si>
  <si>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</si>
  <si>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</si>
  <si>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</si>
  <si>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</si>
  <si>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</si>
  <si>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</si>
  <si>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</si>
  <si>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</si>
  <si>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</si>
  <si>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</si>
  <si>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</si>
  <si>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</si>
  <si>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</si>
  <si>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</si>
  <si>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</si>
  <si>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</si>
  <si>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</si>
  <si>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</si>
  <si>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</si>
  <si>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</si>
  <si>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</si>
  <si>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</si>
  <si>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</si>
  <si>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</si>
  <si>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</si>
  <si>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</si>
  <si>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</si>
  <si>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</si>
  <si>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</si>
  <si>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</si>
  <si>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</si>
  <si>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</si>
  <si>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</si>
  <si>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</si>
  <si>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</si>
  <si>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</si>
  <si>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</si>
  <si>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</si>
  <si>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</si>
  <si>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</si>
  <si>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</si>
  <si>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</si>
  <si>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</si>
  <si>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</si>
  <si>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</si>
  <si>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</si>
  <si>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</si>
  <si>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</si>
  <si>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</si>
  <si>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</si>
  <si>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</si>
  <si>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</si>
  <si>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</si>
  <si>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</si>
  <si>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</si>
  <si>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</si>
  <si>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</si>
  <si>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</si>
  <si>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</si>
  <si>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</si>
  <si>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</si>
  <si>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</si>
  <si>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</si>
  <si>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</si>
  <si>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</si>
  <si>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</si>
  <si>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</si>
  <si>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</si>
  <si>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</si>
  <si>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</si>
  <si>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</si>
  <si>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</si>
  <si>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</si>
  <si>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</si>
  <si>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</si>
  <si>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</si>
  <si>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</si>
  <si>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</si>
  <si>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</si>
  <si>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</si>
  <si>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</si>
  <si>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</si>
  <si>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</si>
  <si>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</si>
  <si>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</si>
  <si>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</si>
  <si>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</si>
  <si>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</si>
  <si>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</si>
  <si>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</si>
  <si>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</si>
  <si>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</si>
  <si>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</si>
  <si>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</si>
  <si>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</si>
  <si>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</si>
  <si>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</si>
  <si>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</si>
  <si>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</si>
  <si>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</si>
  <si>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</si>
  <si>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</si>
  <si>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</si>
  <si>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</si>
  <si>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</si>
  <si>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</si>
  <si>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</si>
  <si>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</si>
  <si>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</si>
  <si>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</si>
  <si>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</si>
  <si>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</si>
  <si>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</si>
  <si>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</si>
  <si>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</si>
  <si>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</si>
  <si>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</si>
  <si>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</si>
  <si>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</si>
  <si>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</si>
  <si>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</si>
  <si>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</si>
  <si>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</si>
  <si>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</si>
  <si>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</si>
  <si>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</si>
  <si>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</si>
  <si>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</si>
  <si>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</si>
  <si>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</si>
  <si>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</si>
  <si>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</si>
  <si>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</si>
  <si>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</si>
  <si>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</si>
  <si>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</si>
  <si>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</si>
  <si>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</si>
  <si>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</si>
  <si>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</si>
  <si>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</si>
  <si>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</si>
  <si>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</si>
  <si>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</si>
  <si>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</si>
  <si>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</si>
  <si>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</si>
  <si>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</si>
  <si>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</si>
  <si>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</si>
  <si>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</si>
  <si>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</si>
  <si>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</si>
  <si>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</si>
  <si>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</si>
  <si>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</si>
  <si>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</si>
  <si>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</si>
  <si>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</si>
  <si>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</si>
  <si>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</si>
  <si>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</si>
  <si>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</si>
  <si>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</si>
  <si>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</si>
  <si>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</si>
  <si>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</si>
  <si>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</si>
  <si>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</si>
  <si>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</si>
  <si>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</si>
  <si>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</si>
  <si>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</si>
  <si>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</si>
  <si>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</si>
  <si>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</si>
  <si>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</si>
  <si>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</si>
  <si>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</si>
  <si>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</si>
  <si>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</si>
  <si>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</si>
  <si>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</si>
  <si>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</si>
  <si>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</si>
  <si>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</si>
  <si>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</si>
  <si>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</si>
  <si>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</si>
  <si>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</si>
  <si>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</si>
  <si>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</si>
  <si>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</si>
  <si>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</si>
  <si>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</si>
  <si>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</si>
  <si>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</si>
  <si>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</si>
  <si>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</si>
  <si>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</si>
  <si>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</si>
  <si>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</si>
  <si>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</si>
  <si>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</si>
  <si>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</si>
  <si>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</si>
  <si>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</si>
  <si>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</si>
  <si>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</si>
  <si>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</si>
  <si>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</si>
  <si>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</si>
  <si>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</si>
  <si>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</si>
  <si>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</si>
  <si>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</si>
  <si>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</si>
  <si>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</si>
  <si>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</si>
  <si>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</si>
  <si>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</si>
  <si>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</si>
  <si>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</si>
  <si>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</si>
  <si>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</si>
  <si>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</si>
  <si>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</si>
  <si>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</si>
  <si>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</si>
  <si>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</si>
  <si>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</si>
  <si>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</si>
  <si>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</si>
  <si>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</si>
  <si>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</si>
  <si>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</si>
  <si>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</si>
  <si>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</si>
  <si>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</si>
  <si>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</si>
  <si>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</si>
  <si>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</si>
  <si>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</si>
  <si>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</si>
  <si>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</si>
  <si>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</si>
  <si>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</si>
  <si>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</si>
  <si>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</si>
  <si>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</si>
  <si>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</si>
  <si>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</si>
  <si>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</si>
  <si>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</si>
  <si>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</si>
  <si>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</si>
  <si>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</si>
  <si>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</si>
  <si>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</si>
  <si>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</si>
  <si>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</si>
  <si>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</si>
  <si>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</si>
  <si>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</si>
  <si>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</si>
  <si>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</si>
  <si>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</si>
  <si>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</si>
  <si>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</si>
  <si>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</si>
  <si>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</si>
  <si>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</si>
  <si>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</si>
  <si>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</si>
  <si>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</si>
  <si>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</si>
  <si>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</si>
  <si>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</si>
  <si>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</si>
  <si>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</si>
  <si>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</si>
  <si>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</si>
  <si>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</si>
  <si>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</si>
  <si>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</si>
  <si>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</si>
  <si>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</si>
  <si>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</si>
  <si>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</si>
  <si>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</si>
  <si>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</si>
  <si>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</si>
  <si>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</si>
  <si>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</si>
  <si>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</si>
  <si>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</si>
  <si>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</si>
  <si>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</si>
  <si>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</si>
  <si>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</si>
  <si>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</si>
  <si>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</si>
  <si>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</si>
  <si>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</si>
  <si>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</si>
  <si>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</si>
  <si>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</si>
  <si>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</si>
  <si>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</si>
  <si>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</si>
  <si>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</si>
  <si>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</si>
  <si>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</si>
  <si>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</si>
  <si>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</si>
  <si>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</si>
  <si>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</si>
  <si>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</si>
  <si>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</si>
  <si>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</si>
  <si>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</si>
  <si>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</si>
  <si>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</si>
  <si>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</si>
  <si>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</si>
  <si>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</si>
  <si>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</si>
  <si>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</si>
  <si>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</si>
  <si>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</si>
  <si>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</si>
  <si>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</si>
  <si>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</si>
  <si>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</si>
  <si>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</si>
  <si>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</si>
  <si>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</si>
  <si>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</si>
  <si>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</si>
  <si>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</si>
  <si>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</si>
  <si>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</si>
  <si>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</si>
  <si>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</si>
  <si>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</si>
  <si>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</si>
  <si>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</si>
  <si>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</si>
  <si>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</si>
  <si>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</si>
  <si>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</si>
  <si>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</si>
  <si>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</si>
  <si>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</si>
  <si>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</si>
  <si>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</si>
  <si>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</si>
  <si>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</si>
  <si>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</si>
  <si>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</si>
  <si>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</si>
  <si>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</si>
  <si>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</si>
  <si>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</si>
  <si>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</si>
  <si>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</si>
  <si>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</si>
  <si>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</si>
  <si>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</si>
  <si>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</si>
  <si>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</si>
  <si>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</si>
  <si>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</si>
  <si>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</si>
  <si>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</si>
  <si>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</si>
  <si>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</si>
  <si>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</si>
  <si>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</si>
  <si>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</si>
  <si>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</si>
  <si>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</si>
  <si>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</si>
  <si>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</si>
  <si>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</si>
  <si>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</si>
  <si>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</si>
  <si>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</si>
  <si>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</si>
  <si>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</si>
  <si>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</si>
  <si>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</si>
  <si>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</si>
  <si>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</si>
  <si>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</si>
  <si>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</si>
  <si>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</si>
  <si>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</si>
  <si>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</si>
  <si>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</si>
  <si>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</si>
  <si>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</si>
  <si>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</si>
  <si>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</si>
  <si>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</si>
  <si>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</si>
  <si>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</si>
  <si>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</si>
  <si>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</si>
  <si>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</si>
  <si>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</si>
  <si>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</si>
  <si>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</si>
  <si>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</si>
  <si>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</si>
  <si>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</si>
  <si>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</si>
  <si>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</si>
  <si>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</si>
  <si>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</si>
  <si>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</si>
  <si>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</si>
  <si>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</si>
  <si>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</si>
  <si>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</si>
  <si>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</si>
  <si>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</si>
  <si>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</si>
  <si>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</si>
  <si>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</si>
  <si>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</si>
  <si>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</si>
  <si>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</si>
  <si>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</si>
  <si>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</si>
  <si>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</si>
  <si>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</si>
  <si>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</si>
  <si>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</si>
  <si>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</si>
  <si>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</si>
  <si>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</si>
  <si>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</si>
  <si>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</si>
  <si>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</si>
  <si>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</si>
  <si>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</si>
  <si>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</si>
  <si>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</si>
  <si>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</si>
  <si>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</si>
  <si>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</si>
  <si>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</si>
  <si>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</si>
  <si>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</si>
  <si>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</si>
  <si>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</si>
  <si>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</si>
  <si>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</si>
  <si>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</si>
  <si>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</si>
  <si>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</si>
  <si>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</si>
  <si>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</si>
  <si>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</si>
  <si>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</si>
  <si>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</si>
  <si>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</si>
  <si>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</si>
  <si>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</si>
  <si>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</si>
  <si>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</si>
  <si>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</si>
  <si>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</si>
  <si>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</si>
  <si>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</si>
  <si>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</si>
  <si>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</si>
  <si>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</si>
  <si>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</si>
  <si>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</si>
  <si>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</si>
  <si>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</si>
  <si>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</si>
  <si>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</si>
  <si>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</si>
  <si>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</si>
  <si>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</si>
  <si>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</si>
  <si>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</si>
  <si>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</si>
  <si>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</si>
  <si>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</si>
  <si>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</si>
  <si>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</si>
  <si>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</si>
  <si>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</si>
  <si>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</si>
  <si>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</si>
  <si>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</si>
  <si>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</si>
  <si>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</si>
  <si>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</si>
  <si>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</si>
  <si>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</si>
  <si>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</si>
  <si>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</si>
  <si>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</si>
  <si>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</si>
  <si>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</si>
  <si>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</si>
  <si>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</si>
  <si>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</si>
  <si>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</si>
  <si>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</si>
  <si>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</si>
  <si>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</si>
  <si>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</si>
  <si>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</si>
  <si>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</si>
  <si>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</si>
  <si>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</si>
  <si>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</si>
  <si>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</si>
  <si>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</si>
  <si>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</si>
  <si>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</si>
  <si>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</si>
  <si>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</si>
  <si>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</si>
  <si>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</si>
  <si>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</si>
  <si>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</si>
  <si>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</si>
  <si>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</si>
  <si>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</si>
  <si>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</si>
  <si>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</si>
  <si>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</si>
  <si>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</si>
  <si>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</si>
  <si>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</si>
  <si>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</si>
  <si>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</si>
  <si>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</si>
  <si>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</si>
  <si>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</si>
  <si>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</si>
  <si>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</si>
  <si>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</si>
  <si>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</si>
  <si>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</si>
  <si>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</si>
  <si>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</si>
  <si>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</si>
  <si>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</si>
  <si>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</si>
  <si>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</si>
  <si>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</si>
  <si>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</si>
  <si>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</si>
  <si>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</si>
  <si>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</si>
  <si>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</si>
  <si>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</si>
  <si>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</si>
  <si>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</si>
  <si>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</si>
  <si>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</si>
  <si>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</si>
  <si>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</si>
  <si>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</si>
  <si>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</si>
  <si>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</si>
  <si>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</si>
  <si>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</si>
  <si>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</si>
  <si>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</si>
  <si>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</si>
  <si>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</si>
  <si>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</si>
  <si>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</si>
  <si>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</si>
  <si>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</si>
  <si>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</si>
  <si>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</si>
  <si>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</si>
  <si>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</si>
  <si>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</si>
  <si>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</si>
  <si>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</si>
  <si>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</si>
  <si>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</si>
  <si>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</si>
  <si>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</si>
  <si>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</si>
  <si>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</si>
  <si>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</si>
  <si>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</si>
  <si>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</si>
  <si>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</si>
  <si>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</si>
  <si>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</si>
  <si>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</si>
  <si>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</si>
  <si>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</si>
  <si>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</si>
  <si>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</si>
  <si>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</si>
  <si>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</si>
  <si>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</si>
  <si>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</si>
  <si>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</si>
  <si>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</si>
  <si>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</si>
  <si>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</si>
  <si>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</si>
  <si>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</si>
  <si>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</si>
  <si>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</si>
  <si>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</si>
  <si>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</si>
  <si>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</si>
  <si>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</si>
  <si>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</si>
  <si>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</si>
  <si>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</si>
  <si>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</si>
  <si>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</si>
  <si>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</si>
  <si>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</si>
  <si>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</si>
  <si>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</si>
  <si>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</si>
  <si>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</si>
  <si>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</si>
  <si>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</si>
  <si>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</si>
  <si>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</si>
  <si>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</si>
  <si>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</si>
  <si>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</si>
  <si>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</si>
  <si>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</si>
  <si>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</si>
  <si>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</si>
  <si>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</si>
  <si>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</si>
  <si>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</si>
  <si>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</si>
  <si>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</si>
  <si>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</si>
  <si>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</si>
  <si>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</si>
  <si>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</si>
  <si>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</si>
  <si>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</si>
  <si>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</si>
  <si>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</si>
  <si>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</si>
  <si>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</si>
  <si>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</si>
  <si>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</si>
  <si>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</si>
  <si>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</si>
  <si>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</si>
  <si>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</si>
  <si>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</si>
  <si>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</si>
  <si>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</si>
  <si>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</si>
  <si>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</si>
  <si>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</si>
  <si>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</si>
  <si>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</si>
  <si>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</si>
  <si>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</si>
  <si>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</si>
  <si>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</si>
  <si>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</si>
  <si>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</si>
  <si>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</si>
  <si>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</si>
  <si>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</si>
  <si>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</si>
  <si>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</si>
  <si>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</si>
  <si>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</si>
  <si>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</si>
  <si>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</si>
  <si>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</si>
  <si>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</si>
  <si>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</si>
  <si>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</si>
  <si>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</si>
  <si>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</si>
  <si>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</si>
  <si>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</si>
  <si>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</si>
  <si>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</si>
  <si>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</si>
  <si>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</si>
  <si>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</si>
  <si>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</si>
  <si>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</si>
  <si>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</si>
  <si>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</si>
  <si>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</si>
  <si>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</si>
  <si>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</si>
  <si>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</si>
  <si>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</si>
  <si>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</si>
  <si>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</si>
  <si>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</si>
  <si>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</si>
  <si>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</si>
  <si>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</si>
  <si>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</si>
  <si>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</si>
  <si>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</si>
  <si>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</si>
  <si>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</si>
  <si>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</si>
  <si>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</si>
  <si>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</si>
  <si>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</si>
  <si>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</si>
  <si>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</si>
  <si>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</si>
  <si>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</si>
  <si>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</si>
  <si>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</si>
  <si>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</si>
  <si>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</si>
  <si>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</si>
  <si>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</si>
  <si>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</si>
  <si>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</si>
  <si>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</si>
  <si>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</si>
  <si>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</si>
  <si>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</si>
  <si>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</si>
  <si>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</si>
  <si>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</si>
  <si>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</si>
  <si>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</si>
  <si>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</si>
  <si>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</si>
  <si>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</si>
  <si>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</si>
  <si>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</si>
  <si>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</si>
  <si>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</si>
  <si>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</si>
  <si>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</si>
  <si>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</si>
  <si>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</si>
  <si>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</si>
  <si>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</si>
  <si>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</si>
  <si>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</si>
  <si>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</si>
  <si>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</si>
  <si>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</si>
  <si>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</si>
  <si>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</si>
  <si>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</si>
  <si>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</si>
  <si>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</si>
  <si>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</si>
  <si>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</si>
  <si>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</si>
  <si>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</si>
  <si>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</si>
  <si>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</si>
  <si>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</si>
  <si>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</si>
  <si>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</si>
  <si>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</si>
  <si>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</si>
  <si>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</si>
  <si>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</si>
  <si>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</si>
  <si>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</si>
  <si>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</si>
  <si>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</si>
  <si>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</si>
  <si>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</si>
  <si>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</si>
  <si>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</si>
  <si>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</si>
  <si>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</si>
  <si>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</si>
  <si>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</si>
  <si>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</si>
  <si>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</si>
  <si>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</si>
  <si>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</si>
  <si>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</si>
  <si>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</si>
  <si>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</si>
  <si>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</si>
  <si>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</si>
  <si>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</si>
  <si>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</si>
  <si>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</si>
  <si>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</si>
  <si>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</si>
  <si>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</si>
  <si>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</si>
  <si>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</si>
  <si>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</si>
  <si>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</si>
  <si>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</si>
  <si>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</si>
  <si>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</si>
  <si>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</si>
  <si>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</si>
  <si>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</si>
  <si>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</si>
  <si>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</si>
  <si>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</si>
  <si>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</si>
  <si>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</si>
  <si>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</si>
  <si>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</si>
  <si>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</si>
  <si>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</si>
  <si>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</si>
  <si>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</si>
  <si>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</si>
  <si>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</si>
  <si>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</si>
  <si>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</si>
  <si>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</si>
  <si>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</si>
  <si>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</si>
  <si>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</si>
  <si>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</si>
  <si>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</si>
  <si>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</si>
  <si>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</si>
  <si>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</si>
  <si>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</si>
  <si>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</si>
  <si>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</si>
  <si>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</si>
  <si>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</si>
  <si>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</si>
  <si>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</si>
  <si>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</si>
  <si>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</si>
  <si>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</si>
  <si>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</si>
  <si>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</si>
  <si>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</si>
  <si>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</si>
  <si>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</si>
  <si>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</si>
  <si>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</si>
  <si>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</si>
  <si>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</si>
  <si>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</si>
  <si>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</si>
  <si>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</si>
  <si>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</si>
  <si>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</si>
  <si>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</si>
  <si>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</si>
  <si>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</si>
  <si>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</si>
  <si>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</si>
  <si>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</si>
  <si>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</si>
  <si>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</si>
  <si>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</si>
  <si>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</si>
  <si>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</si>
  <si>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</si>
  <si>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</si>
  <si>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</si>
  <si>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</si>
  <si>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</si>
  <si>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</si>
  <si>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</si>
  <si>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</si>
  <si>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</si>
  <si>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</si>
  <si>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</si>
  <si>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</si>
  <si>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</si>
  <si>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</si>
  <si>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</si>
  <si>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</si>
  <si>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</si>
  <si>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</si>
  <si>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</si>
  <si>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</si>
  <si>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</si>
  <si>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</si>
  <si>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</si>
  <si>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</si>
  <si>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</si>
  <si>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</si>
  <si>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</si>
  <si>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</si>
  <si>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</si>
  <si>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</si>
  <si>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</si>
  <si>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</si>
  <si>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</si>
  <si>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</si>
  <si>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</si>
  <si>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</si>
  <si>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</si>
  <si>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</si>
  <si>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</si>
  <si>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</si>
  <si>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</si>
  <si>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</si>
  <si>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</si>
  <si>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</si>
  <si>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</si>
  <si>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</si>
  <si>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</si>
  <si>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</si>
  <si>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</si>
  <si>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</si>
  <si>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</si>
  <si>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</si>
  <si>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</si>
  <si>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</si>
  <si>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</si>
  <si>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</si>
  <si>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</si>
  <si>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</si>
  <si>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</si>
  <si>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</si>
  <si>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</si>
  <si>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</si>
  <si>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</si>
  <si>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</si>
  <si>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</si>
  <si>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</si>
  <si>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</si>
  <si>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</si>
  <si>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</si>
  <si>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</si>
  <si>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</si>
  <si>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</si>
  <si>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</si>
  <si>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</si>
  <si>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</si>
  <si>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</si>
  <si>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</si>
  <si>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</si>
  <si>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</si>
  <si>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</si>
  <si>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</si>
  <si>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</si>
  <si>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</si>
  <si>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</si>
  <si>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</si>
  <si>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</si>
  <si>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</si>
  <si>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</si>
  <si>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</si>
  <si>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</si>
  <si>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</si>
  <si>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</si>
  <si>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</si>
  <si>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</si>
  <si>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</si>
  <si>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</si>
  <si>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</si>
  <si>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</si>
  <si>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</si>
  <si>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</si>
  <si>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</si>
  <si>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</si>
  <si>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</si>
  <si>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</si>
  <si>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</si>
  <si>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</si>
  <si>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</si>
  <si>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</si>
  <si>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</si>
  <si>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</si>
  <si>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</si>
  <si>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</si>
  <si>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</si>
  <si>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</si>
  <si>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</si>
  <si>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</si>
  <si>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</si>
  <si>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</si>
  <si>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</si>
  <si>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</si>
  <si>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</si>
  <si>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</si>
  <si>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</si>
  <si>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</si>
  <si>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</si>
  <si>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</si>
  <si>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</si>
  <si>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</si>
  <si>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</si>
  <si>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</si>
  <si>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</si>
  <si>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</si>
  <si>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</si>
  <si>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</si>
  <si>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</si>
  <si>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</si>
  <si>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</si>
  <si>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</si>
  <si>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</si>
  <si>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</si>
  <si>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</si>
  <si>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</si>
  <si>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</si>
  <si>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</si>
  <si>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</si>
  <si>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</si>
  <si>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</si>
  <si>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</si>
  <si>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</si>
  <si>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</si>
  <si>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</si>
  <si>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</si>
  <si>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</si>
  <si>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</si>
  <si>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</si>
  <si>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</si>
  <si>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</si>
  <si>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</si>
  <si>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</si>
  <si>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</si>
  <si>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</si>
  <si>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</si>
  <si>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</si>
  <si>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</si>
  <si>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</si>
  <si>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</si>
  <si>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</si>
  <si>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</si>
  <si>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</si>
  <si>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</si>
  <si>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</si>
  <si>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</si>
  <si>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</si>
  <si>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</si>
  <si>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</si>
  <si>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</si>
  <si>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</si>
  <si>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</si>
  <si>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</si>
  <si>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</si>
  <si>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</si>
  <si>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</si>
  <si>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</si>
  <si>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</si>
  <si>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</si>
  <si>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</si>
  <si>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</si>
  <si>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</si>
  <si>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</si>
  <si>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</si>
  <si>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</si>
  <si>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</si>
  <si>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</si>
  <si>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</si>
  <si>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</si>
  <si>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</si>
  <si>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</si>
  <si>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</si>
  <si>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</si>
  <si>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</si>
  <si>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</si>
  <si>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</si>
  <si>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</si>
  <si>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</si>
  <si>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</si>
  <si>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</si>
  <si>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</si>
  <si>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</si>
  <si>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</si>
  <si>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</si>
  <si>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</si>
  <si>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</si>
  <si>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</si>
  <si>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</si>
  <si>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</si>
  <si>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</si>
  <si>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</si>
  <si>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</si>
  <si>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</si>
  <si>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</si>
  <si>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</si>
  <si>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</si>
  <si>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</si>
  <si>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</si>
  <si>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</si>
  <si>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</si>
  <si>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</si>
  <si>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</si>
  <si>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</si>
  <si>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</si>
  <si>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</si>
  <si>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</si>
  <si>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</si>
  <si>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</si>
  <si>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</si>
  <si>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</si>
  <si>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</si>
  <si>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</si>
  <si>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</si>
  <si>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</si>
  <si>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</si>
  <si>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</si>
  <si>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</si>
  <si>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</si>
  <si>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</si>
  <si>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</si>
  <si>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</si>
  <si>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</si>
  <si>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</si>
  <si>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</si>
  <si>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</si>
  <si>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</si>
  <si>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</si>
  <si>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</si>
  <si>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</si>
  <si>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</si>
  <si>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</si>
  <si>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</si>
  <si>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</si>
  <si>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</si>
  <si>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</si>
  <si>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</si>
  <si>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</si>
  <si>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</si>
  <si>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</si>
  <si>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</si>
  <si>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</si>
  <si>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</si>
  <si>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</si>
  <si>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</si>
  <si>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</si>
  <si>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</si>
  <si>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</si>
  <si>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</si>
  <si>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</si>
  <si>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</si>
  <si>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</si>
  <si>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</si>
  <si>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</si>
  <si>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</si>
  <si>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</si>
  <si>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</si>
  <si>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</si>
  <si>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</si>
  <si>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</si>
  <si>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</si>
  <si>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</si>
  <si>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</si>
  <si>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</si>
  <si>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</si>
  <si>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</si>
  <si>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</si>
  <si>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</si>
  <si>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</si>
  <si>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</si>
  <si>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</si>
  <si>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</si>
  <si>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</si>
  <si>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</si>
  <si>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</si>
  <si>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</si>
  <si>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</si>
  <si>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</si>
  <si>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</si>
  <si>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</si>
  <si>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</si>
  <si>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</si>
  <si>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</si>
  <si>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</si>
  <si>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</si>
  <si>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</si>
  <si>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</si>
  <si>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</si>
  <si>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</si>
  <si>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</si>
  <si>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</si>
  <si>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</si>
  <si>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</si>
  <si>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</si>
  <si>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</si>
  <si>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</si>
  <si>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</si>
  <si>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</si>
  <si>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</si>
  <si>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</si>
  <si>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</si>
  <si>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</si>
  <si>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</si>
  <si>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</si>
  <si>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</si>
  <si>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</si>
  <si>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</si>
  <si>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</si>
  <si>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</si>
  <si>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</si>
  <si>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</si>
  <si>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</si>
  <si>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</si>
  <si>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</si>
  <si>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</si>
  <si>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</si>
  <si>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</si>
  <si>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</si>
  <si>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</si>
  <si>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</si>
  <si>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</si>
  <si>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</si>
  <si>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</si>
  <si>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</si>
  <si>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</si>
  <si>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</si>
  <si>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</si>
  <si>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</si>
  <si>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</si>
  <si>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</si>
  <si>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</si>
  <si>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</si>
  <si>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</si>
  <si>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</si>
  <si>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</si>
  <si>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</si>
  <si>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</si>
  <si>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</si>
  <si>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</si>
  <si>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</si>
  <si>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</si>
  <si>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</si>
  <si>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</si>
  <si>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</si>
  <si>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</si>
  <si>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</si>
  <si>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</si>
  <si>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</si>
  <si>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</si>
  <si>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</si>
  <si>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</si>
  <si>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</si>
  <si>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</si>
  <si>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</si>
  <si>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</si>
  <si>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</si>
  <si>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</si>
  <si>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</si>
  <si>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</si>
  <si>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</si>
  <si>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</si>
  <si>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</si>
  <si>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</si>
  <si>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</si>
  <si>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</si>
  <si>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</si>
  <si>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</si>
  <si>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</si>
  <si>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</si>
  <si>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</si>
  <si>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</si>
  <si>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</si>
  <si>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</si>
  <si>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</si>
  <si>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</si>
  <si>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</si>
  <si>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</si>
  <si>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</si>
  <si>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</si>
  <si>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</si>
  <si>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</si>
  <si>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</si>
  <si>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</si>
  <si>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</si>
  <si>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</si>
  <si>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</si>
  <si>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</si>
  <si>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</si>
  <si>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</si>
  <si>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</si>
  <si>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</si>
  <si>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</si>
  <si>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</si>
  <si>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</si>
  <si>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</si>
  <si>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</si>
  <si>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</si>
  <si>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</si>
  <si>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</si>
  <si>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</si>
  <si>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</si>
  <si>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</si>
  <si>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</si>
  <si>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</si>
  <si>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</si>
  <si>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</si>
  <si>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</si>
  <si>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</si>
  <si>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</si>
  <si>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</si>
  <si>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</si>
  <si>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</si>
  <si>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</si>
  <si>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</si>
  <si>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</si>
  <si>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</si>
  <si>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</si>
  <si>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</si>
  <si>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</si>
  <si>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</si>
  <si>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</si>
  <si>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</si>
  <si>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</si>
  <si>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</si>
  <si>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</si>
  <si>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</si>
  <si>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</si>
  <si>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</si>
  <si>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</si>
  <si>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</si>
  <si>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</si>
  <si>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</si>
  <si>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</si>
  <si>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</si>
  <si>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</si>
  <si>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</si>
  <si>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</si>
  <si>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</si>
  <si>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</si>
  <si>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</si>
  <si>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</si>
  <si>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</si>
  <si>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</si>
  <si>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</si>
  <si>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</si>
  <si>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</si>
  <si>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</si>
  <si>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</si>
  <si>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</si>
  <si>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</si>
  <si>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</si>
  <si>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</si>
  <si>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</si>
  <si>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</si>
  <si>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</si>
  <si>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</si>
  <si>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</si>
  <si>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</si>
  <si>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</si>
  <si>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</si>
  <si>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</si>
  <si>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</si>
  <si>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</si>
  <si>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</si>
  <si>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</si>
  <si>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</si>
  <si>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</si>
  <si>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</si>
  <si>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</si>
  <si>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</si>
  <si>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</si>
  <si>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</si>
  <si>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</si>
  <si>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</si>
  <si>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</si>
  <si>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</si>
  <si>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</si>
  <si>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</si>
  <si>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</si>
  <si>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</si>
  <si>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</si>
  <si>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</si>
  <si>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</si>
  <si>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</si>
  <si>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</si>
  <si>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</si>
  <si>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</si>
  <si>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</si>
  <si>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</si>
  <si>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</si>
  <si>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</si>
  <si>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</si>
  <si>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</si>
  <si>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</si>
  <si>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</si>
  <si>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</si>
  <si>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</si>
  <si>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</si>
  <si>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</si>
  <si>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</si>
  <si>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</si>
  <si>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</si>
  <si>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</si>
  <si>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</si>
  <si>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</si>
  <si>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</si>
  <si>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</si>
  <si>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</si>
  <si>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</si>
  <si>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</si>
  <si>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</si>
  <si>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</si>
  <si>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</si>
  <si>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</si>
  <si>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</si>
  <si>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</si>
  <si>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</si>
  <si>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</si>
  <si>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</si>
  <si>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</si>
  <si>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</si>
  <si>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</si>
  <si>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</si>
  <si>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</si>
  <si>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</si>
  <si>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</si>
  <si>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</si>
  <si>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</si>
  <si>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</si>
  <si>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</si>
  <si>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</si>
  <si>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</si>
  <si>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</si>
  <si>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</si>
  <si>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</si>
  <si>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</si>
  <si>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</si>
  <si>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</si>
  <si>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</si>
  <si>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</si>
  <si>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</si>
  <si>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</si>
  <si>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</si>
  <si>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</si>
  <si>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</si>
  <si>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</si>
  <si>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</si>
  <si>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</si>
  <si>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</si>
  <si>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</si>
  <si>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</si>
  <si>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</si>
  <si>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</si>
  <si>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</si>
  <si>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</si>
  <si>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</si>
  <si>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</si>
  <si>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</si>
  <si>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</si>
  <si>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</si>
  <si>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</si>
  <si>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</si>
  <si>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</si>
  <si>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</si>
  <si>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</si>
  <si>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</si>
  <si>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</si>
  <si>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</si>
  <si>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</si>
  <si>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</si>
  <si>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</si>
  <si>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</si>
  <si>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</si>
  <si>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</si>
  <si>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</si>
  <si>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</si>
  <si>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</si>
  <si>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</si>
  <si>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</si>
  <si>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</si>
  <si>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</si>
  <si>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</si>
  <si>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</si>
  <si>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</si>
  <si>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</si>
  <si>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</si>
  <si>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</si>
  <si>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</si>
  <si>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</si>
  <si>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</si>
  <si>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</si>
  <si>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</si>
  <si>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</si>
  <si>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</si>
  <si>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</si>
  <si>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</si>
  <si>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</si>
  <si>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</si>
  <si>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</si>
  <si>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</si>
  <si>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</si>
  <si>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</si>
  <si>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</si>
  <si>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</si>
  <si>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</si>
  <si>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</si>
  <si>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</si>
  <si>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</si>
  <si>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</si>
  <si>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</si>
  <si>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</si>
  <si>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</si>
  <si>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</si>
  <si>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</si>
  <si>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</si>
  <si>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</si>
  <si>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</si>
  <si>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</si>
  <si>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</si>
  <si>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</si>
  <si>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</si>
  <si>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</si>
  <si>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</si>
  <si>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</si>
  <si>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</si>
  <si>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</si>
  <si>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</si>
  <si>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</si>
  <si>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</si>
  <si>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</si>
  <si>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</si>
  <si>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</si>
  <si>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</si>
  <si>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</si>
  <si>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</si>
  <si>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</si>
  <si>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</si>
  <si>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</si>
  <si>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</si>
  <si>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</si>
  <si>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</si>
  <si>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</si>
  <si>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</si>
  <si>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</si>
  <si>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</si>
  <si>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</si>
  <si>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</si>
  <si>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</si>
  <si>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</si>
  <si>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</si>
  <si>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</si>
  <si>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</si>
  <si>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</si>
  <si>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</si>
  <si>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</si>
  <si>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</si>
  <si>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</si>
  <si>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</si>
  <si>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</si>
  <si>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</si>
  <si>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</si>
  <si>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</si>
  <si>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</si>
  <si>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</si>
  <si>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</si>
  <si>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</si>
  <si>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</si>
  <si>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</si>
  <si>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</si>
  <si>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</si>
  <si>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</si>
  <si>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</si>
  <si>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</si>
  <si>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</si>
  <si>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</si>
  <si>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</si>
  <si>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</si>
  <si>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</si>
  <si>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</si>
  <si>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</si>
  <si>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</si>
  <si>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</si>
  <si>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</si>
  <si>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</si>
  <si>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</si>
  <si>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</si>
  <si>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</si>
  <si>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</si>
  <si>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</si>
  <si>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</si>
  <si>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</si>
  <si>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</si>
  <si>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</si>
  <si>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</si>
  <si>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</si>
  <si>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</si>
  <si>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</si>
  <si>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</si>
  <si>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</si>
  <si>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</si>
  <si>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</si>
  <si>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</si>
  <si>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</si>
  <si>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</si>
  <si>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</si>
  <si>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</si>
  <si>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</si>
  <si>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</si>
  <si>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</si>
  <si>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</si>
  <si>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</si>
  <si>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</si>
  <si>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</si>
  <si>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</si>
  <si>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</si>
  <si>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</si>
  <si>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</si>
  <si>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</si>
  <si>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</si>
  <si>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</si>
  <si>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</si>
  <si>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</si>
  <si>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</si>
  <si>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</si>
  <si>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</si>
  <si>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</si>
  <si>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</si>
  <si>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</si>
  <si>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</si>
  <si>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</si>
  <si>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</si>
  <si>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</si>
  <si>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</si>
  <si>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</si>
  <si>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</si>
  <si>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</si>
  <si>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</si>
  <si>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</si>
  <si>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</si>
  <si>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</si>
  <si>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</si>
  <si>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</si>
  <si>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</si>
  <si>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</si>
  <si>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</si>
  <si>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</si>
  <si>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</si>
  <si>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</si>
  <si>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</si>
  <si>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</si>
  <si>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</si>
  <si>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</si>
  <si>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</si>
  <si>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</si>
  <si>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</si>
  <si>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</si>
  <si>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</si>
  <si>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</si>
  <si>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</si>
  <si>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</si>
  <si>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</si>
  <si>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</si>
  <si>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</si>
  <si>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</si>
  <si>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</si>
  <si>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</si>
  <si>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</si>
  <si>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</si>
  <si>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</si>
  <si>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</si>
  <si>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</si>
  <si>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</si>
  <si>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</si>
  <si>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</si>
  <si>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</si>
  <si>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</si>
  <si>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</si>
  <si>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</si>
  <si>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</si>
  <si>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</si>
  <si>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</si>
  <si>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</si>
  <si>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</si>
  <si>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</si>
  <si>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</si>
  <si>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</si>
  <si>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</si>
  <si>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</si>
  <si>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</si>
  <si>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</si>
  <si>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</si>
  <si>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</si>
  <si>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</si>
  <si>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</si>
  <si>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</si>
  <si>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</si>
  <si>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</si>
  <si>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</si>
  <si>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</si>
  <si>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</si>
  <si>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</si>
  <si>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</si>
  <si>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</si>
  <si>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</si>
  <si>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</si>
  <si>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</si>
  <si>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</si>
  <si>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</si>
  <si>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</si>
  <si>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</si>
  <si>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</si>
  <si>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</si>
  <si>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</si>
  <si>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</si>
  <si>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</si>
  <si>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</si>
  <si>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</si>
  <si>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</si>
  <si>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</si>
  <si>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</si>
  <si>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</si>
  <si>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</si>
  <si>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</si>
  <si>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</si>
  <si>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</si>
  <si>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</si>
  <si>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</si>
  <si>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</si>
  <si>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</si>
  <si>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</si>
  <si>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</si>
  <si>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</si>
  <si>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</si>
  <si>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</si>
  <si>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</si>
  <si>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</si>
  <si>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</si>
  <si>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</si>
  <si>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</si>
  <si>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</si>
  <si>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</si>
  <si>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</si>
  <si>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</si>
  <si>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</si>
  <si>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</si>
  <si>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</si>
  <si>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</si>
  <si>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</si>
  <si>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</si>
  <si>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</si>
  <si>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</si>
  <si>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</si>
  <si>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</si>
  <si>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</si>
  <si>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</si>
  <si>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</si>
  <si>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</si>
  <si>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</si>
  <si>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</si>
  <si>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</si>
  <si>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</si>
  <si>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</si>
  <si>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</si>
  <si>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</si>
  <si>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</si>
  <si>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</si>
  <si>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</si>
  <si>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</si>
  <si>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</si>
  <si>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</si>
  <si>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</si>
  <si>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</si>
  <si>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</si>
  <si>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</si>
  <si>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</si>
  <si>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</si>
  <si>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</si>
  <si>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</si>
  <si>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</si>
  <si>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</si>
  <si>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</si>
  <si>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</si>
  <si>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</si>
  <si>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</si>
  <si>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</si>
  <si>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</si>
  <si>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</si>
  <si>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</si>
  <si>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</si>
  <si>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</si>
  <si>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</si>
  <si>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</si>
  <si>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</si>
  <si>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</si>
  <si>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</si>
  <si>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</si>
  <si>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</si>
  <si>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</si>
  <si>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</si>
  <si>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</si>
  <si>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</si>
  <si>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</si>
  <si>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</si>
  <si>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</si>
  <si>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</si>
  <si>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</si>
  <si>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</si>
  <si>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</si>
  <si>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</si>
  <si>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</si>
  <si>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</si>
  <si>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</si>
  <si>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</si>
  <si>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</si>
  <si>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</si>
  <si>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</si>
  <si>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</si>
  <si>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</si>
  <si>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</si>
  <si>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</si>
  <si>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</si>
  <si>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</si>
  <si>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</si>
  <si>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</si>
  <si>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</si>
  <si>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</si>
  <si>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</si>
  <si>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</si>
  <si>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</si>
  <si>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</si>
  <si>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</si>
  <si>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</si>
  <si>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</si>
  <si>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</si>
  <si>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</si>
  <si>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</si>
  <si>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</si>
  <si>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</si>
  <si>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</si>
  <si>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</si>
  <si>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</si>
  <si>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</si>
  <si>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</si>
  <si>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</si>
  <si>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</si>
  <si>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</si>
  <si>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</si>
  <si>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</si>
  <si>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</si>
  <si>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</si>
  <si>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</si>
  <si>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</si>
  <si>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</si>
  <si>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</si>
  <si>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</si>
  <si>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</si>
  <si>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</si>
  <si>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</si>
  <si>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</si>
  <si>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</si>
  <si>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</si>
  <si>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</si>
  <si>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</si>
  <si>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</si>
  <si>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</si>
  <si>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</si>
  <si>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</si>
  <si>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</si>
  <si>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</si>
  <si>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</si>
  <si>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</si>
  <si>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</si>
  <si>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</si>
  <si>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</si>
  <si>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</si>
  <si>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</si>
  <si>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</si>
  <si>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</si>
  <si>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</si>
  <si>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</si>
  <si>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</si>
  <si>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</si>
  <si>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</si>
  <si>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</si>
  <si>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</si>
  <si>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</si>
  <si>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</si>
  <si>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</si>
  <si>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</si>
  <si>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</si>
  <si>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</si>
  <si>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</si>
  <si>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</si>
  <si>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</si>
  <si>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</si>
  <si>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</si>
  <si>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</si>
  <si>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</si>
  <si>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</si>
  <si>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</si>
  <si>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</si>
  <si>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</si>
  <si>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</si>
  <si>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</si>
  <si>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</si>
  <si>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</si>
  <si>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</si>
  <si>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</si>
  <si>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</si>
  <si>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</si>
  <si>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</si>
  <si>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</si>
  <si>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</si>
  <si>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</si>
  <si>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</si>
  <si>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</si>
  <si>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</si>
  <si>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</si>
  <si>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</si>
  <si>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</si>
  <si>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</si>
  <si>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</si>
  <si>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</si>
  <si>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</si>
  <si>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</si>
  <si>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</si>
  <si>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</si>
  <si>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</si>
  <si>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</si>
  <si>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</si>
  <si>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</si>
  <si>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</si>
  <si>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</si>
  <si>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</si>
  <si>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</si>
  <si>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</si>
  <si>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</si>
  <si>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</si>
  <si>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</si>
  <si>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</si>
  <si>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</si>
  <si>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</si>
  <si>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</si>
  <si>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</si>
  <si>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</si>
  <si>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</si>
  <si>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</si>
  <si>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</si>
  <si>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</si>
  <si>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</si>
  <si>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</si>
  <si>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</si>
  <si>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</si>
  <si>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</si>
  <si>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</si>
  <si>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</si>
  <si>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</si>
  <si>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</si>
  <si>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</si>
  <si>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</si>
  <si>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</si>
  <si>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</si>
  <si>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</si>
  <si>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</si>
  <si>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</si>
  <si>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</si>
  <si>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</si>
  <si>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</si>
  <si>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</si>
  <si>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</si>
  <si>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</si>
  <si>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</si>
  <si>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</si>
  <si>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</si>
  <si>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</si>
  <si>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</si>
  <si>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</si>
  <si>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</si>
  <si>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</si>
  <si>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</si>
  <si>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</si>
  <si>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</si>
  <si>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</si>
  <si>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</si>
  <si>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</si>
  <si>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</si>
  <si>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</si>
  <si>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</si>
  <si>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</si>
  <si>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</si>
  <si>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</si>
  <si>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</si>
  <si>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</si>
  <si>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</si>
  <si>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</si>
  <si>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</si>
  <si>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</si>
  <si>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</si>
  <si>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</si>
  <si>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</si>
  <si>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</si>
  <si>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</si>
  <si>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</si>
  <si>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</si>
  <si>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</si>
  <si>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</si>
  <si>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</si>
  <si>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是</t>
  </si>
  <si>
    <t>地下</t>
  </si>
  <si>
    <t>商业</t>
    <phoneticPr fontId="7" type="noConversion"/>
  </si>
  <si>
    <t>成新度</t>
  </si>
  <si>
    <t>收益法 (元)</t>
  </si>
  <si>
    <t>自定义容积率</t>
  </si>
  <si>
    <t>不临65条商业街</t>
  </si>
  <si>
    <t>通路</t>
  </si>
  <si>
    <t>通电</t>
  </si>
  <si>
    <t>通讯</t>
  </si>
  <si>
    <t>通上水</t>
  </si>
  <si>
    <t>通下水</t>
  </si>
  <si>
    <t>平整</t>
  </si>
  <si>
    <t>通热</t>
  </si>
  <si>
    <t>楼层修正</t>
  </si>
  <si>
    <t>一般</t>
  </si>
  <si>
    <t>较好</t>
  </si>
  <si>
    <t>差</t>
  </si>
  <si>
    <t>好</t>
  </si>
  <si>
    <t>未包含在土地购买价格中</t>
  </si>
  <si>
    <t>已包含在土地取得成本中</t>
  </si>
  <si>
    <t>自定义</t>
  </si>
  <si>
    <t>钢混</t>
  </si>
  <si>
    <t>非生产用房</t>
  </si>
  <si>
    <t>否</t>
  </si>
  <si>
    <t>押一</t>
  </si>
  <si>
    <t>楼面单价</t>
  </si>
  <si>
    <t>单套模式</t>
  </si>
  <si>
    <t>售价</t>
  </si>
  <si>
    <t>正常</t>
  </si>
  <si>
    <t>挂牌</t>
  </si>
  <si>
    <t>挂牌</t>
    <phoneticPr fontId="30" type="noConversion"/>
  </si>
  <si>
    <t>商业</t>
    <phoneticPr fontId="30" type="noConversion"/>
  </si>
  <si>
    <t>沿海赛洛城</t>
    <phoneticPr fontId="3" type="noConversion"/>
  </si>
  <si>
    <r>
      <t>30-35</t>
    </r>
    <r>
      <rPr>
        <sz val="11"/>
        <rFont val="宋体"/>
        <family val="3"/>
        <charset val="134"/>
      </rPr>
      <t>（含）</t>
    </r>
    <phoneticPr fontId="30" type="noConversion"/>
  </si>
  <si>
    <r>
      <t>25-30</t>
    </r>
    <r>
      <rPr>
        <sz val="11"/>
        <rFont val="宋体"/>
        <family val="3"/>
        <charset val="134"/>
      </rPr>
      <t>（含）</t>
    </r>
    <phoneticPr fontId="30" type="noConversion"/>
  </si>
  <si>
    <r>
      <t>20-25</t>
    </r>
    <r>
      <rPr>
        <sz val="11"/>
        <rFont val="宋体"/>
        <family val="3"/>
        <charset val="134"/>
      </rPr>
      <t>（含）</t>
    </r>
    <phoneticPr fontId="30" type="noConversion"/>
  </si>
  <si>
    <r>
      <t>20-25</t>
    </r>
    <r>
      <rPr>
        <sz val="11"/>
        <color indexed="8"/>
        <rFont val="宋体"/>
        <family val="3"/>
        <charset val="134"/>
      </rPr>
      <t>（含）</t>
    </r>
    <phoneticPr fontId="30" type="noConversion"/>
  </si>
  <si>
    <r>
      <rPr>
        <sz val="11"/>
        <color indexed="8"/>
        <rFont val="宋体"/>
        <family val="3"/>
        <charset val="134"/>
      </rPr>
      <t>（</t>
    </r>
    <r>
      <rPr>
        <sz val="11"/>
        <color indexed="8"/>
        <rFont val="Arial"/>
        <family val="2"/>
      </rPr>
      <t>-1</t>
    </r>
    <r>
      <rPr>
        <sz val="11"/>
        <color indexed="8"/>
        <rFont val="宋体"/>
        <family val="3"/>
        <charset val="134"/>
      </rPr>
      <t>）</t>
    </r>
    <phoneticPr fontId="30" type="noConversion"/>
  </si>
  <si>
    <r>
      <rPr>
        <sz val="11"/>
        <color indexed="8"/>
        <rFont val="宋体"/>
        <family val="3"/>
        <charset val="134"/>
      </rPr>
      <t>（</t>
    </r>
    <r>
      <rPr>
        <sz val="11"/>
        <color indexed="8"/>
        <rFont val="Arial"/>
        <family val="2"/>
      </rPr>
      <t>-1</t>
    </r>
    <r>
      <rPr>
        <sz val="11"/>
        <color indexed="8"/>
        <rFont val="宋体"/>
        <family val="3"/>
        <charset val="134"/>
      </rPr>
      <t>）</t>
    </r>
    <r>
      <rPr>
        <sz val="11"/>
        <color indexed="8"/>
        <rFont val="Arial"/>
        <family val="2"/>
      </rPr>
      <t>-</t>
    </r>
    <r>
      <rPr>
        <sz val="11"/>
        <color indexed="8"/>
        <rFont val="宋体"/>
        <family val="3"/>
        <charset val="134"/>
      </rPr>
      <t>（</t>
    </r>
    <r>
      <rPr>
        <sz val="11"/>
        <color indexed="8"/>
        <rFont val="Arial"/>
        <family val="2"/>
      </rPr>
      <t>-2</t>
    </r>
    <r>
      <rPr>
        <sz val="11"/>
        <color indexed="8"/>
        <rFont val="宋体"/>
        <family val="3"/>
        <charset val="134"/>
      </rPr>
      <t>）</t>
    </r>
    <phoneticPr fontId="30" type="noConversion"/>
  </si>
  <si>
    <t>七通</t>
  </si>
  <si>
    <t>（-1）</t>
  </si>
  <si>
    <t>（-1）-（-2）</t>
  </si>
  <si>
    <t>住宅配套商业</t>
  </si>
  <si>
    <t>住宅配套商业</t>
    <phoneticPr fontId="30" type="noConversion"/>
  </si>
  <si>
    <t>钢混</t>
    <phoneticPr fontId="30" type="noConversion"/>
  </si>
  <si>
    <t>可餐饮</t>
    <phoneticPr fontId="30" type="noConversion"/>
  </si>
  <si>
    <t>不可餐饮</t>
  </si>
  <si>
    <t>不可餐饮</t>
    <phoneticPr fontId="30" type="noConversion"/>
  </si>
  <si>
    <t>超高层高</t>
    <phoneticPr fontId="30" type="noConversion"/>
  </si>
  <si>
    <t>标准层高</t>
  </si>
  <si>
    <t>标准层高</t>
    <phoneticPr fontId="30" type="noConversion"/>
  </si>
  <si>
    <t>精装</t>
    <phoneticPr fontId="30" type="noConversion"/>
  </si>
  <si>
    <t>普装</t>
    <phoneticPr fontId="30" type="noConversion"/>
  </si>
  <si>
    <t>简装</t>
  </si>
  <si>
    <t>简装</t>
    <phoneticPr fontId="30" type="noConversion"/>
  </si>
  <si>
    <t>毛坯</t>
    <phoneticPr fontId="30" type="noConversion"/>
  </si>
  <si>
    <r>
      <rPr>
        <sz val="11"/>
        <color indexed="8"/>
        <rFont val="宋体"/>
        <family val="3"/>
        <charset val="134"/>
      </rPr>
      <t>（</t>
    </r>
    <r>
      <rPr>
        <sz val="11"/>
        <color indexed="8"/>
        <rFont val="Arial"/>
        <family val="2"/>
      </rPr>
      <t>-2</t>
    </r>
    <r>
      <rPr>
        <sz val="11"/>
        <color indexed="8"/>
        <rFont val="宋体"/>
        <family val="3"/>
        <charset val="134"/>
      </rPr>
      <t>）</t>
    </r>
    <phoneticPr fontId="30" type="noConversion"/>
  </si>
  <si>
    <t>（-2）</t>
  </si>
  <si>
    <t>比较法-商业</t>
  </si>
  <si>
    <r>
      <rPr>
        <sz val="10"/>
        <color indexed="8"/>
        <rFont val="宋体"/>
        <family val="3"/>
        <charset val="134"/>
      </rPr>
      <t>未提供租赁合同，业主说今年新签的合同，租金从</t>
    </r>
    <r>
      <rPr>
        <sz val="10"/>
        <color indexed="8"/>
        <rFont val="Arial"/>
        <family val="2"/>
      </rPr>
      <t>3.6</t>
    </r>
    <r>
      <rPr>
        <sz val="10"/>
        <color indexed="8"/>
        <rFont val="宋体"/>
        <family val="3"/>
        <charset val="134"/>
      </rPr>
      <t>降到</t>
    </r>
    <r>
      <rPr>
        <sz val="10"/>
        <color indexed="8"/>
        <rFont val="Arial"/>
        <family val="2"/>
      </rPr>
      <t>3</t>
    </r>
    <r>
      <rPr>
        <sz val="10"/>
        <color indexed="8"/>
        <rFont val="宋体"/>
        <family val="3"/>
        <charset val="134"/>
      </rPr>
      <t>块钱</t>
    </r>
    <phoneticPr fontId="3" type="noConversion"/>
  </si>
  <si>
    <t>小区内1层商业</t>
    <phoneticPr fontId="134" type="noConversion"/>
  </si>
  <si>
    <t>（-1层）-（-2）层，小区内下沉商业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</si>
</sst>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38100</xdr:rowOff>
    </xdr:from>
    <xdr:to>
      <xdr:col>17</xdr:col>
      <xdr:colOff>17636</xdr:colOff>
      <xdr:row>30</xdr:row>
      <xdr:rowOff>66050</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209550"/>
          <a:ext cx="11314286" cy="5000000"/>
        </a:xfrm>
        <a:prstGeom prst="rect">
          <a:avLst/>
        </a:prstGeom>
      </xdr:spPr>
    </xdr:pic>
    <xdr:clientData/>
  </xdr:twoCellAnchor>
  <xdr:twoCellAnchor editAs="oneCell">
    <xdr:from>
      <xdr:col>0</xdr:col>
      <xdr:colOff>457200</xdr:colOff>
      <xdr:row>33</xdr:row>
      <xdr:rowOff>114300</xdr:rowOff>
    </xdr:from>
    <xdr:to>
      <xdr:col>16</xdr:col>
      <xdr:colOff>255829</xdr:colOff>
      <xdr:row>62</xdr:row>
      <xdr:rowOff>94631</xdr:rowOff>
    </xdr:to>
    <xdr:pic>
      <xdr:nvPicPr>
        <xdr:cNvPr id="3" name="图片 2"/>
        <xdr:cNvPicPr>
          <a:picLocks noChangeAspect="1"/>
        </xdr:cNvPicPr>
      </xdr:nvPicPr>
      <xdr:blipFill>
        <a:blip xmlns:r="http://schemas.openxmlformats.org/officeDocument/2006/relationships" r:embed="rId2"/>
        <a:stretch>
          <a:fillRect/>
        </a:stretch>
      </xdr:blipFill>
      <xdr:spPr>
        <a:xfrm>
          <a:off x="457200" y="5772150"/>
          <a:ext cx="10771429" cy="4952381"/>
        </a:xfrm>
        <a:prstGeom prst="rect">
          <a:avLst/>
        </a:prstGeom>
      </xdr:spPr>
    </xdr:pic>
    <xdr:clientData/>
  </xdr:twoCellAnchor>
  <xdr:twoCellAnchor editAs="oneCell">
    <xdr:from>
      <xdr:col>0</xdr:col>
      <xdr:colOff>371475</xdr:colOff>
      <xdr:row>64</xdr:row>
      <xdr:rowOff>76200</xdr:rowOff>
    </xdr:from>
    <xdr:to>
      <xdr:col>16</xdr:col>
      <xdr:colOff>474866</xdr:colOff>
      <xdr:row>94</xdr:row>
      <xdr:rowOff>37462</xdr:rowOff>
    </xdr:to>
    <xdr:pic>
      <xdr:nvPicPr>
        <xdr:cNvPr id="4" name="图片 3"/>
        <xdr:cNvPicPr>
          <a:picLocks noChangeAspect="1"/>
        </xdr:cNvPicPr>
      </xdr:nvPicPr>
      <xdr:blipFill>
        <a:blip xmlns:r="http://schemas.openxmlformats.org/officeDocument/2006/relationships" r:embed="rId3"/>
        <a:stretch>
          <a:fillRect/>
        </a:stretch>
      </xdr:blipFill>
      <xdr:spPr>
        <a:xfrm>
          <a:off x="371475" y="11049000"/>
          <a:ext cx="11076191" cy="5104762"/>
        </a:xfrm>
        <a:prstGeom prst="rect">
          <a:avLst/>
        </a:prstGeom>
      </xdr:spPr>
    </xdr:pic>
    <xdr:clientData/>
  </xdr:twoCellAnchor>
  <xdr:twoCellAnchor editAs="oneCell">
    <xdr:from>
      <xdr:col>1</xdr:col>
      <xdr:colOff>0</xdr:colOff>
      <xdr:row>96</xdr:row>
      <xdr:rowOff>0</xdr:rowOff>
    </xdr:from>
    <xdr:to>
      <xdr:col>8</xdr:col>
      <xdr:colOff>504162</xdr:colOff>
      <xdr:row>111</xdr:row>
      <xdr:rowOff>75869</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6459200"/>
          <a:ext cx="5304762" cy="2647619"/>
        </a:xfrm>
        <a:prstGeom prst="rect">
          <a:avLst/>
        </a:prstGeom>
      </xdr:spPr>
    </xdr:pic>
    <xdr:clientData/>
  </xdr:twoCellAnchor>
  <xdr:twoCellAnchor editAs="oneCell">
    <xdr:from>
      <xdr:col>20</xdr:col>
      <xdr:colOff>0</xdr:colOff>
      <xdr:row>2</xdr:row>
      <xdr:rowOff>0</xdr:rowOff>
    </xdr:from>
    <xdr:to>
      <xdr:col>36</xdr:col>
      <xdr:colOff>160534</xdr:colOff>
      <xdr:row>32</xdr:row>
      <xdr:rowOff>94596</xdr:rowOff>
    </xdr:to>
    <xdr:pic>
      <xdr:nvPicPr>
        <xdr:cNvPr id="6" name="图片 5"/>
        <xdr:cNvPicPr>
          <a:picLocks noChangeAspect="1"/>
        </xdr:cNvPicPr>
      </xdr:nvPicPr>
      <xdr:blipFill>
        <a:blip xmlns:r="http://schemas.openxmlformats.org/officeDocument/2006/relationships" r:embed="rId5"/>
        <a:stretch>
          <a:fillRect/>
        </a:stretch>
      </xdr:blipFill>
      <xdr:spPr>
        <a:xfrm>
          <a:off x="13716000" y="342900"/>
          <a:ext cx="11133334" cy="5238096"/>
        </a:xfrm>
        <a:prstGeom prst="rect">
          <a:avLst/>
        </a:prstGeom>
      </xdr:spPr>
    </xdr:pic>
    <xdr:clientData/>
  </xdr:twoCellAnchor>
  <xdr:twoCellAnchor editAs="oneCell">
    <xdr:from>
      <xdr:col>20</xdr:col>
      <xdr:colOff>0</xdr:colOff>
      <xdr:row>35</xdr:row>
      <xdr:rowOff>0</xdr:rowOff>
    </xdr:from>
    <xdr:to>
      <xdr:col>35</xdr:col>
      <xdr:colOff>532048</xdr:colOff>
      <xdr:row>63</xdr:row>
      <xdr:rowOff>66067</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6000750"/>
          <a:ext cx="10819048" cy="4866667"/>
        </a:xfrm>
        <a:prstGeom prst="rect">
          <a:avLst/>
        </a:prstGeom>
      </xdr:spPr>
    </xdr:pic>
    <xdr:clientData/>
  </xdr:twoCellAnchor>
  <xdr:twoCellAnchor editAs="oneCell">
    <xdr:from>
      <xdr:col>20</xdr:col>
      <xdr:colOff>238125</xdr:colOff>
      <xdr:row>65</xdr:row>
      <xdr:rowOff>9525</xdr:rowOff>
    </xdr:from>
    <xdr:to>
      <xdr:col>35</xdr:col>
      <xdr:colOff>122554</xdr:colOff>
      <xdr:row>96</xdr:row>
      <xdr:rowOff>27909</xdr:rowOff>
    </xdr:to>
    <xdr:pic>
      <xdr:nvPicPr>
        <xdr:cNvPr id="8" name="图片 7"/>
        <xdr:cNvPicPr>
          <a:picLocks noChangeAspect="1"/>
        </xdr:cNvPicPr>
      </xdr:nvPicPr>
      <xdr:blipFill>
        <a:blip xmlns:r="http://schemas.openxmlformats.org/officeDocument/2006/relationships" r:embed="rId7"/>
        <a:stretch>
          <a:fillRect/>
        </a:stretch>
      </xdr:blipFill>
      <xdr:spPr>
        <a:xfrm>
          <a:off x="13954125" y="11153775"/>
          <a:ext cx="10171429" cy="5333334"/>
        </a:xfrm>
        <a:prstGeom prst="rect">
          <a:avLst/>
        </a:prstGeom>
      </xdr:spPr>
    </xdr:pic>
    <xdr:clientData/>
  </xdr:twoCellAnchor>
  <xdr:twoCellAnchor editAs="oneCell">
    <xdr:from>
      <xdr:col>20</xdr:col>
      <xdr:colOff>95250</xdr:colOff>
      <xdr:row>98</xdr:row>
      <xdr:rowOff>0</xdr:rowOff>
    </xdr:from>
    <xdr:to>
      <xdr:col>34</xdr:col>
      <xdr:colOff>160717</xdr:colOff>
      <xdr:row>128</xdr:row>
      <xdr:rowOff>94596</xdr:rowOff>
    </xdr:to>
    <xdr:pic>
      <xdr:nvPicPr>
        <xdr:cNvPr id="9" name="图片 8"/>
        <xdr:cNvPicPr>
          <a:picLocks noChangeAspect="1"/>
        </xdr:cNvPicPr>
      </xdr:nvPicPr>
      <xdr:blipFill>
        <a:blip xmlns:r="http://schemas.openxmlformats.org/officeDocument/2006/relationships" r:embed="rId8"/>
        <a:stretch>
          <a:fillRect/>
        </a:stretch>
      </xdr:blipFill>
      <xdr:spPr>
        <a:xfrm>
          <a:off x="13811250" y="16802100"/>
          <a:ext cx="9666667" cy="5238096"/>
        </a:xfrm>
        <a:prstGeom prst="rect">
          <a:avLst/>
        </a:prstGeom>
      </xdr:spPr>
    </xdr:pic>
    <xdr:clientData/>
  </xdr:twoCellAnchor>
  <xdr:twoCellAnchor editAs="oneCell">
    <xdr:from>
      <xdr:col>1</xdr:col>
      <xdr:colOff>0</xdr:colOff>
      <xdr:row>119</xdr:row>
      <xdr:rowOff>0</xdr:rowOff>
    </xdr:from>
    <xdr:to>
      <xdr:col>11</xdr:col>
      <xdr:colOff>119762</xdr:colOff>
      <xdr:row>167</xdr:row>
      <xdr:rowOff>132381</xdr:rowOff>
    </xdr:to>
    <xdr:pic>
      <xdr:nvPicPr>
        <xdr:cNvPr id="10" name="图片 9"/>
        <xdr:cNvPicPr>
          <a:picLocks noChangeAspect="1"/>
        </xdr:cNvPicPr>
      </xdr:nvPicPr>
      <xdr:blipFill>
        <a:blip xmlns:r="http://schemas.openxmlformats.org/officeDocument/2006/relationships" r:embed="rId9"/>
        <a:stretch>
          <a:fillRect/>
        </a:stretch>
      </xdr:blipFill>
      <xdr:spPr>
        <a:xfrm>
          <a:off x="698500" y="18891250"/>
          <a:ext cx="7104762" cy="7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估价对象为北京市房地产，为所有。根据《国有土地使用证》[]，估价对象（分摊）出让国有建设用地使用权面积为0平方米，建筑面积为985.93平方米。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估价对象为北京市房地产,属开发建设的，该项目尚在开发建设中。根据《国有土地使用证》[]，估价对象（分摊）出让国有建设用地使用权面积为0平方米，规划建筑面积为985.93平方米。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2023年7月4日</v>
      </c>
    </row>
    <row r="13" spans="1:2" s="1203" customFormat="1">
      <c r="A13" s="1201" t="s">
        <v>529</v>
      </c>
      <c r="B13" s="1202" t="str">
        <f>'预评函-1'!A18</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1921</v>
      </c>
    </row>
    <row r="21" spans="1:2" s="1203" customFormat="1">
      <c r="A21" s="1201" t="s">
        <v>537</v>
      </c>
      <c r="B21" s="1202">
        <f ca="1">'预评函-2'!D7</f>
        <v>19485</v>
      </c>
    </row>
    <row r="22" spans="1:2" s="1203" customFormat="1">
      <c r="A22" s="1201" t="s">
        <v>538</v>
      </c>
      <c r="B22" s="1202" t="str">
        <f ca="1">'预评函-2'!D6</f>
        <v>壹仟玖佰贰拾壹万元整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1921</v>
      </c>
    </row>
    <row r="31" spans="1:2" s="1203" customFormat="1">
      <c r="A31" s="1201" t="s">
        <v>576</v>
      </c>
      <c r="B31" s="1202">
        <f ca="1">'预评函-2'!D15</f>
        <v>19485</v>
      </c>
    </row>
    <row r="32" spans="1:2" s="1203" customFormat="1">
      <c r="A32" s="1201" t="s">
        <v>543</v>
      </c>
      <c r="B32" s="1202" t="str">
        <f ca="1">'预评函-2'!D14</f>
        <v>壹仟玖佰贰拾壹万元整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985.93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45111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3.46</v>
      </c>
      <c r="D5" s="3025">
        <f>IF(ISERROR(ROUND(POWER(1+E5,A5-C5)*(POWER(1+E5,C5)-1)/(POWER(1+E5,A5)-1),3)),0,ROUND(POWER(1+E5,A5-C5)*(POWER(1+E5,C5)-1)/(POWER(1+E5,A5)-1),4))</f>
        <v>0.1603</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13.47</v>
      </c>
      <c r="D6" s="3025">
        <f>IF(ISERROR(ROUND(POWER(1+E6,A6-C6)*(POWER(1+E6,C6)-1)/(POWER(1+E6,A6)-1),3)),0,ROUND(POWER(1+E6,A6-C6)*(POWER(1+E6,C6)-1)/(POWER(1+E6,A6)-1),4))</f>
        <v>0.47760000000000002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33.479999999999997</v>
      </c>
      <c r="D7" s="3025">
        <f>IF(ISERROR(ROUND(POWER(1+E7,A7-C7)*(POWER(1+E7,C7)-1)/(POWER(1+E7,A7)-1),3)),0,ROUND(POWER(1+E7,A7-C7)*(POWER(1+E7,C7)-1)/(POWER(1+E7,A7)-1),4))</f>
        <v>0.78120000000000001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45111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3"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4"/>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53509</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985.93</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261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985.93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985.93</v>
      </c>
      <c r="H5" s="13">
        <f t="shared" ref="H5:AT5" si="0">SUM(H13:H656)</f>
        <v>985.93</v>
      </c>
      <c r="I5" s="13">
        <f t="shared" si="0"/>
        <v>985.93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985.93</v>
      </c>
      <c r="BA5" s="15">
        <f t="shared" si="1"/>
        <v>985.93</v>
      </c>
      <c r="BB5" s="15">
        <f t="shared" si="1"/>
        <v>985.93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985.93</v>
      </c>
      <c r="H13" s="17">
        <f>SUMIF(I$12:AB$12,"总值",I13:AB13)</f>
        <v>985.93</v>
      </c>
      <c r="I13" s="1626">
        <v>985.93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985.93</v>
      </c>
      <c r="BA13" s="13">
        <f>SUM(BB13:BK13)</f>
        <v>985.93</v>
      </c>
      <c r="BB13" s="13">
        <f>IF($D13="是",I13-J13,0)</f>
        <v>985.93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985.93</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985.93</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985.93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985.93</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985.93</v>
      </c>
      <c r="F19" s="2795"/>
      <c r="G19" s="2796">
        <f>'数据-基础表'!I13</f>
        <v>985.93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985.93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985.93</v>
      </c>
      <c r="F27" s="1140">
        <f>IF(SUM(F19:F26)=E8,SUM(F19:F26),"地上面积有误")</f>
        <v>0</v>
      </c>
      <c r="G27" s="1142">
        <f>SUM(G19:G26)</f>
        <v>985.93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985.93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985.93</v>
      </c>
      <c r="F31" s="677">
        <f>F27+F30</f>
        <v>0</v>
      </c>
      <c r="G31" s="678">
        <f>G27+G30</f>
        <v>985.93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Y26" sqref="Y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45111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53509</v>
      </c>
      <c r="F6" s="64">
        <f>SUMIF(项目基本情况!C$12:I$12,C6,项目基本情况!C$15:I$15)</f>
        <v>23</v>
      </c>
      <c r="G6" s="65">
        <f>IF(ISERROR(ROUND(POWER(1+H6,D6-F6)*(POWER(1+H6,F6)-1)/(POWER(1+H6,D6)-1),3)),0,ROUND(POWER(1+H6,D6-F6)*(POWER(1+H6,F6)-1)/(POWER(1+H6,D6)-1),3))</f>
        <v>0.78600000000000003</v>
      </c>
      <c r="H6" s="732">
        <v>0.05</v>
      </c>
      <c r="I6" s="732">
        <v>5.5E-2</v>
      </c>
      <c r="J6" s="66">
        <v>7.4999999999999997E-2</v>
      </c>
      <c r="K6" s="1030">
        <f>SUMIF('数据-汇总表'!C$19:C$33,A6,'数据-汇总表'!E$19:E$33)</f>
        <v>985.93</v>
      </c>
      <c r="L6" s="733">
        <v>3500</v>
      </c>
      <c r="M6" s="67">
        <f t="shared" ref="M6:M14" si="0">ROUND(K6*L6/10000,0)</f>
        <v>345</v>
      </c>
      <c r="N6" s="731">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3.2</v>
      </c>
      <c r="V6" s="70">
        <v>2.5000000000000001E-2</v>
      </c>
      <c r="W6" s="70">
        <v>0.1</v>
      </c>
      <c r="X6" s="1040"/>
      <c r="Y6" s="71">
        <f>N6</f>
        <v>0.81</v>
      </c>
      <c r="Z6" s="72"/>
      <c r="AA6" s="66"/>
      <c r="AB6" s="66"/>
      <c r="AC6" s="1040"/>
      <c r="AD6" s="73"/>
      <c r="AE6" s="1041">
        <f ca="1">IF(AN6="",0,SUMIF(INDIRECT("'"&amp;AN6&amp;"'"&amp;"!E:E"),$AE$5,INDIRECT("'"&amp;AN6&amp;"'"&amp;"!F:F")))</f>
        <v>23</v>
      </c>
      <c r="AF6" s="1348"/>
      <c r="AG6" s="138">
        <f>IF(AF6="",0,AE6-AF6)</f>
        <v>0</v>
      </c>
      <c r="AH6" s="74"/>
      <c r="AI6" s="76">
        <v>365</v>
      </c>
      <c r="AJ6" s="77"/>
      <c r="AK6" s="78">
        <v>0.01</v>
      </c>
      <c r="AL6" s="79">
        <v>1.5E-3</v>
      </c>
      <c r="AM6" s="80">
        <v>0.01</v>
      </c>
      <c r="AN6" s="1715" t="s">
        <v>3386</v>
      </c>
      <c r="AO6" s="52">
        <f ca="1">SUMIF(INDIRECT("'"&amp;AN6&amp;"'"&amp;"!A:A"),"总价",INDIRECT("'"&amp;AN6&amp;"'"&amp;"!B:B"))</f>
        <v>1498.9532999999999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0.78600000000000003</v>
      </c>
      <c r="H16" s="90">
        <f>ROUND(SUMPRODUCT(H6:H13,K6:K13)/SUMPRODUCT((H6:H13&gt;0)*(K6:K13)),3)</f>
        <v>0.05</v>
      </c>
      <c r="I16" s="91"/>
      <c r="J16" s="91"/>
      <c r="K16" s="92">
        <f>SUM(K6:K15)</f>
        <v>985.93</v>
      </c>
      <c r="L16" s="93">
        <f>ROUND(M16*10000/SUM(K6:K14),0)</f>
        <v>3499</v>
      </c>
      <c r="M16" s="93">
        <f>SUM(M6:M14)</f>
        <v>345</v>
      </c>
      <c r="N16" s="94">
        <f>ROUND(SUMPRODUCT(M6:M14,N6:N14)/M16,3)</f>
        <v>0.81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2009</v>
      </c>
      <c r="O18" s="2671"/>
      <c r="P18" s="2671"/>
      <c r="Q18" s="2671"/>
      <c r="R18" s="2671"/>
      <c r="S18" s="2671"/>
      <c r="T18" s="2671"/>
      <c r="U18" s="2671"/>
      <c r="V18" s="2671"/>
      <c r="W18" s="2671"/>
      <c r="X18" s="2671"/>
      <c r="Y18" s="2671"/>
      <c r="Z18" s="2671"/>
      <c r="AA18" s="2671"/>
      <c r="AB18" s="2671"/>
      <c r="AC18" s="2671"/>
      <c r="AD18" s="2671">
        <v>2033</v>
      </c>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0.77</v>
      </c>
      <c r="O19" s="2671"/>
      <c r="P19" s="2671"/>
      <c r="Q19" s="2671"/>
      <c r="R19" s="2671"/>
      <c r="S19" s="2671"/>
      <c r="T19" s="2671"/>
      <c r="U19" s="2671">
        <f>116666/30/1316</f>
        <v>2.9550658561296861</v>
      </c>
      <c r="V19" s="2671">
        <f>(U20-U19)/U19</f>
        <v>0.10000342859102045</v>
      </c>
      <c r="W19" s="2671"/>
      <c r="X19" s="2671"/>
      <c r="Y19" s="2671"/>
      <c r="Z19" s="2671"/>
      <c r="AA19" s="2671"/>
      <c r="AB19" s="2671"/>
      <c r="AC19" s="2671"/>
      <c r="AD19" s="2671">
        <f>1-(2033-2009)/60</f>
        <v>0.6</v>
      </c>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0.85</v>
      </c>
      <c r="O20" s="2671"/>
      <c r="P20" s="2671"/>
      <c r="Q20" s="2671"/>
      <c r="R20" s="2671"/>
      <c r="S20" s="2671"/>
      <c r="T20" s="2671"/>
      <c r="U20" s="2671">
        <f>128333/30/1316</f>
        <v>3.2505825734549139</v>
      </c>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0.81</v>
      </c>
      <c r="O21" s="2671"/>
      <c r="P21" s="2671"/>
      <c r="Q21" s="2671"/>
      <c r="R21" s="2671"/>
      <c r="S21" s="2671"/>
      <c r="T21" s="2671"/>
      <c r="U21" s="2671">
        <f>(U19+U20)/2</f>
        <v>3.1028242147923</v>
      </c>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t="s">
        <v>3442</v>
      </c>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197186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9" sqref="D29"/>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985.93</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45111</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1921.0845999999999</v>
      </c>
      <c r="C5" s="2512">
        <f ca="1">IF(B5=D14,结果表!H102,ROUND(B5*10000/$B$1,0))</f>
        <v>19485</v>
      </c>
      <c r="D5" s="2512" t="e">
        <f ca="1">ROUND(B5*10000/$B$2,0)</f>
        <v>#DIV/0!</v>
      </c>
      <c r="E5" s="2686"/>
      <c r="F5" s="2687"/>
      <c r="G5" s="2687"/>
      <c r="H5" s="2688"/>
      <c r="I5" s="2688"/>
      <c r="J5" s="2688"/>
      <c r="K5" s="2688"/>
    </row>
    <row r="6" spans="1:11">
      <c r="A6" s="2512" t="s">
        <v>656</v>
      </c>
      <c r="B6" s="2512">
        <f>SUM(G14:G23)</f>
        <v>0</v>
      </c>
      <c r="C6" s="2512">
        <f ca="1">IF(B6=G14,结果表!H108,ROUND(B6*10000/$B$1,0))</f>
        <v>19485</v>
      </c>
      <c r="D6" s="2512" t="e">
        <f>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3361</v>
      </c>
      <c r="D10" s="2512" t="s">
        <v>3362</v>
      </c>
      <c r="E10" s="3441"/>
      <c r="F10" s="3445" t="s">
        <v>3363</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'数据-基础表'!I13</f>
        <v>985.93</v>
      </c>
      <c r="C14" s="2518"/>
      <c r="D14" s="2518">
        <f ca="1">ROUND(B14*E14/10000,4)</f>
        <v>1921.0845999999999</v>
      </c>
      <c r="E14" s="2518">
        <f ca="1">结果表!G20</f>
        <v>19485</v>
      </c>
      <c r="F14" s="2518" t="e">
        <f ca="1">ROUND(D14*10000/C14,0)</f>
        <v>#DIV/0!</v>
      </c>
      <c r="G14" s="2518"/>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50" sqref="J50:O5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3441</v>
      </c>
      <c r="D4" s="1756" t="s">
        <v>3386</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7</v>
      </c>
      <c r="D14" s="3576">
        <v>3</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3" t="s">
        <v>2131</v>
      </c>
      <c r="F18" s="3564"/>
      <c r="G18" s="3564"/>
      <c r="H18" s="3564"/>
      <c r="I18" s="3564"/>
      <c r="K18" s="302" t="s">
        <v>1289</v>
      </c>
      <c r="L18" s="302">
        <f>IF(C1="",'数据-汇总表'!E3,SUMIF(项目类型,C1,'数据-汇总表'!E17:E26)+SUMIF(项目类型,C1,'数据-汇总表'!I17:I26))</f>
        <v>985.93</v>
      </c>
      <c r="M18" s="302">
        <f>IF(C1="",'数据-汇总表'!E3,SUMIF(项目类型,C1,'数据-汇总表'!E17:E26))</f>
        <v>985.93</v>
      </c>
    </row>
    <row r="19" spans="1:36" ht="15">
      <c r="A19" s="1761" t="s">
        <v>1290</v>
      </c>
      <c r="B19" s="1762" t="s">
        <v>1291</v>
      </c>
      <c r="C19" s="134">
        <f ca="1">SUMIF(INDIRECT("'"&amp;C4&amp;"'"&amp;"!A:A"),结果表!B19,INDIRECT("'"&amp;C4&amp;"'"&amp;"!B:B"))</f>
        <v>2102.0028000000002</v>
      </c>
      <c r="D19" s="135">
        <f ca="1">SUMIF(INDIRECT("'"&amp;D4&amp;"'"&amp;"!A:A"),结果表!B19,INDIRECT("'"&amp;D4&amp;"'"&amp;"!B:B"))</f>
        <v>1498.9532999999999</v>
      </c>
      <c r="E19" s="1761" t="s">
        <v>1292</v>
      </c>
      <c r="F19" s="1762" t="s">
        <v>1291</v>
      </c>
      <c r="G19" s="136">
        <f ca="1">ROUND(C19*$C$18+D19*$D$18,0)</f>
        <v>1921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21320</v>
      </c>
      <c r="D20" s="138">
        <f ca="1">SUMIF(INDIRECT("'"&amp;D4&amp;"'"&amp;"!A:A"),结果表!B20,INDIRECT("'"&amp;D4&amp;"'"&amp;"!B:B"))</f>
        <v>15203</v>
      </c>
      <c r="E20" s="1764"/>
      <c r="F20" s="1026" t="s">
        <v>1295</v>
      </c>
      <c r="G20" s="139">
        <f ca="1">ROUND(C20*$C$18+D20*$D$18,0)</f>
        <v>19485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0.40231373452395114</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19485</v>
      </c>
      <c r="D32" s="1775" t="s">
        <v>3408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1921</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45111</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f ca="1">H101</f>
        <v>1921</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1921</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102</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f ca="1">ROUND(D45*'数据-取费表'!B41/(1+'数据-取费表'!C42),0)</f>
        <v>102</v>
      </c>
      <c r="E53" s="2334" t="s">
        <v>1354</v>
      </c>
      <c r="F53" s="2554">
        <f>'数据-取费表'!B41</f>
        <v>5.6000000000000001E-2</v>
      </c>
      <c r="G53" s="2555"/>
      <c r="H53" s="2544"/>
      <c r="I53" s="1807"/>
      <c r="J53" s="2523">
        <v>2</v>
      </c>
      <c r="K53" s="3604" t="s">
        <v>1357</v>
      </c>
      <c r="L53" s="3604"/>
      <c r="M53" s="2525">
        <f t="shared" ref="M53:O54" ca="1" si="0">D55</f>
        <v>1</v>
      </c>
      <c r="N53" s="2523" t="str">
        <f t="shared" si="0"/>
        <v>销售额×税（费）率</v>
      </c>
      <c r="O53" s="2526" t="str">
        <f t="shared" si="0"/>
        <v>免征</v>
      </c>
    </row>
    <row r="54" spans="1:35" ht="12" customHeight="1">
      <c r="A54" s="2335" t="s">
        <v>1358</v>
      </c>
      <c r="B54" s="3565" t="s">
        <v>2292</v>
      </c>
      <c r="C54" s="3566"/>
      <c r="D54" s="1087">
        <f ca="1">C68</f>
        <v>102</v>
      </c>
      <c r="E54" s="327" t="s">
        <v>1359</v>
      </c>
      <c r="F54" s="2554">
        <f>'数据-取费表'!B41</f>
        <v>5.6000000000000001E-2</v>
      </c>
      <c r="G54" s="2555"/>
      <c r="H54" s="2556"/>
      <c r="I54" s="1807"/>
      <c r="J54" s="2523">
        <v>3</v>
      </c>
      <c r="K54" s="3604" t="s">
        <v>1360</v>
      </c>
      <c r="L54" s="3604"/>
      <c r="M54" s="2525">
        <f t="shared" ca="1" si="0"/>
        <v>1088</v>
      </c>
      <c r="N54" s="2523" t="str">
        <f t="shared" si="0"/>
        <v>增值额×税（费）率</v>
      </c>
      <c r="O54" s="2527" t="str">
        <f t="shared" si="0"/>
        <v>免征</v>
      </c>
    </row>
    <row r="55" spans="1:35" ht="24" customHeight="1">
      <c r="A55" s="3554" t="s">
        <v>1361</v>
      </c>
      <c r="B55" s="3555"/>
      <c r="C55" s="3555"/>
      <c r="D55" s="2324">
        <f ca="1">IF(H55="个人住宅",0,ROUND(D45*I55,0))</f>
        <v>1</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18</v>
      </c>
      <c r="N55" s="2040" t="str">
        <f>E59</f>
        <v>差额计税</v>
      </c>
      <c r="O55" s="2529">
        <f>F59</f>
        <v>0.01</v>
      </c>
    </row>
    <row r="56" spans="1:35" ht="24.75">
      <c r="A56" s="3554" t="s">
        <v>1363</v>
      </c>
      <c r="B56" s="3555"/>
      <c r="C56" s="3555"/>
      <c r="D56" s="2324">
        <f ca="1">IF(H56="个人住宅",D57,D58)</f>
        <v>1088</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1107</v>
      </c>
      <c r="O57" s="2533"/>
      <c r="P57" s="2690">
        <f ca="1">N57/M49</f>
        <v>0.57626236335242065</v>
      </c>
    </row>
    <row r="58" spans="1:35" ht="24.75">
      <c r="A58" s="2335" t="s">
        <v>1352</v>
      </c>
      <c r="B58" s="3565" t="s">
        <v>1369</v>
      </c>
      <c r="C58" s="3539"/>
      <c r="D58" s="2324">
        <f ca="1">IF(H58="转让取得",C81,C97)</f>
        <v>1088</v>
      </c>
      <c r="E58" s="2334" t="s">
        <v>1364</v>
      </c>
      <c r="F58" s="302" t="s">
        <v>28</v>
      </c>
      <c r="G58" s="2555"/>
      <c r="H58" s="2558"/>
      <c r="I58" s="1808"/>
      <c r="J58" s="3604"/>
      <c r="K58" s="3604"/>
      <c r="L58" s="2530" t="s">
        <v>1370</v>
      </c>
      <c r="M58" s="2534"/>
      <c r="N58" s="2535" t="str">
        <f ca="1">NUMBERSTRING(INT(N57*10000),2)&amp;"元整"</f>
        <v>壹仟壹佰零柒万元整</v>
      </c>
      <c r="O58" s="2536"/>
    </row>
    <row r="59" spans="1:35" ht="24.75" thickBot="1">
      <c r="A59" s="3607" t="s">
        <v>1371</v>
      </c>
      <c r="B59" s="3608"/>
      <c r="C59" s="3608"/>
      <c r="D59" s="2560">
        <f ca="1">IF(H59="非个人房产","——",IF(H59="个人住宅（满五唯一有凭证）",0,IF(H59="个人其他（无凭证）",ROUND(D45*F59,0),ROUND(C67*F59,0))))</f>
        <v>18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814</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捌佰壹拾肆万元整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8256</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1830</v>
      </c>
      <c r="D63" s="167"/>
      <c r="E63" s="168"/>
      <c r="F63" s="1808"/>
      <c r="G63" s="1808"/>
      <c r="H63" s="1810"/>
      <c r="I63" s="129"/>
      <c r="J63" s="3629" t="s">
        <v>1379</v>
      </c>
      <c r="K63" s="1332" t="s">
        <v>1380</v>
      </c>
      <c r="L63" s="1332">
        <f ca="1">IF(M49&gt;10000,M49*0.5%,IF(AND(M49&gt;1000,M49&lt;=10000),M49*1%,IF(AND(M49&gt;100,M49&lt;=1000),M49*3%,IF(AND(M49&gt;10,M49&lt;=100),M49*5%,M49*8%))))</f>
        <v>19.21</v>
      </c>
      <c r="M63" s="302">
        <f ca="1">ROUND(L63,1)</f>
        <v>19.2</v>
      </c>
      <c r="N63" s="2543"/>
      <c r="Z63" s="1752"/>
      <c r="AI63" s="1753"/>
    </row>
    <row r="64" spans="1:35" ht="14.25" customHeight="1">
      <c r="A64" s="169" t="s">
        <v>325</v>
      </c>
      <c r="B64" s="170" t="s">
        <v>1381</v>
      </c>
      <c r="C64" s="2565">
        <f ca="1">D45</f>
        <v>1921</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11.526</v>
      </c>
      <c r="M64" s="302">
        <f t="shared" ref="M64:M65" ca="1" si="1">ROUND(L64,1)</f>
        <v>11.5</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1.921</v>
      </c>
      <c r="M65" s="302">
        <f t="shared" ca="1" si="1"/>
        <v>1.9</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9.6050000000000004</v>
      </c>
      <c r="M66" s="302">
        <f ca="1">IF(L66&gt;0.5,0.5,ROUND(L66,0))</f>
        <v>0.5</v>
      </c>
      <c r="N66" s="2544" t="s">
        <v>1388</v>
      </c>
      <c r="Z66" s="1752"/>
      <c r="AI66" s="1753"/>
    </row>
    <row r="67" spans="1:35" ht="14.25" customHeight="1">
      <c r="A67" s="173" t="s">
        <v>328</v>
      </c>
      <c r="B67" s="174" t="s">
        <v>1389</v>
      </c>
      <c r="C67" s="2568">
        <f ca="1">C63-C66</f>
        <v>1830</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4.1315</v>
      </c>
      <c r="M67" s="302">
        <f ca="1">ROUND(L67*0.9,1)</f>
        <v>3.7</v>
      </c>
      <c r="N67" s="2543"/>
      <c r="Z67" s="1752"/>
      <c r="AI67" s="1753"/>
    </row>
    <row r="68" spans="1:35" ht="14.25" customHeight="1" thickBot="1">
      <c r="A68" s="176" t="s">
        <v>329</v>
      </c>
      <c r="B68" s="177" t="s">
        <v>1391</v>
      </c>
      <c r="C68" s="2569">
        <f ca="1">IF(C67&lt;=0,0,ROUND(C67*D68,0))</f>
        <v>102</v>
      </c>
      <c r="D68" s="2570">
        <f>'数据-取费表'!B41</f>
        <v>5.6000000000000001E-2</v>
      </c>
      <c r="E68" s="178"/>
      <c r="F68" s="1808"/>
      <c r="G68" s="1808"/>
      <c r="H68" s="1810"/>
      <c r="I68" s="129"/>
      <c r="J68" s="3629"/>
      <c r="K68" s="1332" t="s">
        <v>1392</v>
      </c>
      <c r="L68" s="1332">
        <f ca="1">IF(M49&gt;10000,M49*0.5%,IF(AND(M49&gt;5000,M49&lt;=10000),M49*1%,IF(AND(M49&gt;1000,M49&lt;=5000),M49*2%,IF(AND(M49&gt;200,M49&lt;=1000),M49*3%,M49*5%))))</f>
        <v>38.42</v>
      </c>
      <c r="M68" s="302">
        <f ca="1">ROUND(L68,1)</f>
        <v>38.4</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75</v>
      </c>
      <c r="N69" s="2545">
        <f ca="1">M69/M49</f>
        <v>3.9042165538781884E-2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1830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11</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1819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165.36363636363637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1088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11</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1819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165.36363636363637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1088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比较法-商业</v>
      </c>
      <c r="D101" s="2586" t="str">
        <f>D4</f>
        <v>收益法 (元)</v>
      </c>
      <c r="E101" s="3626" t="s">
        <v>1431</v>
      </c>
      <c r="F101" s="3583"/>
      <c r="G101" s="1827" t="s">
        <v>1432</v>
      </c>
      <c r="H101" s="2595">
        <f ca="1">H118</f>
        <v>1921</v>
      </c>
      <c r="I101" s="129"/>
    </row>
    <row r="102" spans="1:35" ht="18.75" customHeight="1">
      <c r="A102" s="3585" t="s">
        <v>1433</v>
      </c>
      <c r="B102" s="2584" t="s">
        <v>1432</v>
      </c>
      <c r="C102" s="2585">
        <f ca="1">IF(D32="楼面单价",ROUND(C19,0),C19)</f>
        <v>2102</v>
      </c>
      <c r="D102" s="2586">
        <f ca="1">IF(D32="楼面单价",ROUND(D19,0),D19)</f>
        <v>1499</v>
      </c>
      <c r="E102" s="3626"/>
      <c r="F102" s="3583"/>
      <c r="G102" s="1827" t="s">
        <v>1434</v>
      </c>
      <c r="H102" s="2555">
        <f ca="1">I118</f>
        <v>19485</v>
      </c>
      <c r="I102" s="129"/>
    </row>
    <row r="103" spans="1:35" ht="42.75" customHeight="1">
      <c r="A103" s="3585"/>
      <c r="B103" s="2584" t="s">
        <v>1434</v>
      </c>
      <c r="C103" s="2587">
        <f ca="1">C20</f>
        <v>21320</v>
      </c>
      <c r="D103" s="2588">
        <f ca="1">D20</f>
        <v>15203</v>
      </c>
      <c r="E103" s="3620" t="s">
        <v>1435</v>
      </c>
      <c r="F103" s="3621"/>
      <c r="G103" s="1828" t="s">
        <v>1436</v>
      </c>
      <c r="H103" s="2595">
        <f>IF(D36="正常操作",H104+H105+H106,H105+H106)</f>
        <v>0</v>
      </c>
      <c r="I103" s="129"/>
    </row>
    <row r="104" spans="1:35" ht="18.75" customHeight="1">
      <c r="A104" s="3585" t="s">
        <v>1437</v>
      </c>
      <c r="B104" s="2589" t="s">
        <v>1432</v>
      </c>
      <c r="C104" s="2590">
        <f ca="1">H118</f>
        <v>1921</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19485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1921</v>
      </c>
      <c r="I107" s="129"/>
    </row>
    <row r="108" spans="1:35" ht="18.75" customHeight="1">
      <c r="A108" s="129"/>
      <c r="B108" s="129"/>
      <c r="C108" s="129"/>
      <c r="D108" s="129"/>
      <c r="E108" s="3582"/>
      <c r="F108" s="3583"/>
      <c r="G108" s="1827" t="s">
        <v>1434</v>
      </c>
      <c r="H108" s="2555">
        <f ca="1">IF(H107=H101,H102,ROUND(H107*10000/'数据-汇总表'!E3,0))</f>
        <v>19485</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985.93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1921</v>
      </c>
      <c r="I118" s="2329">
        <f ca="1">ROUND(IF(D32="楼面单价",C32,H118*10000/B118),0)</f>
        <v>19485</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壹仟玖佰贰拾壹万元整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1921</v>
      </c>
      <c r="E122" s="3618"/>
      <c r="F122" s="3618"/>
      <c r="G122" s="3618"/>
      <c r="H122" s="3618"/>
      <c r="I122" s="3619"/>
      <c r="AA122" s="725"/>
    </row>
    <row r="123" spans="1:27" ht="18.75" customHeight="1">
      <c r="A123" s="3553" t="s">
        <v>1452</v>
      </c>
      <c r="B123" s="3553"/>
      <c r="C123" s="3553"/>
      <c r="D123" s="3593" t="str">
        <f ca="1">NUMBERSTRING(INT(D122*10000),2)&amp;"元整"</f>
        <v>壹仟玖佰贰拾壹万元整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266614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2704188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197186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197186</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20</v>
      </c>
      <c r="D10" s="845">
        <f ca="1">IF(B1="",'数据-汇总表'!E6,IF(INDIRECT("'数据-取费表'!c"&amp;$G$1)="住宅",INDIRECT("'数据-取费表'!s"&amp;$G$1),INDIRECT("'数据-取费表'!k"&amp;$G$1)+INDIRECT("'数据-取费表'!s"&amp;$G$1)))</f>
        <v>985.93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20</v>
      </c>
      <c r="D19" s="849">
        <f ca="1">D9+D10</f>
        <v>985.93</v>
      </c>
      <c r="E19" s="211">
        <f>'数据-取费表'!B31</f>
        <v>200</v>
      </c>
      <c r="F19" s="231"/>
      <c r="G19" s="1856"/>
    </row>
    <row r="20" spans="1:7" s="214" customFormat="1" ht="13.5" customHeight="1">
      <c r="A20" s="255" t="s">
        <v>1493</v>
      </c>
      <c r="B20" s="210" t="s">
        <v>1494</v>
      </c>
      <c r="C20" s="232">
        <f ca="1">ROUND((C5+C19)*F20,0)</f>
        <v>3944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14390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14249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140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30173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30173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266211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345</v>
      </c>
      <c r="D34" s="217"/>
      <c r="E34" s="220"/>
      <c r="F34" s="257">
        <f ca="1">IF('数据-取费表'!B24=0,1,IF(B1="",'数据-取费表'!N16,INDIRECT("'数据-取费表'!n"&amp;$G$1)))</f>
        <v>1</v>
      </c>
      <c r="G34" s="219" t="s">
        <v>1526</v>
      </c>
    </row>
    <row r="35" spans="1:7" ht="13.5" customHeight="1">
      <c r="A35" s="780" t="s">
        <v>351</v>
      </c>
      <c r="B35" s="215" t="s">
        <v>1527</v>
      </c>
      <c r="C35" s="220">
        <f ca="1">ROUND(C34*F35,0)</f>
        <v>10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v>
      </c>
      <c r="D37" s="217">
        <f ca="1">D19</f>
        <v>985.93</v>
      </c>
      <c r="E37" s="249">
        <f>'数据-取费表'!B35</f>
        <v>200</v>
      </c>
      <c r="F37" s="259"/>
      <c r="G37" s="261" t="s">
        <v>1532</v>
      </c>
    </row>
    <row r="38" spans="1:7" ht="13.5" customHeight="1">
      <c r="A38" s="780"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58</v>
      </c>
      <c r="D45" s="235">
        <f ca="1">C47</f>
        <v>3.0000000000000001E-3</v>
      </c>
      <c r="E45" s="236" t="s">
        <v>1539</v>
      </c>
      <c r="F45" s="246">
        <f ca="1">F27</f>
        <v>0.15</v>
      </c>
      <c r="G45" s="247" t="s">
        <v>1548</v>
      </c>
    </row>
    <row r="46" spans="1:7" s="214" customFormat="1" ht="13.5" customHeight="1">
      <c r="A46" s="780" t="s">
        <v>346</v>
      </c>
      <c r="B46" s="248" t="s">
        <v>1549</v>
      </c>
      <c r="C46" s="249">
        <f ca="1">ROUND((C33+C39)*F27,0)</f>
        <v>58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497</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403</v>
      </c>
      <c r="D51" s="232"/>
      <c r="E51" s="232"/>
      <c r="F51" s="264"/>
      <c r="G51" s="234" t="s">
        <v>1560</v>
      </c>
    </row>
    <row r="52" spans="1:7" s="208" customFormat="1" ht="16.5" thickBot="1">
      <c r="A52" s="265" t="s">
        <v>1561</v>
      </c>
      <c r="B52" s="266"/>
      <c r="C52" s="267">
        <f ca="1">C31+C51</f>
        <v>266614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L14" sqref="L1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3409</v>
      </c>
      <c r="F1" s="1879" t="s">
        <v>3410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2102.0028000000002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21320</v>
      </c>
      <c r="C3" s="354" t="s">
        <v>1768</v>
      </c>
      <c r="D3" s="353">
        <f>IF(D1="",'数据-汇总表'!E3,SUMIF('数据-汇总表'!$C19:$C33,D1,'数据-汇总表'!$E19:$E33))</f>
        <v>985.93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91" t="s">
        <v>3415</v>
      </c>
      <c r="F5" s="3707"/>
      <c r="G5" s="3791" t="s">
        <v>3415</v>
      </c>
      <c r="H5" s="3707"/>
      <c r="I5" s="3791" t="s">
        <v>3415</v>
      </c>
      <c r="J5" s="3707"/>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45111</v>
      </c>
      <c r="D7" s="365">
        <v>100</v>
      </c>
      <c r="E7" s="366">
        <f>C7</f>
        <v>45111</v>
      </c>
      <c r="F7" s="367">
        <f>SUMIF(58:58,YEAR(E7)&amp;"-"&amp;MONTH(E7),59:59)</f>
        <v>100</v>
      </c>
      <c r="G7" s="366">
        <f>C7</f>
        <v>45111</v>
      </c>
      <c r="H7" s="365">
        <f>SUMIF(58:58,YEAR(G7)&amp;"-"&amp;MONTH(G7),59:59)</f>
        <v>100</v>
      </c>
      <c r="I7" s="366">
        <f>C7</f>
        <v>45111</v>
      </c>
      <c r="J7" s="365">
        <f>SUMIF(58:58,YEAR(I7)&amp;"-"&amp;MONTH(I7),59:59)</f>
        <v>100</v>
      </c>
      <c r="K7" s="560"/>
      <c r="L7" s="2717"/>
      <c r="M7" s="2718"/>
      <c r="N7" s="2718"/>
      <c r="O7" s="2718"/>
      <c r="P7" s="3701" t="s">
        <v>1680</v>
      </c>
      <c r="Q7" s="3703"/>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704">
        <f>D7/J7</f>
        <v>1</v>
      </c>
    </row>
    <row r="8" spans="1:29" s="108" customFormat="1" ht="15.75" thickBot="1">
      <c r="A8" s="362" t="s">
        <v>1681</v>
      </c>
      <c r="B8" s="363"/>
      <c r="C8" s="368" t="s">
        <v>3411</v>
      </c>
      <c r="D8" s="365">
        <v>100</v>
      </c>
      <c r="E8" s="368" t="s">
        <v>3412</v>
      </c>
      <c r="F8" s="367">
        <f>SUMIF(61:61,E8,62:62)-SUMIF(61:61,C8,62:62)+100</f>
        <v>103</v>
      </c>
      <c r="G8" s="368" t="s">
        <v>3412</v>
      </c>
      <c r="H8" s="365">
        <f>SUMIF(61:61,G8,62:62)-SUMIF(61:61,C8,62:62)+100</f>
        <v>103</v>
      </c>
      <c r="I8" s="368" t="s">
        <v>3412</v>
      </c>
      <c r="J8" s="365">
        <f>SUMIF(61:61,I8,62:62)-SUMIF(61:61,C8,62:62)+100</f>
        <v>103</v>
      </c>
      <c r="K8" s="560"/>
      <c r="L8" s="2717"/>
      <c r="M8" s="2718"/>
      <c r="N8" s="2718"/>
      <c r="O8" s="2718"/>
      <c r="P8" s="3701" t="s">
        <v>1683</v>
      </c>
      <c r="Q8" s="3702"/>
      <c r="R8" s="701" t="s">
        <v>14</v>
      </c>
      <c r="S8" s="702">
        <f t="shared" si="0"/>
        <v>103</v>
      </c>
      <c r="T8" s="701" t="s">
        <v>14</v>
      </c>
      <c r="U8" s="702">
        <f t="shared" si="1"/>
        <v>103</v>
      </c>
      <c r="V8" s="701" t="s">
        <v>14</v>
      </c>
      <c r="W8" s="702">
        <f t="shared" si="2"/>
        <v>103</v>
      </c>
      <c r="X8" s="703"/>
      <c r="Y8" s="3701" t="s">
        <v>1683</v>
      </c>
      <c r="Z8" s="3702"/>
      <c r="AA8" s="704">
        <f t="shared" ref="AA8:AA46" si="3">D8/F8</f>
        <v>0.970873786407767</v>
      </c>
      <c r="AB8" s="704">
        <f t="shared" ref="AB8:AB46" si="4">D8/H8</f>
        <v>0.970873786407767</v>
      </c>
      <c r="AC8" s="704">
        <f t="shared" ref="AC8:AC46" si="5">D8/J8</f>
        <v>0.970873786407767</v>
      </c>
    </row>
    <row r="9" spans="1:29" s="108" customFormat="1" ht="15">
      <c r="A9" s="369" t="s">
        <v>1684</v>
      </c>
      <c r="B9" s="63" t="s">
        <v>1685</v>
      </c>
      <c r="C9" s="3790" t="s">
        <v>3414</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t="s">
        <v>3419</v>
      </c>
      <c r="D10" s="127">
        <v>100</v>
      </c>
      <c r="E10" s="3434" t="s">
        <v>3419</v>
      </c>
      <c r="F10" s="376">
        <f>SUMIF(65:65,E10,66:66)-SUMIF(65:65,C10,66:66)+100</f>
        <v>100</v>
      </c>
      <c r="G10" s="3434" t="s">
        <v>3419</v>
      </c>
      <c r="H10" s="127">
        <f>SUMIF(65:65,G10,66:66)-SUMIF(65:65,C10,66:66)+100</f>
        <v>100</v>
      </c>
      <c r="I10" s="3434" t="s">
        <v>3419</v>
      </c>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t="s">
        <v>3397</v>
      </c>
      <c r="D16" s="399"/>
      <c r="E16" s="398" t="s">
        <v>3397</v>
      </c>
      <c r="F16" s="400"/>
      <c r="G16" s="398" t="s">
        <v>3397</v>
      </c>
      <c r="H16" s="401"/>
      <c r="I16" s="398" t="s">
        <v>3397</v>
      </c>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t="s">
        <v>3398</v>
      </c>
      <c r="D18" s="401"/>
      <c r="E18" s="1901" t="s">
        <v>3398</v>
      </c>
      <c r="F18" s="404"/>
      <c r="G18" s="1901" t="s">
        <v>3398</v>
      </c>
      <c r="H18" s="399"/>
      <c r="I18" s="1903" t="s">
        <v>3398</v>
      </c>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1901" t="s">
        <v>3398</v>
      </c>
      <c r="D20" s="399"/>
      <c r="E20" s="1901" t="s">
        <v>3398</v>
      </c>
      <c r="F20" s="400"/>
      <c r="G20" s="1901" t="s">
        <v>3398</v>
      </c>
      <c r="H20" s="399"/>
      <c r="I20" s="1898" t="s">
        <v>3398</v>
      </c>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t="s">
        <v>3422</v>
      </c>
      <c r="D22" s="399"/>
      <c r="E22" s="1901" t="s">
        <v>3422</v>
      </c>
      <c r="F22" s="400"/>
      <c r="G22" s="1901" t="s">
        <v>3422</v>
      </c>
      <c r="H22" s="399"/>
      <c r="I22" s="1901" t="s">
        <v>3422</v>
      </c>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t="s">
        <v>3398</v>
      </c>
      <c r="D24" s="399"/>
      <c r="E24" s="398" t="s">
        <v>3398</v>
      </c>
      <c r="F24" s="400"/>
      <c r="G24" s="1897" t="s">
        <v>3398</v>
      </c>
      <c r="H24" s="399"/>
      <c r="I24" s="1898" t="s">
        <v>3398</v>
      </c>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v>3</v>
      </c>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t="s">
        <v>3423</v>
      </c>
      <c r="D28" s="386">
        <v>100</v>
      </c>
      <c r="E28" s="565" t="s">
        <v>3424</v>
      </c>
      <c r="F28" s="412">
        <f>SUMIF(92:92,E28,93:93)-SUMIF(92:92,C28,93:93)+100</f>
        <v>90</v>
      </c>
      <c r="G28" s="565" t="s">
        <v>3440</v>
      </c>
      <c r="H28" s="386">
        <f>SUMIF(92:92,G28,93:93)-SUMIF(92:92,C28,93:93)+100</f>
        <v>80</v>
      </c>
      <c r="I28" s="565" t="s">
        <v>3423</v>
      </c>
      <c r="J28" s="386">
        <f>SUMIF(92:92,I28,93:93)-SUMIF(92:92,C28,93:93)+100</f>
        <v>100</v>
      </c>
      <c r="K28" s="562"/>
      <c r="L28" s="2722"/>
      <c r="M28" s="2716"/>
      <c r="N28" s="2716"/>
      <c r="O28" s="2716"/>
      <c r="P28" s="3675"/>
      <c r="Q28" s="1352" t="str">
        <f t="shared" si="11"/>
        <v>楼层</v>
      </c>
      <c r="R28" s="705" t="s">
        <v>14</v>
      </c>
      <c r="S28" s="706">
        <f t="shared" ref="S28:S46" si="12">F28</f>
        <v>90</v>
      </c>
      <c r="T28" s="705" t="s">
        <v>14</v>
      </c>
      <c r="U28" s="706">
        <f t="shared" ref="U28:U46" si="13">H28</f>
        <v>80</v>
      </c>
      <c r="V28" s="705" t="s">
        <v>14</v>
      </c>
      <c r="W28" s="706">
        <f t="shared" ref="W28:W46" si="14">J28</f>
        <v>100</v>
      </c>
      <c r="X28" s="1355"/>
      <c r="Y28" s="3668"/>
      <c r="Z28" s="1356" t="str">
        <f t="shared" ref="Z28:Z46" si="15">Q28</f>
        <v>楼层</v>
      </c>
      <c r="AA28" s="1353">
        <f t="shared" si="3"/>
        <v>1.1111111111111112</v>
      </c>
      <c r="AB28" s="1353">
        <f t="shared" si="4"/>
        <v>1.25</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t="s">
        <v>3425</v>
      </c>
      <c r="D32" s="418">
        <v>100</v>
      </c>
      <c r="E32" s="1910" t="s">
        <v>3425</v>
      </c>
      <c r="F32" s="412">
        <f>SUMIF(100:100,E32,101:101)-SUMIF(100:100,C32,101:101)+100</f>
        <v>100</v>
      </c>
      <c r="G32" s="1910" t="s">
        <v>3425</v>
      </c>
      <c r="H32" s="386">
        <f>SUMIF(100:100,G32,101:101)-SUMIF(100:100,C32,101:101)+100</f>
        <v>100</v>
      </c>
      <c r="I32" s="1910" t="s">
        <v>3425</v>
      </c>
      <c r="J32" s="418">
        <f>SUMIF(100:100,I32,101:101)-SUMIF(100:100,C32,101:101)+100</f>
        <v>100</v>
      </c>
      <c r="K32" s="561">
        <v>2</v>
      </c>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985.93</v>
      </c>
      <c r="D33" s="127">
        <v>100</v>
      </c>
      <c r="E33" s="381">
        <v>834.92</v>
      </c>
      <c r="F33" s="376">
        <f>LOOKUP(E33,103:103,104:104)-LOOKUP(C33,103:103,104:104)+100</f>
        <v>100</v>
      </c>
      <c r="G33" s="380">
        <v>400</v>
      </c>
      <c r="H33" s="127">
        <f>LOOKUP(G33,103:103,104:104)-LOOKUP(C33,103:103,104:104)+100</f>
        <v>101</v>
      </c>
      <c r="I33" s="380">
        <v>1316.31</v>
      </c>
      <c r="J33" s="127">
        <f>LOOKUP(I33,103:103,104:104)-LOOKUP(C33,103:103,104:104)+100</f>
        <v>99</v>
      </c>
      <c r="K33" s="562"/>
      <c r="L33" s="2721"/>
      <c r="M33" s="2723"/>
      <c r="N33" s="2723"/>
      <c r="O33" s="2723"/>
      <c r="P33" s="3670"/>
      <c r="Q33" s="707" t="str">
        <f t="shared" si="11"/>
        <v>项目建筑规模</v>
      </c>
      <c r="R33" s="708" t="s">
        <v>14</v>
      </c>
      <c r="S33" s="709">
        <f t="shared" si="12"/>
        <v>100</v>
      </c>
      <c r="T33" s="708" t="s">
        <v>14</v>
      </c>
      <c r="U33" s="709">
        <f t="shared" si="13"/>
        <v>101</v>
      </c>
      <c r="V33" s="708" t="s">
        <v>14</v>
      </c>
      <c r="W33" s="709">
        <f t="shared" si="14"/>
        <v>99</v>
      </c>
      <c r="X33" s="710"/>
      <c r="Y33" s="3672"/>
      <c r="Z33" s="711" t="str">
        <f t="shared" si="15"/>
        <v>项目建筑规模</v>
      </c>
      <c r="AA33" s="1353">
        <f t="shared" si="3"/>
        <v>1</v>
      </c>
      <c r="AB33" s="1353">
        <f t="shared" si="4"/>
        <v>0.99009900990099009</v>
      </c>
      <c r="AC33" s="1353">
        <f t="shared" si="5"/>
        <v>1.0101010101010102</v>
      </c>
    </row>
    <row r="34" spans="1:29" ht="15">
      <c r="A34" s="423"/>
      <c r="B34" s="375" t="s">
        <v>1698</v>
      </c>
      <c r="C34" s="1912" t="s">
        <v>3404</v>
      </c>
      <c r="D34" s="386">
        <v>100</v>
      </c>
      <c r="E34" s="1912" t="s">
        <v>3404</v>
      </c>
      <c r="F34" s="412">
        <f>SUMIF(105:105,E34,106:106)-SUMIF(105:105,C34,106:106)+100</f>
        <v>100</v>
      </c>
      <c r="G34" s="1912" t="s">
        <v>3404</v>
      </c>
      <c r="H34" s="386">
        <f>SUMIF(105:105,G34,106:106)-SUMIF(105:105,C34,106:106)+100</f>
        <v>100</v>
      </c>
      <c r="I34" s="1912" t="s">
        <v>3404</v>
      </c>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v>0.81</v>
      </c>
      <c r="D36" s="386">
        <v>100</v>
      </c>
      <c r="E36" s="425">
        <v>0.81</v>
      </c>
      <c r="F36" s="412">
        <f>LOOKUP(E36,110:110,111:111)-LOOKUP(C36,110:110,111:111)+100</f>
        <v>100</v>
      </c>
      <c r="G36" s="425">
        <v>0.81</v>
      </c>
      <c r="H36" s="412">
        <f>LOOKUP(G36,110:110,111:111)-LOOKUP(C36,110:110,111:111)+100</f>
        <v>100</v>
      </c>
      <c r="I36" s="425">
        <v>0.81</v>
      </c>
      <c r="J36" s="386">
        <f>LOOKUP(I36,110:110,111:111)-LOOKUP(C36,110:110,111:111)+100</f>
        <v>100</v>
      </c>
      <c r="K36" s="561"/>
      <c r="L36" s="2722"/>
      <c r="M36" s="2716"/>
      <c r="N36" s="2716"/>
      <c r="O36" s="2716"/>
      <c r="P36" s="3670"/>
      <c r="Q36" s="1352" t="str">
        <f t="shared" si="11"/>
        <v>成新度</v>
      </c>
      <c r="R36" s="705" t="s">
        <v>14</v>
      </c>
      <c r="S36" s="706">
        <f t="shared" si="12"/>
        <v>100</v>
      </c>
      <c r="T36" s="705" t="s">
        <v>14</v>
      </c>
      <c r="U36" s="706">
        <f t="shared" si="13"/>
        <v>100</v>
      </c>
      <c r="V36" s="705" t="s">
        <v>14</v>
      </c>
      <c r="W36" s="706">
        <f t="shared" si="14"/>
        <v>100</v>
      </c>
      <c r="X36" s="1355"/>
      <c r="Y36" s="3672"/>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t="s">
        <v>3429</v>
      </c>
      <c r="D38" s="386">
        <v>100</v>
      </c>
      <c r="E38" s="1906" t="s">
        <v>3429</v>
      </c>
      <c r="F38" s="412">
        <f>SUMIF(114:114,E38,115:115)-SUMIF(114:114,C38,115:115)+100</f>
        <v>100</v>
      </c>
      <c r="G38" s="1906" t="s">
        <v>3429</v>
      </c>
      <c r="H38" s="386">
        <f>SUMIF(114:114,G38,115:115)-SUMIF(114:114,C38,115:115)+100</f>
        <v>100</v>
      </c>
      <c r="I38" s="1906" t="s">
        <v>3429</v>
      </c>
      <c r="J38" s="386">
        <f>SUMIF(114:114,I38,115:115)-SUMIF(114:114,C38,115:115)+100</f>
        <v>100</v>
      </c>
      <c r="K38" s="561">
        <v>5</v>
      </c>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t="s">
        <v>3432</v>
      </c>
      <c r="D39" s="386">
        <v>100</v>
      </c>
      <c r="E39" s="1906" t="s">
        <v>3432</v>
      </c>
      <c r="F39" s="412">
        <f>SUMIF(116:116,E39,117:117)-SUMIF(116:116,C39,117:117)+100</f>
        <v>100</v>
      </c>
      <c r="G39" s="1906" t="s">
        <v>3432</v>
      </c>
      <c r="H39" s="386">
        <f>SUMIF(116:116,G39,117:117)-SUMIF(116:116,C39,117:117)+100</f>
        <v>100</v>
      </c>
      <c r="I39" s="1906" t="s">
        <v>3432</v>
      </c>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t="s">
        <v>3436</v>
      </c>
      <c r="D42" s="386">
        <v>100</v>
      </c>
      <c r="E42" s="1906" t="s">
        <v>3436</v>
      </c>
      <c r="F42" s="412">
        <f>SUMIF(122:122,E42,123:123)-SUMIF(122:122,C42,123:123)+100</f>
        <v>100</v>
      </c>
      <c r="G42" s="1906" t="s">
        <v>3436</v>
      </c>
      <c r="H42" s="386">
        <f>SUMIF(122:122,G42,123:123)-SUMIF(122:122,C42,123:123)+100</f>
        <v>100</v>
      </c>
      <c r="I42" s="1906" t="s">
        <v>3436</v>
      </c>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v>20997</v>
      </c>
      <c r="F47" s="1157"/>
      <c r="G47" s="1158">
        <v>19200</v>
      </c>
      <c r="H47" s="1159"/>
      <c r="I47" s="1156">
        <v>18600</v>
      </c>
      <c r="J47" s="1159"/>
      <c r="K47" s="714"/>
      <c r="L47" s="2724"/>
      <c r="M47" s="2725"/>
      <c r="N47" s="2716"/>
      <c r="O47" s="2725"/>
      <c r="P47" s="3665" t="str">
        <f>A47</f>
        <v>成交单价（元/平方米）</v>
      </c>
      <c r="Q47" s="3665"/>
      <c r="R47" s="3696">
        <f>E47</f>
        <v>20997</v>
      </c>
      <c r="S47" s="3696"/>
      <c r="T47" s="3696">
        <f>G47</f>
        <v>19200</v>
      </c>
      <c r="U47" s="3696"/>
      <c r="V47" s="3696">
        <f>I47</f>
        <v>18600</v>
      </c>
      <c r="W47" s="3696"/>
      <c r="X47" s="690"/>
      <c r="Y47" s="712"/>
      <c r="Z47" s="690"/>
      <c r="AA47" s="690"/>
      <c r="AB47" s="690"/>
      <c r="AC47" s="690"/>
    </row>
    <row r="48" spans="1:29" ht="15.75" thickBot="1">
      <c r="A48" s="437" t="s">
        <v>1793</v>
      </c>
      <c r="B48" s="438"/>
      <c r="C48" s="1160">
        <f>R49</f>
        <v>21320</v>
      </c>
      <c r="D48" s="2317" t="s">
        <v>2138</v>
      </c>
      <c r="E48" s="1161">
        <f>R48</f>
        <v>22650</v>
      </c>
      <c r="F48" s="2318"/>
      <c r="G48" s="1160">
        <f>T48</f>
        <v>23070</v>
      </c>
      <c r="H48" s="2318"/>
      <c r="I48" s="1161">
        <f>V48</f>
        <v>18241</v>
      </c>
      <c r="J48" s="2318"/>
      <c r="K48" s="2320">
        <f>F48+H48+J48</f>
        <v>0</v>
      </c>
      <c r="L48" s="2724"/>
      <c r="M48" s="2725"/>
      <c r="N48" s="2716"/>
      <c r="O48" s="2725"/>
      <c r="P48" s="3665" t="str">
        <f>A48</f>
        <v>比较价值（元/平方米）</v>
      </c>
      <c r="Q48" s="3665"/>
      <c r="R48" s="3666">
        <f>IF(F1="售价",ROUND(PRODUCT(R47,AA7:AA46),0),ROUND(PRODUCT(R47,AA7:AA46),1))</f>
        <v>22650</v>
      </c>
      <c r="S48" s="3666"/>
      <c r="T48" s="3666">
        <f>IF(F1="售价",ROUND(PRODUCT(T47,AB7:AB46),0),ROUND(PRODUCT(T47,AB7:AB46),1))</f>
        <v>23070</v>
      </c>
      <c r="U48" s="3666"/>
      <c r="V48" s="3666">
        <f>IF(F1="售价",ROUND(PRODUCT(V47,AC7:AC46),0),ROUND(PRODUCT(V47,AC7:AC46),1))</f>
        <v>18241</v>
      </c>
      <c r="W48" s="3666"/>
      <c r="X48" s="690"/>
      <c r="Y48" s="690"/>
      <c r="Z48" s="690"/>
      <c r="AA48" s="690"/>
      <c r="AB48" s="690"/>
      <c r="AC48" s="690"/>
    </row>
    <row r="49" spans="1:29" ht="15.75" thickBot="1">
      <c r="A49" s="441" t="s">
        <v>1794</v>
      </c>
      <c r="B49" s="442"/>
      <c r="C49" s="1163">
        <f>R49</f>
        <v>21320</v>
      </c>
      <c r="D49" s="1163"/>
      <c r="E49" s="1163"/>
      <c r="F49" s="1163"/>
      <c r="G49" s="1163"/>
      <c r="H49" s="1163"/>
      <c r="I49" s="1163"/>
      <c r="J49" s="1163"/>
      <c r="K49" s="715"/>
      <c r="L49" s="2724"/>
      <c r="M49" s="2725"/>
      <c r="N49" s="2716"/>
      <c r="O49" s="2725"/>
      <c r="P49" s="3662" t="str">
        <f>A49</f>
        <v>估价对象XX用房的比较价值（楼面单价，元/平方米）</v>
      </c>
      <c r="Q49" s="3663"/>
      <c r="R49" s="3664">
        <f>IF(F1="售价",ROUND(IF(D48="简单平均",AVERAGE(R48:V48),R48*F48+T48*H48+V48*J48),0),ROUND(IF(D48="简单平均",AVERAGE(R48:V48),R48*F48+T48*H48+V48*J48),1))</f>
        <v>21320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7.872553221888845E-2</v>
      </c>
      <c r="F52" s="449" t="str">
        <f>IF(OR(E52&gt;=0.3,E52&lt;=-0.3),"超过30%","")</f>
        <v/>
      </c>
      <c r="G52" s="448">
        <f>IF(G47&lt;G48,G48/G47-1,G47/G48-1)</f>
        <v>0.20156250000000009</v>
      </c>
      <c r="H52" s="449" t="str">
        <f>IF(OR(G52&gt;=0.3,G52&lt;=-0.3),"超过30%","")</f>
        <v/>
      </c>
      <c r="I52" s="448">
        <f>IF(I47&lt;I48,I48/I47-1,I47/I48-1)</f>
        <v>1.9680938545035831E-2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1.8543046357615944E-2</v>
      </c>
      <c r="F53" s="449" t="str">
        <f>IF(OR(E53&gt;=0.2,E53&lt;=-0.2),"超过20%","")</f>
        <v/>
      </c>
      <c r="G53" s="448">
        <f>IF(G48&lt;I48,I48/G48-1,G48/I48-1)</f>
        <v>0.26473329313085903</v>
      </c>
      <c r="H53" s="449" t="str">
        <f>IF(OR(G53&gt;=0.2,G53&lt;=-0.2),"超过20%","")</f>
        <v>超过20%</v>
      </c>
      <c r="I53" s="448">
        <f>IF(I48&lt;E48,E48/I48-1,I48/E48-1)</f>
        <v>0.24170823967984201</v>
      </c>
      <c r="J53" s="449" t="str">
        <f>IF(OR(I53&gt;=0.2,I53&lt;=-0.2),"超过20%","")</f>
        <v>超过20%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9.359374999999992E-2</v>
      </c>
      <c r="F54" s="449" t="str">
        <f>IF(OR(E54&gt;=0.3,E54&lt;=-0.3),"超过30%","")</f>
        <v/>
      </c>
      <c r="G54" s="448">
        <f>IF(G47&lt;I47,I47/G47-1,G47/I47-1)</f>
        <v>3.2258064516129004E-2</v>
      </c>
      <c r="H54" s="449" t="str">
        <f>IF(OR(G54&gt;=0.3,G54&lt;=-0.3),"超过30%","")</f>
        <v/>
      </c>
      <c r="I54" s="448">
        <f>IF(I47&lt;E47,E47/I47-1,I47/E47-1)</f>
        <v>0.12887096774193552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789" t="s">
        <v>3413</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103</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t="s">
        <v>3416</v>
      </c>
      <c r="D65" s="532" t="s">
        <v>3417</v>
      </c>
      <c r="E65" s="532" t="s">
        <v>3418</v>
      </c>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v>100</v>
      </c>
      <c r="D66" s="485">
        <v>98</v>
      </c>
      <c r="E66" s="485">
        <v>96</v>
      </c>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v>-1</v>
      </c>
      <c r="S90" s="2747">
        <v>100</v>
      </c>
      <c r="T90" s="2747"/>
      <c r="U90" s="2747"/>
      <c r="V90" s="2747"/>
      <c r="W90" s="2747"/>
      <c r="X90" s="2747"/>
      <c r="Y90" s="2747"/>
      <c r="Z90" s="2747"/>
      <c r="AA90" s="2747"/>
      <c r="AB90" s="2747"/>
      <c r="AC90" s="2747"/>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5"/>
      <c r="O91" s="2755"/>
      <c r="P91" s="2745"/>
      <c r="Q91" s="2746"/>
      <c r="R91" s="2747">
        <v>-2</v>
      </c>
      <c r="S91" s="2747">
        <v>80</v>
      </c>
      <c r="T91" s="2747"/>
      <c r="U91" s="2747"/>
      <c r="V91" s="2747"/>
      <c r="W91" s="2747"/>
      <c r="X91" s="2747"/>
      <c r="Y91" s="2747"/>
      <c r="Z91" s="2747"/>
      <c r="AA91" s="2747"/>
      <c r="AB91" s="2747"/>
      <c r="AC91" s="2747"/>
    </row>
    <row r="92" spans="1:29" ht="15.75" thickTop="1">
      <c r="A92" s="483"/>
      <c r="B92" s="487" t="str">
        <f>B28</f>
        <v>楼层</v>
      </c>
      <c r="C92" s="503" t="s">
        <v>3420</v>
      </c>
      <c r="D92" s="503" t="s">
        <v>3421</v>
      </c>
      <c r="E92" s="503" t="s">
        <v>3439</v>
      </c>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90</v>
      </c>
      <c r="E93" s="485">
        <v>80</v>
      </c>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792" t="s">
        <v>3426</v>
      </c>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0(含)-50</v>
      </c>
      <c r="D102" s="527" t="str">
        <f t="shared" ref="D102:L102" si="23">D103&amp;"(含)"&amp;"-"&amp;E103</f>
        <v>50(含)-100</v>
      </c>
      <c r="E102" s="527" t="str">
        <f t="shared" si="23"/>
        <v>100(含)-500</v>
      </c>
      <c r="F102" s="527" t="str">
        <f t="shared" si="23"/>
        <v>500(含)-1000</v>
      </c>
      <c r="G102" s="527" t="str">
        <f t="shared" si="23"/>
        <v>1000(含)-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v>
      </c>
      <c r="E103" s="544">
        <v>100</v>
      </c>
      <c r="F103" s="544">
        <v>500</v>
      </c>
      <c r="G103" s="544">
        <v>1000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v>96</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793" t="s">
        <v>3427</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793" t="s">
        <v>3428</v>
      </c>
      <c r="D114" s="3793" t="s">
        <v>3430</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793" t="s">
        <v>3431</v>
      </c>
      <c r="D116" s="3793" t="s">
        <v>3433</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793" t="s">
        <v>3434</v>
      </c>
      <c r="D122" s="3793" t="s">
        <v>3435</v>
      </c>
      <c r="E122" s="3793" t="s">
        <v>3437</v>
      </c>
      <c r="F122" s="3794" t="s">
        <v>3438</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J16:AL108"/>
  <sheetViews>
    <sheetView tabSelected="1" topLeftCell="A20" zoomScale="50" zoomScaleNormal="50" workbookViewId="0">
      <selection activeCell="B120" sqref="B120"/>
    </sheetView>
  </sheetViews>
  <sheetFormatPr defaultRowHeight="13.5"/>
  <sheetData>
    <row r="16" spans="38:38">
      <c r="AL16" s="3795" t="s">
        <v>3443</v>
      </c>
    </row>
    <row r="48" spans="38:38">
      <c r="AL48" s="3795" t="s">
        <v>3443</v>
      </c>
    </row>
    <row r="79" spans="38:38">
      <c r="AL79" s="3795" t="s">
        <v>3443</v>
      </c>
    </row>
    <row r="108" spans="36:36">
      <c r="AJ108" s="3795" t="s">
        <v>3444</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1498.9532999999999</v>
      </c>
      <c r="C2" s="1387" t="s">
        <v>879</v>
      </c>
      <c r="D2" s="1471">
        <f ca="1">C40+J29+L46</f>
        <v>14989533</v>
      </c>
      <c r="E2" s="1388" t="s">
        <v>880</v>
      </c>
      <c r="F2" s="1389"/>
      <c r="G2" s="2706"/>
      <c r="H2" s="2695"/>
      <c r="I2" s="2695"/>
      <c r="J2" s="2695"/>
      <c r="K2" s="2696"/>
      <c r="L2" s="2695"/>
      <c r="M2" s="2695"/>
    </row>
    <row r="3" spans="1:37" ht="18" customHeight="1" thickBot="1">
      <c r="A3" s="1390" t="s">
        <v>881</v>
      </c>
      <c r="B3" s="1391">
        <f ca="1">IF(ISERROR(D2/F43),0,ROUND(D2/F43,0))</f>
        <v>15203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1041660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1036410</v>
      </c>
      <c r="D6" s="155" t="s">
        <v>2106</v>
      </c>
      <c r="E6" s="302" t="s">
        <v>696</v>
      </c>
      <c r="F6" s="303">
        <f ca="1">INDIRECT("'数据-取费表'!u"&amp;$G$1)</f>
        <v>3.2</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985.93</v>
      </c>
      <c r="G7" s="1384"/>
      <c r="H7" s="304"/>
      <c r="I7" s="3639"/>
      <c r="J7" s="306"/>
      <c r="K7" s="307"/>
      <c r="L7" s="302" t="s">
        <v>697</v>
      </c>
      <c r="M7" s="303">
        <f ca="1">F7</f>
        <v>985.93</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5250</v>
      </c>
      <c r="D10" s="1366" t="s">
        <v>2116</v>
      </c>
      <c r="E10" s="313" t="s">
        <v>701</v>
      </c>
      <c r="F10" s="1116" t="s">
        <v>3403</v>
      </c>
      <c r="G10" s="1384"/>
      <c r="H10" s="1069" t="s">
        <v>402</v>
      </c>
      <c r="I10" s="1365" t="s">
        <v>700</v>
      </c>
      <c r="J10" s="301">
        <f ca="1">ROUND(IF(M10="押一",J6/12*M11,IF(M10="押二",J6/12*2*M11,IF(M10="押三",J6/12*3*M11,J11*M11))),0)</f>
        <v>0</v>
      </c>
      <c r="K10" s="1377" t="s">
        <v>2118</v>
      </c>
      <c r="L10" s="313" t="s">
        <v>701</v>
      </c>
      <c r="M10" s="1116" t="s">
        <v>3407</v>
      </c>
    </row>
    <row r="11" spans="1:37" ht="18" customHeight="1">
      <c r="A11" s="308"/>
      <c r="B11" s="1367" t="s">
        <v>890</v>
      </c>
      <c r="C11" s="959">
        <v>350000</v>
      </c>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4035870</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3450755</v>
      </c>
      <c r="D14" s="1345" t="s">
        <v>708</v>
      </c>
      <c r="E14" s="1342"/>
      <c r="F14" s="319"/>
      <c r="G14" s="1384"/>
      <c r="H14" s="982" t="s">
        <v>398</v>
      </c>
      <c r="I14" s="302" t="s">
        <v>709</v>
      </c>
      <c r="J14" s="21">
        <f ca="1">C29</f>
        <v>4982555</v>
      </c>
      <c r="K14" s="12"/>
      <c r="L14" s="807"/>
      <c r="M14" s="808"/>
    </row>
    <row r="15" spans="1:37" s="1397" customFormat="1" ht="18" customHeight="1" thickBot="1">
      <c r="A15" s="982" t="s">
        <v>399</v>
      </c>
      <c r="B15" s="302" t="s">
        <v>710</v>
      </c>
      <c r="C15" s="21">
        <f ca="1">ROUND(C14*F15,0)</f>
        <v>103523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49826</v>
      </c>
      <c r="K16" s="1087" t="s">
        <v>715</v>
      </c>
      <c r="L16" s="1088"/>
      <c r="M16" s="1072"/>
    </row>
    <row r="17" spans="1:37" s="1397" customFormat="1" ht="18" customHeight="1">
      <c r="A17" s="982" t="s">
        <v>681</v>
      </c>
      <c r="B17" s="302" t="s">
        <v>716</v>
      </c>
      <c r="C17" s="21">
        <f ca="1">ROUND(F17*(F43+INDIRECT("'数据-取费表'!S"&amp;$G$1)),0)</f>
        <v>197186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51761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3803225</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76065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49826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137714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-49826</v>
      </c>
      <c r="K25" s="1095" t="s">
        <v>753</v>
      </c>
      <c r="L25" s="1096"/>
      <c r="M25" s="1097"/>
    </row>
    <row r="26" spans="1:37" ht="18" customHeight="1">
      <c r="A26" s="982" t="s">
        <v>397</v>
      </c>
      <c r="B26" s="302" t="s">
        <v>754</v>
      </c>
      <c r="C26" s="21">
        <f ca="1">ROUND((C19+C20)*F26,0)</f>
        <v>581894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4982555</v>
      </c>
      <c r="D29" s="1092"/>
      <c r="E29" s="1090"/>
      <c r="F29" s="1093"/>
      <c r="G29" s="1396"/>
      <c r="H29" s="334" t="s">
        <v>396</v>
      </c>
      <c r="I29" s="335" t="s">
        <v>768</v>
      </c>
      <c r="J29" s="336">
        <f ca="1">ROUND(J26/(1+F40)^F41,0)</f>
        <v>0</v>
      </c>
      <c r="K29" s="337" t="s">
        <v>769</v>
      </c>
      <c r="L29" s="338"/>
      <c r="M29" s="339">
        <f ca="1">INDIRECT("'数据-取费表'!k"&amp;$G$1)</f>
        <v>985.93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135391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69094</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49826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6054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10417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906269</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14650091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14859</v>
      </c>
      <c r="D43" s="337" t="s">
        <v>777</v>
      </c>
      <c r="E43" s="338" t="s">
        <v>778</v>
      </c>
      <c r="F43" s="339">
        <f ca="1">INDIRECT("'数据-取费表'!k"&amp;$G$1)</f>
        <v>985.93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-1536.9548</v>
      </c>
      <c r="D45" s="3432" t="s">
        <v>3358</v>
      </c>
      <c r="E45" s="1400"/>
      <c r="F45" s="1400"/>
      <c r="O45" s="1403" t="s">
        <v>808</v>
      </c>
      <c r="P45" s="1461"/>
      <c r="Q45" s="1461"/>
      <c r="R45" s="1461"/>
    </row>
    <row r="46" spans="1:18" s="1384" customFormat="1" ht="13.5" thickBot="1">
      <c r="A46" s="1404" t="s">
        <v>809</v>
      </c>
      <c r="C46" s="1405">
        <f ca="1">ROUND(C45,0)</f>
        <v>-1537</v>
      </c>
      <c r="D46" s="1406" t="str">
        <f>C2</f>
        <v>万元</v>
      </c>
      <c r="I46" s="1407" t="s">
        <v>810</v>
      </c>
      <c r="J46" s="1408"/>
      <c r="K46" s="1409"/>
      <c r="L46" s="1410">
        <f ca="1">IF(M47="住宅",0,IF(L48&gt;J51,L60,J60))</f>
        <v>339442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40</v>
      </c>
      <c r="M47" s="1380" t="str">
        <f>IF(ISNUMBER(FIND("住宅",C1)),"住宅","非住宅")</f>
        <v>非住宅</v>
      </c>
      <c r="O47" s="1418" t="s">
        <v>403</v>
      </c>
      <c r="P47" s="1419" t="s">
        <v>817</v>
      </c>
      <c r="Q47" s="1420">
        <f ca="1">C40+J29</f>
        <v>14650091</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23</v>
      </c>
      <c r="O48" s="1418" t="s">
        <v>404</v>
      </c>
      <c r="P48" s="1419" t="s">
        <v>821</v>
      </c>
      <c r="Q48" s="1420">
        <f ca="1">J60</f>
        <v>339442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2009</v>
      </c>
      <c r="K49" s="1423" t="s">
        <v>824</v>
      </c>
      <c r="L49" s="1427"/>
      <c r="O49" s="1428" t="s">
        <v>405</v>
      </c>
      <c r="P49" s="1419" t="s">
        <v>825</v>
      </c>
      <c r="Q49" s="1420">
        <f ca="1">C29</f>
        <v>4982555</v>
      </c>
      <c r="R49" s="1420" t="s">
        <v>818</v>
      </c>
    </row>
    <row r="50" spans="1:18" s="1384" customFormat="1" ht="13.5" thickBot="1">
      <c r="A50" s="976"/>
      <c r="B50" s="979"/>
      <c r="C50" s="980"/>
      <c r="D50" s="953"/>
      <c r="E50" s="1056" t="s">
        <v>697</v>
      </c>
      <c r="F50" s="1057">
        <f ca="1">F7</f>
        <v>985.93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10792028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23</v>
      </c>
      <c r="K53" s="3636" t="s">
        <v>837</v>
      </c>
      <c r="L53" s="3637"/>
      <c r="O53" s="1418" t="s">
        <v>409</v>
      </c>
      <c r="P53" s="1419" t="s">
        <v>838</v>
      </c>
      <c r="Q53" s="1420">
        <f ca="1">Q47+Q48</f>
        <v>14989533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0.38300000000000001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4035870</v>
      </c>
      <c r="D56" s="1447"/>
      <c r="E56" s="1448"/>
      <c r="F56" s="1440"/>
      <c r="I56" s="1449" t="s">
        <v>842</v>
      </c>
      <c r="J56" s="1450" t="s">
        <v>3406</v>
      </c>
      <c r="K56" s="1421" t="s">
        <v>843</v>
      </c>
      <c r="L56" s="1424" t="str">
        <f ca="1">IF(L48&lt;J51,"——",L48-J51)</f>
        <v>——</v>
      </c>
      <c r="O56" s="1418" t="s">
        <v>403</v>
      </c>
      <c r="P56" s="1419" t="s">
        <v>817</v>
      </c>
      <c r="Q56" s="1420">
        <f ca="1">C40+J29</f>
        <v>14650091</v>
      </c>
      <c r="R56" s="1420" t="s">
        <v>818</v>
      </c>
    </row>
    <row r="57" spans="1:18" s="1384" customFormat="1" ht="24.75" thickBot="1">
      <c r="A57" s="1451"/>
      <c r="B57" s="950" t="s">
        <v>767</v>
      </c>
      <c r="C57" s="238">
        <f ca="1">C29</f>
        <v>4982555</v>
      </c>
      <c r="D57" s="1452"/>
      <c r="E57" s="1453"/>
      <c r="F57" s="1454"/>
      <c r="I57" s="1455" t="s">
        <v>844</v>
      </c>
      <c r="J57" s="1456">
        <f ca="1">IF(OR(M47="住宅",J51&lt;L48,J56="是"),"——",J51-L48)</f>
        <v>23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55880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1993022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339442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14650091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49826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6054</v>
      </c>
      <c r="D65" s="964" t="s">
        <v>743</v>
      </c>
      <c r="E65" s="950" t="s">
        <v>744</v>
      </c>
      <c r="F65" s="330">
        <f t="shared" ca="1" si="0"/>
        <v>1.5E-3</v>
      </c>
      <c r="I65" s="1462" t="s">
        <v>867</v>
      </c>
      <c r="J65" s="1463">
        <v>40</v>
      </c>
      <c r="K65" s="1463">
        <v>30</v>
      </c>
      <c r="L65" s="1463">
        <v>50</v>
      </c>
      <c r="M65" s="1465">
        <v>0.02</v>
      </c>
      <c r="O65" s="1418" t="s">
        <v>403</v>
      </c>
      <c r="P65" s="1419" t="s">
        <v>868</v>
      </c>
      <c r="Q65" s="1420">
        <f ca="1">C40+J29</f>
        <v>14650091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-55880</v>
      </c>
      <c r="D67" s="963" t="s">
        <v>753</v>
      </c>
      <c r="E67" s="968"/>
      <c r="F67" s="969"/>
      <c r="O67" s="1428" t="s">
        <v>405</v>
      </c>
      <c r="P67" s="1419" t="s">
        <v>850</v>
      </c>
      <c r="Q67" s="1466">
        <f ca="1">L51</f>
        <v>10792028</v>
      </c>
      <c r="R67" s="1420" t="s">
        <v>870</v>
      </c>
    </row>
    <row r="68" spans="1:18" s="1384" customFormat="1" ht="16.5" thickBot="1">
      <c r="A68" s="947" t="s">
        <v>395</v>
      </c>
      <c r="B68" s="948" t="s">
        <v>774</v>
      </c>
      <c r="C68" s="301">
        <f ca="1">ROUND(C67*(1-((1+F70)/(1+F68))^F69)/(F68-F70),0)</f>
        <v>-719457</v>
      </c>
      <c r="D68" s="965" t="s">
        <v>758</v>
      </c>
      <c r="E68" s="950" t="s">
        <v>759</v>
      </c>
      <c r="F68" s="312">
        <f ca="1">F40</f>
        <v>5.5E-2</v>
      </c>
      <c r="O68" s="1428" t="s">
        <v>406</v>
      </c>
      <c r="P68" s="1467" t="s">
        <v>871</v>
      </c>
      <c r="Q68" s="1420">
        <f ca="1">ROUND(Q69-Q70*Q71,0)</f>
        <v>603579</v>
      </c>
      <c r="R68" s="1420" t="s">
        <v>414</v>
      </c>
    </row>
    <row r="69" spans="1:18" s="1384" customFormat="1" ht="13.5" thickBot="1">
      <c r="A69" s="951"/>
      <c r="B69" s="952"/>
      <c r="C69" s="306"/>
      <c r="D69" s="970" t="s">
        <v>762</v>
      </c>
      <c r="E69" s="950" t="s">
        <v>763</v>
      </c>
      <c r="F69" s="333">
        <f ca="1">F41</f>
        <v>23</v>
      </c>
      <c r="O69" s="1428" t="s">
        <v>411</v>
      </c>
      <c r="P69" s="1467" t="s">
        <v>872</v>
      </c>
      <c r="Q69" s="1420">
        <f ca="1">C39</f>
        <v>906269</v>
      </c>
      <c r="R69" s="1420" t="s">
        <v>818</v>
      </c>
    </row>
    <row r="70" spans="1:18" s="1384" customFormat="1" ht="13.5" thickBot="1">
      <c r="A70" s="954"/>
      <c r="B70" s="955"/>
      <c r="C70" s="310"/>
      <c r="D70" s="966"/>
      <c r="E70" s="950" t="s">
        <v>766</v>
      </c>
      <c r="F70" s="1054"/>
      <c r="O70" s="1428" t="s">
        <v>412</v>
      </c>
      <c r="P70" s="1467" t="s">
        <v>873</v>
      </c>
      <c r="Q70" s="1420">
        <f ca="1">C13</f>
        <v>4035870</v>
      </c>
      <c r="R70" s="1420" t="s">
        <v>818</v>
      </c>
    </row>
    <row r="71" spans="1:18" s="1384" customFormat="1" ht="13.5" thickBot="1">
      <c r="A71" s="971" t="s">
        <v>396</v>
      </c>
      <c r="B71" s="972" t="s">
        <v>776</v>
      </c>
      <c r="C71" s="336">
        <f ca="1">ROUND(C68/F71,0)</f>
        <v>-730</v>
      </c>
      <c r="D71" s="973" t="s">
        <v>777</v>
      </c>
      <c r="E71" s="974" t="s">
        <v>778</v>
      </c>
      <c r="F71" s="339">
        <f ca="1">F43</f>
        <v>985.93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302690</v>
      </c>
      <c r="D75" s="1384"/>
      <c r="E75" s="1384"/>
      <c r="F75" s="1384"/>
      <c r="K75" s="1402"/>
      <c r="L75" s="1384"/>
      <c r="O75" s="1418" t="s">
        <v>409</v>
      </c>
      <c r="P75" s="1419" t="s">
        <v>838</v>
      </c>
      <c r="Q75" s="1420">
        <f ca="1">Q65+Q66</f>
        <v>14650091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0.66599999999999993</v>
      </c>
    </row>
    <row r="80" spans="1:18">
      <c r="B80" s="340" t="s">
        <v>800</v>
      </c>
      <c r="C80" s="274">
        <f ca="1">ROUND(C75/C39,3)</f>
        <v>0.33400000000000002</v>
      </c>
    </row>
    <row r="81" spans="2:3">
      <c r="B81" s="270" t="s">
        <v>801</v>
      </c>
      <c r="C81" s="238"/>
    </row>
    <row r="82" spans="2:3">
      <c r="B82" s="273" t="s">
        <v>802</v>
      </c>
      <c r="C82" s="275">
        <f ca="1">1-C83</f>
        <v>0.72499999999999998</v>
      </c>
    </row>
    <row r="83" spans="2:3">
      <c r="B83" s="273" t="s">
        <v>803</v>
      </c>
      <c r="C83" s="274">
        <f ca="1">ROUND(C13/C40,3)</f>
        <v>0.27500000000000002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4" sqref="J2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1677.1853000000001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17011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9434665.5599999987</v>
      </c>
      <c r="D5" s="211" t="s">
        <v>1469</v>
      </c>
      <c r="E5" s="212" t="s">
        <v>1470</v>
      </c>
      <c r="F5" s="212" t="s">
        <v>1471</v>
      </c>
      <c r="G5" s="213"/>
    </row>
    <row r="6" spans="1:8" s="214" customFormat="1" ht="13.5" customHeight="1">
      <c r="A6" s="778" t="s">
        <v>1472</v>
      </c>
      <c r="B6" s="215" t="s">
        <v>1473</v>
      </c>
      <c r="C6" s="216">
        <f>基准地价修正!C37*基准地价修正!D37</f>
        <v>8964075.5599999987</v>
      </c>
      <c r="D6" s="217"/>
      <c r="E6" s="218"/>
      <c r="F6" s="218"/>
      <c r="G6" s="219"/>
    </row>
    <row r="7" spans="1:8" s="214" customFormat="1" ht="13.5" customHeight="1">
      <c r="A7" s="778" t="s">
        <v>1474</v>
      </c>
      <c r="B7" s="215" t="s">
        <v>1475</v>
      </c>
      <c r="C7" s="220">
        <f>ROUND(C6*F7,0)</f>
        <v>273404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197186</v>
      </c>
      <c r="D8" s="222"/>
      <c r="E8" s="220"/>
      <c r="F8" s="221"/>
      <c r="G8" s="1856" t="s">
        <v>3401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197186</v>
      </c>
      <c r="D10" s="845">
        <f ca="1">IF(B1="",'数据-汇总表'!E6,IF(INDIRECT("'数据-取费表'!c"&amp;$G$1)="住宅",INDIRECT("'数据-取费表'!s"&amp;$G$1),INDIRECT("'数据-取费表'!k"&amp;$G$1)+INDIRECT("'数据-取费表'!s"&amp;$G$1)))</f>
        <v>985.93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985.93</v>
      </c>
      <c r="E19" s="211">
        <f>'数据-取费表'!B31</f>
        <v>200</v>
      </c>
      <c r="F19" s="231"/>
      <c r="G19" s="1856" t="s">
        <v>3402</v>
      </c>
    </row>
    <row r="20" spans="1:7" s="214" customFormat="1" ht="13.5" customHeight="1">
      <c r="A20" s="255" t="s">
        <v>1574</v>
      </c>
      <c r="B20" s="210" t="s">
        <v>1575</v>
      </c>
      <c r="C20" s="232">
        <f ca="1">ROUND((C5+C19)*F20,0)</f>
        <v>188693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688450</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681751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6699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1443504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1443504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12735983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3803225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3450755</v>
      </c>
      <c r="D34" s="217"/>
      <c r="E34" s="220"/>
      <c r="F34" s="257"/>
      <c r="G34" s="219"/>
    </row>
    <row r="35" spans="1:7" ht="13.5" customHeight="1">
      <c r="A35" s="780" t="s">
        <v>351</v>
      </c>
      <c r="B35" s="215" t="s">
        <v>1527</v>
      </c>
      <c r="C35" s="220">
        <f ca="1">ROUND(C34*F35,0)</f>
        <v>103523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197186</v>
      </c>
      <c r="D37" s="217">
        <f ca="1">D19</f>
        <v>985.93</v>
      </c>
      <c r="E37" s="249">
        <f>'数据-取费表'!B35</f>
        <v>200</v>
      </c>
      <c r="F37" s="259"/>
      <c r="G37" s="261"/>
    </row>
    <row r="38" spans="1:7" ht="13.5" customHeight="1">
      <c r="A38" s="780" t="s">
        <v>354</v>
      </c>
      <c r="B38" s="215" t="s">
        <v>1533</v>
      </c>
      <c r="C38" s="220">
        <f ca="1">ROUND(C34*F38,0)</f>
        <v>51761</v>
      </c>
      <c r="D38" s="220"/>
      <c r="E38" s="220"/>
      <c r="F38" s="259">
        <f>'数据-取费表'!B36</f>
        <v>1.4999999999999999E-2</v>
      </c>
      <c r="G38" s="219" t="s">
        <v>1528</v>
      </c>
    </row>
    <row r="39" spans="1:7" s="214" customFormat="1" ht="13.5" customHeight="1">
      <c r="A39" s="255" t="s">
        <v>1534</v>
      </c>
      <c r="B39" s="210" t="s">
        <v>1535</v>
      </c>
      <c r="C39" s="232">
        <f ca="1">ROUND(C33*F20,0)</f>
        <v>76065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137714</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135014</v>
      </c>
      <c r="D42" s="238"/>
      <c r="E42" s="238"/>
      <c r="F42" s="239"/>
      <c r="G42" s="3633" t="s">
        <v>1591</v>
      </c>
    </row>
    <row r="43" spans="1:7" ht="13.5" customHeight="1">
      <c r="A43" s="780" t="s">
        <v>347</v>
      </c>
      <c r="B43" s="215" t="s">
        <v>1545</v>
      </c>
      <c r="C43" s="238">
        <f ca="1">ROUND(IF('数据-取费表'!B22&lt;=1,C39*F22*'数据-取费表'!B20/2,C39*(POWER((1+F22),'数据-取费表'!B20/2)-1)),0)</f>
        <v>2700</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581894</v>
      </c>
      <c r="D45" s="235">
        <f ca="1">C47</f>
        <v>3.0000000000000001E-3</v>
      </c>
      <c r="E45" s="236" t="s">
        <v>1539</v>
      </c>
      <c r="F45" s="246">
        <f ca="1">F27</f>
        <v>0.15</v>
      </c>
      <c r="G45" s="247" t="s">
        <v>1548</v>
      </c>
    </row>
    <row r="46" spans="1:7" s="214" customFormat="1" ht="13.5" customHeight="1">
      <c r="A46" s="780" t="s">
        <v>346</v>
      </c>
      <c r="B46" s="248" t="s">
        <v>1549</v>
      </c>
      <c r="C46" s="249">
        <f ca="1">ROUND((C33+C39)*F27,0)</f>
        <v>581894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4982555</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4035870</v>
      </c>
      <c r="D51" s="232"/>
      <c r="E51" s="232"/>
      <c r="F51" s="264"/>
      <c r="G51" s="234" t="s">
        <v>1560</v>
      </c>
    </row>
    <row r="52" spans="1:7" s="208" customFormat="1" ht="16.5" thickBot="1">
      <c r="A52" s="265" t="s">
        <v>1561</v>
      </c>
      <c r="B52" s="266"/>
      <c r="C52" s="267">
        <f ca="1">C31+C51</f>
        <v>16771853</v>
      </c>
      <c r="D52" s="266"/>
      <c r="E52" s="266"/>
      <c r="F52" s="266"/>
      <c r="G52" s="268"/>
    </row>
    <row r="55" spans="1:7" ht="15">
      <c r="B55" s="270" t="s">
        <v>1562</v>
      </c>
      <c r="C55" s="271"/>
    </row>
    <row r="56" spans="1:7">
      <c r="B56" s="273" t="s">
        <v>802</v>
      </c>
      <c r="C56" s="275">
        <f ca="1">1-C57</f>
        <v>0.75900000000000001</v>
      </c>
    </row>
    <row r="57" spans="1:7">
      <c r="B57" s="273" t="s">
        <v>803</v>
      </c>
      <c r="C57" s="274">
        <f ca="1">ROUND(C51/C52,3)</f>
        <v>0.24099999999999999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224757</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2279645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985.93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985.93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-197166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20</v>
      </c>
      <c r="D20" s="846">
        <f ca="1">IF(C1="",'数据-汇总表'!E6,IF(INDIRECT("'数据-取费表'!c"&amp;$K$1)="住宅",INDIRECT("'数据-取费表'!s"&amp;$K$1),INDIRECT("'数据-取费表'!k"&amp;$K$1)+INDIRECT("'数据-取费表'!s"&amp;$K$1)))</f>
        <v>985.93</v>
      </c>
      <c r="E20" s="21">
        <f>'数据-取费表'!B28</f>
        <v>200</v>
      </c>
      <c r="F20" s="804"/>
      <c r="G20" s="12"/>
      <c r="H20" s="809"/>
      <c r="I20" s="809"/>
      <c r="J20" s="809"/>
      <c r="K20" s="810"/>
    </row>
    <row r="21" spans="1:33" s="803" customFormat="1" ht="13.5" customHeight="1">
      <c r="A21" s="790" t="s">
        <v>357</v>
      </c>
      <c r="B21" s="813" t="s">
        <v>1628</v>
      </c>
      <c r="C21" s="814">
        <f ca="1">C16+C17+C18</f>
        <v>-197166</v>
      </c>
      <c r="D21" s="815"/>
      <c r="E21" s="281"/>
      <c r="F21" s="281"/>
      <c r="G21" s="131" t="s">
        <v>1629</v>
      </c>
      <c r="H21" s="807"/>
      <c r="I21" s="807"/>
      <c r="J21" s="807"/>
      <c r="K21" s="808"/>
    </row>
    <row r="22" spans="1:33" s="803" customFormat="1" ht="13.5" customHeight="1">
      <c r="A22" s="790" t="s">
        <v>1601</v>
      </c>
      <c r="B22" s="813" t="s">
        <v>1630</v>
      </c>
      <c r="C22" s="814">
        <f ca="1">ROUND(C21*F22,0)</f>
        <v>-3943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-30166</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-30166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224757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1498.9532999999999</v>
      </c>
      <c r="C2" s="1872" t="s">
        <v>1651</v>
      </c>
      <c r="D2" s="1873" t="s">
        <v>1652</v>
      </c>
      <c r="E2" s="2607">
        <f>SUM(E6:E13)</f>
        <v>985.93</v>
      </c>
      <c r="F2" s="2707"/>
      <c r="G2" s="1489"/>
      <c r="H2" s="1489"/>
      <c r="I2" s="1489"/>
      <c r="J2" s="1489"/>
      <c r="K2" s="1489"/>
      <c r="L2" s="1489"/>
      <c r="M2" s="1489"/>
      <c r="N2" s="1489"/>
      <c r="O2" s="1489"/>
      <c r="P2" s="1489"/>
      <c r="Q2" s="1489"/>
      <c r="R2" s="1489"/>
      <c r="S2" s="1489"/>
    </row>
    <row r="3" spans="1:22" ht="15.75">
      <c r="A3" s="1870" t="s">
        <v>686</v>
      </c>
      <c r="B3" s="2601">
        <f ca="1">ROUND(B2*10000/E2,0)</f>
        <v>15203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1498.9532999999999</v>
      </c>
      <c r="C6" s="1872" t="s">
        <v>1651</v>
      </c>
      <c r="D6" s="2709"/>
      <c r="E6" s="2606">
        <f>IF(OR(A6=0,F6="否"),0,'数据-取费表'!K6+'数据-取费表'!S6)</f>
        <v>985.93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985.93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45111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41" sqref="M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985.93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45111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估价对象为北京市房地产，为所有。根据《国有土地使用证》[]，估价对象（分摊）出让国有建设用地使用权面积为0平方米，建筑面积为985.93平方米。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估价对象为北京市房地产,属开发建设的，该项目尚在开发建设中。根据《国有土地使用证》[]，估价对象（分摊）出让国有建设用地使用权面积为0平方米，规划建筑面积为985.93平方米。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M41" sqref="M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985.93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45111</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M41" sqref="M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45111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M41" sqref="M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45111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45111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9"/>
      <c r="M10" s="2720"/>
      <c r="N10" s="2720"/>
      <c r="O10" s="2773"/>
      <c r="P10" s="3665"/>
      <c r="Q10" s="1343" t="str">
        <f t="shared" si="6"/>
        <v>土地使用年限（年）</v>
      </c>
      <c r="R10" s="701" t="s">
        <v>14</v>
      </c>
      <c r="S10" s="702">
        <f t="shared" si="0"/>
        <v>127</v>
      </c>
      <c r="T10" s="701" t="s">
        <v>14</v>
      </c>
      <c r="U10" s="702">
        <f t="shared" si="1"/>
        <v>127</v>
      </c>
      <c r="V10" s="701" t="s">
        <v>14</v>
      </c>
      <c r="W10" s="702">
        <f t="shared" si="2"/>
        <v>127</v>
      </c>
      <c r="X10" s="703"/>
      <c r="Y10" s="3540"/>
      <c r="Z10" s="52" t="str">
        <f t="shared" si="7"/>
        <v>土地使用年限（年）</v>
      </c>
      <c r="AA10" s="704">
        <f t="shared" si="3"/>
        <v>0.78740157480314965</v>
      </c>
      <c r="AB10" s="704">
        <f t="shared" si="4"/>
        <v>0.78740157480314965</v>
      </c>
      <c r="AC10" s="704">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45111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9"/>
      <c r="M10" s="2720"/>
      <c r="N10" s="2720"/>
      <c r="O10" s="2773"/>
      <c r="P10" s="3665"/>
      <c r="Q10" s="1343" t="str">
        <f t="shared" si="6"/>
        <v>土地使用年限（年）</v>
      </c>
      <c r="R10" s="701" t="s">
        <v>14</v>
      </c>
      <c r="S10" s="702">
        <f t="shared" si="0"/>
        <v>127</v>
      </c>
      <c r="T10" s="701" t="s">
        <v>14</v>
      </c>
      <c r="U10" s="702">
        <f t="shared" si="1"/>
        <v>127</v>
      </c>
      <c r="V10" s="701" t="s">
        <v>14</v>
      </c>
      <c r="W10" s="702">
        <f t="shared" si="2"/>
        <v>127</v>
      </c>
      <c r="X10" s="703"/>
      <c r="Y10" s="3540"/>
      <c r="Z10" s="52" t="str">
        <f t="shared" si="7"/>
        <v>土地使用年限（年）</v>
      </c>
      <c r="AA10" s="704">
        <f t="shared" si="3"/>
        <v>0.78740157480314965</v>
      </c>
      <c r="AB10" s="704">
        <f t="shared" si="4"/>
        <v>0.78740157480314965</v>
      </c>
      <c r="AC10" s="704">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896</v>
      </c>
      <c r="C2" s="2145" t="s">
        <v>2074</v>
      </c>
      <c r="D2" s="2145" t="s">
        <v>2075</v>
      </c>
      <c r="E2" s="2612">
        <f ca="1">SUMIF(E6:E13,"&lt;&gt;#ref!",E6:E13)</f>
        <v>985.93</v>
      </c>
      <c r="F2" s="2793"/>
      <c r="G2" s="2793"/>
      <c r="H2" s="2793"/>
      <c r="I2" s="2793"/>
      <c r="J2" s="2793"/>
      <c r="K2" s="2793"/>
      <c r="L2" s="2793"/>
      <c r="M2" s="2793"/>
      <c r="N2" s="2793"/>
      <c r="O2" s="2793"/>
      <c r="P2" s="2793"/>
    </row>
    <row r="3" spans="1:16" ht="15.75">
      <c r="A3" s="2145" t="s">
        <v>2076</v>
      </c>
      <c r="B3" s="2602">
        <f ca="1">ROUND(B2*10000/E2,0)</f>
        <v>9088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896</v>
      </c>
      <c r="C6" s="2145" t="s">
        <v>2074</v>
      </c>
      <c r="D6" s="2793"/>
      <c r="E6" s="2612">
        <f ca="1">SUMIF(INDIRECT("'"&amp;A6&amp;"'"&amp;"!C:C"),"建筑面积",INDIRECT("'"&amp;A6&amp;"'"&amp;"!D:D"))</f>
        <v>985.93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0" sqref="E3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985.93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896</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Ⅳ-19</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22759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9088</v>
      </c>
      <c r="C3" s="1999" t="s">
        <v>1941</v>
      </c>
      <c r="D3" s="2000" t="s">
        <v>1942</v>
      </c>
      <c r="E3" s="3420" t="s">
        <v>2443</v>
      </c>
      <c r="F3" s="2004" t="s">
        <v>3387</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17939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17610</v>
      </c>
      <c r="N4" s="866">
        <f>SUMPRODUCT((因素修正幅度!B55:B86=I2)*(因素修正幅度!C3:G3=E2)*(因素修正幅度!C55:G86))</f>
        <v>0.1</v>
      </c>
      <c r="O4" s="1119"/>
      <c r="P4" s="1119"/>
      <c r="Q4" s="1119"/>
      <c r="R4" s="1212">
        <v>3</v>
      </c>
      <c r="S4" s="3361">
        <f>ROUND(SUMPRODUCT((B106:B110=R4)*(C105:N105=G2)*(C106:N110)),4)</f>
        <v>1.0004999999999999</v>
      </c>
      <c r="T4" s="3361">
        <f t="shared" si="0"/>
        <v>15161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17594</v>
      </c>
      <c r="D5" s="1339">
        <f>ROUND(C6*C17+C20,0)</f>
        <v>17594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13371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17610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12850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3388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-16</v>
      </c>
      <c r="D20" s="3341" t="s">
        <v>1998</v>
      </c>
      <c r="E20" s="3342"/>
      <c r="F20" s="3755" t="s">
        <v>1995</v>
      </c>
      <c r="G20" s="3756"/>
      <c r="H20" s="3326" t="s">
        <v>3389</v>
      </c>
      <c r="I20" s="3326" t="s">
        <v>3390</v>
      </c>
      <c r="J20" s="3327" t="s">
        <v>3391</v>
      </c>
      <c r="K20" s="2047" t="s">
        <v>3392</v>
      </c>
      <c r="L20" s="2047" t="s">
        <v>3393</v>
      </c>
      <c r="M20" s="2047" t="s">
        <v>3395</v>
      </c>
      <c r="N20" s="2047"/>
      <c r="O20" s="2048" t="s">
        <v>3394</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4" t="s">
        <v>2002</v>
      </c>
      <c r="E23" s="761">
        <v>44197</v>
      </c>
      <c r="F23" s="2054" t="s">
        <v>2003</v>
      </c>
      <c r="G23" s="762">
        <f>'数据-取费表'!B2</f>
        <v>45111</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0.8024</v>
      </c>
      <c r="D24" s="2060" t="s">
        <v>2007</v>
      </c>
      <c r="E24" s="1335">
        <f>存贷款利率!E23/100</f>
        <v>4.3499999999999997E-2</v>
      </c>
      <c r="F24" s="2060" t="s">
        <v>1999</v>
      </c>
      <c r="G24" s="768">
        <f>SUMIF(M30:Q30,E2,M33:Q33)</f>
        <v>5.5E-2</v>
      </c>
      <c r="H24" s="2060" t="s">
        <v>2008</v>
      </c>
      <c r="I24" s="769">
        <f>SUMIF('数据-取费表'!C6:C15,E2,'数据-取费表'!F6:F15)/COUNTIF('数据-取费表'!C6:C15,E2)</f>
        <v>23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1.0395000000000001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896</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224</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9092</v>
      </c>
      <c r="D37" s="2098">
        <f>'数据-基础表'!I13</f>
        <v>985.93</v>
      </c>
      <c r="E37" s="171">
        <f>ROUND(C37*D37/10000,0)</f>
        <v>896</v>
      </c>
      <c r="F37" s="171">
        <f>SUMIF(修正!A57:A68,G2,修正!B57:B68)</f>
        <v>0.6</v>
      </c>
      <c r="G37" s="171">
        <f>ROUND(IF(E2="工业",C37*$M$42,C37*$M$41),0)</f>
        <v>2273</v>
      </c>
      <c r="H37" s="171">
        <f>D37</f>
        <v>985.93</v>
      </c>
      <c r="I37" s="171">
        <f>ROUND(G37*H37/10000,0)</f>
        <v>224</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4546</v>
      </c>
      <c r="D38" s="2098"/>
      <c r="E38" s="171">
        <f t="shared" ref="E38:E42" si="4">ROUND(C38*D38/10000,0)</f>
        <v>0</v>
      </c>
      <c r="F38" s="171">
        <f>SUMIF(修正!A57:A68,G2,修正!C57:C68)</f>
        <v>0.3</v>
      </c>
      <c r="G38" s="171">
        <f>ROUND(IF(E2="工业",C38*$M$42,C38*$M$41),0)</f>
        <v>1137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3788</v>
      </c>
      <c r="D39" s="2098"/>
      <c r="E39" s="171">
        <f t="shared" si="4"/>
        <v>0</v>
      </c>
      <c r="F39" s="171">
        <f>SUMIF(修正!A57:A68,G2,修正!D57:D68)</f>
        <v>0.25</v>
      </c>
      <c r="G39" s="171">
        <f>ROUND(IF(E2="工业",C39*$M$42,C39*$M$41),0)</f>
        <v>947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3788</v>
      </c>
      <c r="D40" s="2098"/>
      <c r="E40" s="171">
        <f t="shared" si="4"/>
        <v>0</v>
      </c>
      <c r="F40" s="175">
        <f>SUMIF(修正!A57:A68,G2,修正!E57:E68)</f>
        <v>0.25</v>
      </c>
      <c r="G40" s="171">
        <f>ROUND(IF(E2="工业",C40*$M$42,C40*$M$41),0)</f>
        <v>947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1.0395000000000001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3398</v>
      </c>
      <c r="D50" s="1065">
        <f t="shared" ref="D50:D58" si="7">SUMIF($J$49:$N$49,C50,J50:N50)</f>
        <v>1.4999999999999999E-2</v>
      </c>
      <c r="E50" s="744">
        <f>ROUND(SUM(D50:D58),4)</f>
        <v>3.95E-2</v>
      </c>
      <c r="F50" s="1814">
        <f>IF(E2="商业",SUMIF(L1:L12,G2,N1:N12),"——")</f>
        <v>0.1</v>
      </c>
      <c r="G50" s="1063">
        <f>H50</f>
        <v>1.4999999999999999E-2</v>
      </c>
      <c r="H50" s="1066">
        <f t="shared" ref="H50:H58" si="8">IFERROR(ROUNDDOWN($F$50*I50/2,4),"——")</f>
        <v>1.4999999999999999E-2</v>
      </c>
      <c r="I50" s="3367">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3398</v>
      </c>
      <c r="D51" s="1065">
        <f t="shared" si="7"/>
        <v>1.0999999999999999E-2</v>
      </c>
      <c r="E51" s="745"/>
      <c r="F51" s="1814"/>
      <c r="G51" s="1063">
        <f t="shared" ref="G51:G58" si="12">H51</f>
        <v>1.0999999999999999E-2</v>
      </c>
      <c r="H51" s="1066">
        <f t="shared" si="8"/>
        <v>1.0999999999999999E-2</v>
      </c>
      <c r="I51" s="3367">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3398</v>
      </c>
      <c r="D52" s="1065">
        <f t="shared" si="7"/>
        <v>6.0000000000000001E-3</v>
      </c>
      <c r="E52" s="745"/>
      <c r="F52" s="1814"/>
      <c r="G52" s="1063">
        <f t="shared" si="12"/>
        <v>6.0000000000000001E-3</v>
      </c>
      <c r="H52" s="1066">
        <f t="shared" si="8"/>
        <v>6.0000000000000001E-3</v>
      </c>
      <c r="I52" s="3367">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3398</v>
      </c>
      <c r="D53" s="1065">
        <f t="shared" si="7"/>
        <v>2.5000000000000001E-3</v>
      </c>
      <c r="E53" s="745"/>
      <c r="F53" s="1814"/>
      <c r="G53" s="1063">
        <f t="shared" si="12"/>
        <v>2.5000000000000001E-3</v>
      </c>
      <c r="H53" s="1066">
        <f t="shared" si="8"/>
        <v>2.5000000000000001E-3</v>
      </c>
      <c r="I53" s="3367">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3399</v>
      </c>
      <c r="D54" s="1065">
        <f t="shared" si="7"/>
        <v>-8.0000000000000002E-3</v>
      </c>
      <c r="E54" s="745"/>
      <c r="F54" s="1814"/>
      <c r="G54" s="1063">
        <f t="shared" si="12"/>
        <v>4.0000000000000001E-3</v>
      </c>
      <c r="H54" s="1066">
        <f t="shared" si="8"/>
        <v>4.0000000000000001E-3</v>
      </c>
      <c r="I54" s="3367">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3398</v>
      </c>
      <c r="D55" s="1065">
        <f t="shared" si="7"/>
        <v>2.5000000000000001E-3</v>
      </c>
      <c r="E55" s="745"/>
      <c r="F55" s="1814"/>
      <c r="G55" s="1063">
        <f t="shared" si="12"/>
        <v>2.5000000000000001E-3</v>
      </c>
      <c r="H55" s="1066">
        <f t="shared" si="8"/>
        <v>2.5000000000000001E-3</v>
      </c>
      <c r="I55" s="3367">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3398</v>
      </c>
      <c r="D56" s="1065">
        <f t="shared" si="7"/>
        <v>2.5000000000000001E-3</v>
      </c>
      <c r="E56" s="745"/>
      <c r="F56" s="1814"/>
      <c r="G56" s="1063">
        <f t="shared" si="12"/>
        <v>2.5000000000000001E-3</v>
      </c>
      <c r="H56" s="1066">
        <f t="shared" si="8"/>
        <v>2.5000000000000001E-3</v>
      </c>
      <c r="I56" s="3367">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3400</v>
      </c>
      <c r="D57" s="1065">
        <f t="shared" si="7"/>
        <v>8.0000000000000002E-3</v>
      </c>
      <c r="E57" s="745"/>
      <c r="F57" s="1814"/>
      <c r="G57" s="1063">
        <f t="shared" si="12"/>
        <v>4.0000000000000001E-3</v>
      </c>
      <c r="H57" s="1066">
        <f t="shared" si="8"/>
        <v>4.0000000000000001E-3</v>
      </c>
      <c r="I57" s="3367">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3397</v>
      </c>
      <c r="D58" s="1065">
        <f t="shared" si="7"/>
        <v>0</v>
      </c>
      <c r="E58" s="746"/>
      <c r="F58" s="1814"/>
      <c r="G58" s="1063">
        <f t="shared" si="12"/>
        <v>2.5000000000000001E-3</v>
      </c>
      <c r="H58" s="1066">
        <f t="shared" si="8"/>
        <v>2.5000000000000001E-3</v>
      </c>
      <c r="I58" s="3368">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2.5</v>
      </c>
      <c r="C116" s="3400" t="s">
        <v>3319</v>
      </c>
      <c r="D116" s="3401">
        <f>SUMPRODUCT((A118:A122=F116)*(B117:M117=H116)*B118:M122)</f>
        <v>0.91400000000000003</v>
      </c>
      <c r="E116" s="2000" t="s">
        <v>3320</v>
      </c>
      <c r="F116" s="3402" t="str">
        <f>E2</f>
        <v>商业</v>
      </c>
      <c r="G116" s="2000" t="s">
        <v>3321</v>
      </c>
      <c r="H116" s="3402" t="str">
        <f>G2</f>
        <v>四级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3335</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3336</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3337</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1921</v>
      </c>
      <c r="E5" s="1491"/>
    </row>
    <row r="6" spans="1:5" ht="15.75">
      <c r="A6" s="1491"/>
      <c r="B6" s="3452"/>
      <c r="C6" s="1494" t="s">
        <v>911</v>
      </c>
      <c r="D6" s="850" t="str">
        <f ca="1">NUMBERSTRING(INT(D5*10000),2)&amp;"元整"</f>
        <v>壹仟玖佰贰拾壹万元整</v>
      </c>
      <c r="E6" s="1491"/>
    </row>
    <row r="7" spans="1:5" ht="15.75">
      <c r="A7" s="1491"/>
      <c r="B7" s="3457"/>
      <c r="C7" s="1495" t="s">
        <v>912</v>
      </c>
      <c r="D7" s="851">
        <f ca="1">结果表!H102</f>
        <v>19485</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1921</v>
      </c>
      <c r="E13" s="1491"/>
    </row>
    <row r="14" spans="1:5" ht="15.75">
      <c r="A14" s="1491"/>
      <c r="B14" s="3452"/>
      <c r="C14" s="1494" t="s">
        <v>911</v>
      </c>
      <c r="D14" s="850" t="str">
        <f ca="1">NUMBERSTRING(INT(D13*10000),2)&amp;"元整"</f>
        <v>壹仟玖佰贰拾壹万元整</v>
      </c>
      <c r="E14" s="1491"/>
    </row>
    <row r="15" spans="1:5" ht="15">
      <c r="A15" s="1491"/>
      <c r="B15" s="3457"/>
      <c r="C15" s="1495" t="s">
        <v>921</v>
      </c>
      <c r="D15" s="859">
        <f ca="1">结果表!H108</f>
        <v>19485</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28252</v>
      </c>
      <c r="C2" s="2" t="s">
        <v>106</v>
      </c>
      <c r="D2" s="199"/>
      <c r="E2" s="199"/>
      <c r="F2" s="199"/>
      <c r="G2" s="199"/>
    </row>
    <row r="3" spans="1:7" s="200" customFormat="1" ht="18" customHeight="1" thickBot="1">
      <c r="A3" s="203" t="s">
        <v>58</v>
      </c>
      <c r="B3" s="204">
        <f ca="1">ROUND(B2*10000/'数据-汇总表'!E3,0)</f>
        <v>286552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v>
      </c>
      <c r="D10" s="845">
        <f>'数据-汇总表'!E6</f>
        <v>985.93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v>
      </c>
      <c r="D19" s="849">
        <f>'数据-汇总表'!E3</f>
        <v>985.93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1505</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345</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v>
      </c>
      <c r="D37" s="217">
        <f>'数据-汇总表'!E3</f>
        <v>985.93</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58</v>
      </c>
      <c r="D45" s="235">
        <f>C47</f>
        <v>3.0000000000000001E-3</v>
      </c>
      <c r="E45" s="236" t="s">
        <v>102</v>
      </c>
      <c r="F45" s="246"/>
      <c r="G45" s="247" t="s">
        <v>434</v>
      </c>
    </row>
    <row r="46" spans="1:7" s="214" customFormat="1" ht="13.5" customHeight="1">
      <c r="A46" s="780" t="s">
        <v>349</v>
      </c>
      <c r="B46" s="248" t="s">
        <v>427</v>
      </c>
      <c r="C46" s="249">
        <f>ROUND((C33+C39)*F27,0)</f>
        <v>58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497</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403</v>
      </c>
      <c r="D51" s="232"/>
      <c r="E51" s="232"/>
      <c r="F51" s="264"/>
      <c r="G51" s="234" t="s">
        <v>37</v>
      </c>
    </row>
    <row r="52" spans="1:7" s="208" customFormat="1" ht="16.5" thickBot="1">
      <c r="A52" s="265" t="s">
        <v>38</v>
      </c>
      <c r="B52" s="266"/>
      <c r="C52" s="267">
        <f ca="1">C31+C51</f>
        <v>28252</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3238</v>
      </c>
      <c r="B1" s="3774"/>
      <c r="C1" s="3774"/>
      <c r="D1" s="3774"/>
      <c r="E1" s="3774"/>
      <c r="F1" s="3775"/>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45111</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45111</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985.93</v>
      </c>
      <c r="C4" s="854">
        <f>项目基本情况!C18</f>
        <v>0</v>
      </c>
      <c r="D4" s="854" t="e">
        <f ca="1">结果表!D118</f>
        <v>#REF!</v>
      </c>
      <c r="E4" s="854" t="e">
        <f ca="1">结果表!E118</f>
        <v>#REF!</v>
      </c>
      <c r="F4" s="854" t="e">
        <f ca="1">结果表!F118</f>
        <v>#REF!</v>
      </c>
      <c r="G4" s="854" t="e">
        <f ca="1">结果表!G118</f>
        <v>#REF!</v>
      </c>
      <c r="H4" s="854">
        <f ca="1">结果表!H118</f>
        <v>1921</v>
      </c>
      <c r="I4" s="854">
        <f ca="1">结果表!I118</f>
        <v>19485</v>
      </c>
    </row>
    <row r="5" spans="1:9" ht="30" customHeight="1">
      <c r="A5" s="3464" t="s">
        <v>927</v>
      </c>
      <c r="B5" s="3464"/>
      <c r="C5" s="3464"/>
      <c r="D5" s="3464" t="e">
        <f ca="1">结果表!D119</f>
        <v>#REF!</v>
      </c>
      <c r="E5" s="3464"/>
      <c r="F5" s="3464" t="e">
        <f ca="1">结果表!F119</f>
        <v>#REF!</v>
      </c>
      <c r="G5" s="3464"/>
      <c r="H5" s="3464" t="str">
        <f ca="1">结果表!H119</f>
        <v>壹仟玖佰贰拾壹万元整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1921</v>
      </c>
      <c r="E8" s="3463"/>
      <c r="F8" s="3463"/>
      <c r="G8" s="3463"/>
      <c r="H8" s="3463"/>
      <c r="I8" s="3463"/>
    </row>
    <row r="9" spans="1:9" ht="15">
      <c r="A9" s="3464" t="s">
        <v>927</v>
      </c>
      <c r="B9" s="3464"/>
      <c r="C9" s="3464"/>
      <c r="D9" s="3464" t="str">
        <f ca="1">结果表!D123</f>
        <v>壹仟玖佰贰拾壹万元整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45113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Sheet1</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2023-07-06T08:26:57Z</dcterms:modified>
</cp:coreProperties>
</file>