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陈宁\"/>
    </mc:Choice>
  </mc:AlternateContent>
  <xr:revisionPtr revIDLastSave="0" documentId="13_ncr:1_{A35EC76D-B674-4D9B-B90C-48A9DB90588F}" xr6:coauthVersionLast="47" xr6:coauthVersionMax="47" xr10:uidLastSave="{00000000-0000-0000-0000-000000000000}"/>
  <bookViews>
    <workbookView xWindow="-108" yWindow="-108" windowWidth="20376" windowHeight="12216"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信息" sheetId="81"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18" i="1" l="1"/>
  <c r="T20" i="1" s="1"/>
  <c r="C33" i="81"/>
  <c r="C31" i="81"/>
  <c r="B14" i="74"/>
  <c r="T5" i="31"/>
  <c r="G105" i="34"/>
  <c r="H105" i="34" s="1"/>
  <c r="D3" i="31"/>
  <c r="E3" i="31"/>
  <c r="F3" i="31"/>
  <c r="G3" i="31"/>
  <c r="H3" i="31"/>
  <c r="D4" i="31"/>
  <c r="E4" i="31"/>
  <c r="F4" i="31"/>
  <c r="G4" i="31"/>
  <c r="C4" i="31"/>
  <c r="C3" i="31"/>
  <c r="I37" i="34"/>
  <c r="G37" i="34"/>
  <c r="E37" i="34"/>
  <c r="C37" i="34"/>
  <c r="E105" i="34"/>
  <c r="F105" i="34"/>
  <c r="D105" i="34"/>
  <c r="C34" i="34"/>
  <c r="I7" i="34"/>
  <c r="G7" i="34"/>
  <c r="E7" i="34"/>
  <c r="A26" i="31"/>
  <c r="A25" i="31"/>
  <c r="B25" i="31"/>
  <c r="B26" i="31"/>
  <c r="B24" i="31"/>
  <c r="J49" i="67"/>
  <c r="D33" i="43"/>
  <c r="N34" i="1"/>
  <c r="M34" i="1"/>
  <c r="L34" i="1"/>
  <c r="K34" i="1"/>
  <c r="J34" i="1"/>
  <c r="H4" i="31" l="1"/>
  <c r="I105" i="34"/>
  <c r="N6" i="1"/>
  <c r="N21" i="1"/>
  <c r="N19" i="1"/>
  <c r="P19" i="1"/>
  <c r="B58" i="1"/>
  <c r="B21" i="1"/>
  <c r="C19" i="6"/>
  <c r="F19" i="6"/>
  <c r="Y6" i="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N65"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B40" i="71" s="1"/>
  <c r="S40"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E38" i="71"/>
  <c r="E39" i="71" s="1"/>
  <c r="E40" i="71" s="1"/>
  <c r="U40" i="71" s="1"/>
  <c r="AA37" i="71"/>
  <c r="N68" i="71"/>
  <c r="C30" i="71"/>
  <c r="X35" i="71"/>
  <c r="C38" i="71"/>
  <c r="D38" i="71" s="1"/>
  <c r="Y37" i="71"/>
  <c r="Z37" i="71" s="1"/>
  <c r="X38" i="71"/>
  <c r="C28" i="71"/>
  <c r="C39" i="71"/>
  <c r="C43" i="71"/>
  <c r="C44" i="71" s="1"/>
  <c r="D44" i="71" s="1"/>
  <c r="C51" i="71"/>
  <c r="P28" i="71"/>
  <c r="E28" i="71" s="1"/>
  <c r="E55" i="71"/>
  <c r="E56" i="71" s="1"/>
  <c r="U56" i="71" s="1"/>
  <c r="E63" i="71"/>
  <c r="E64" i="71" s="1"/>
  <c r="U64" i="71" s="1"/>
  <c r="E67" i="71"/>
  <c r="P67" i="71" s="1"/>
  <c r="Q28" i="71"/>
  <c r="C59" i="71"/>
  <c r="C60" i="71" s="1"/>
  <c r="D60" i="71" s="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D71" i="71"/>
  <c r="D59" i="71"/>
  <c r="E66"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R45" i="31"/>
  <c r="S45" i="31" s="1"/>
  <c r="R46" i="31"/>
  <c r="R47" i="31"/>
  <c r="S47" i="31" s="1"/>
  <c r="R48" i="31"/>
  <c r="S48" i="31" s="1"/>
  <c r="R49" i="31"/>
  <c r="S49" i="31" s="1"/>
  <c r="R50" i="31"/>
  <c r="R51" i="31"/>
  <c r="S51" i="31" s="1"/>
  <c r="R52" i="31"/>
  <c r="S52" i="31" s="1"/>
  <c r="R53" i="31"/>
  <c r="S53" i="31" s="1"/>
  <c r="R54" i="31"/>
  <c r="R55" i="31"/>
  <c r="R56" i="31"/>
  <c r="S56" i="31" s="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R116" i="31"/>
  <c r="S116" i="31" s="1"/>
  <c r="R117" i="31"/>
  <c r="S117" i="31" s="1"/>
  <c r="R118" i="31"/>
  <c r="R119" i="3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R446" i="31"/>
  <c r="R447" i="31"/>
  <c r="R448" i="31"/>
  <c r="S448" i="31" s="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S465" i="31" s="1"/>
  <c r="R466" i="31"/>
  <c r="R467" i="31"/>
  <c r="R468" i="31"/>
  <c r="S468" i="31" s="1"/>
  <c r="R469" i="31"/>
  <c r="S469" i="31" s="1"/>
  <c r="R470" i="31"/>
  <c r="R471" i="31"/>
  <c r="S471" i="31" s="1"/>
  <c r="R472" i="3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R489" i="31"/>
  <c r="S489" i="31" s="1"/>
  <c r="R490" i="31"/>
  <c r="R491" i="31"/>
  <c r="S491" i="31" s="1"/>
  <c r="R492" i="31"/>
  <c r="S492" i="31" s="1"/>
  <c r="R493" i="31"/>
  <c r="S493" i="31" s="1"/>
  <c r="R494" i="31"/>
  <c r="R495" i="31"/>
  <c r="S495" i="31" s="1"/>
  <c r="R496" i="31"/>
  <c r="S496" i="31" s="1"/>
  <c r="R497" i="31"/>
  <c r="S497" i="31" s="1"/>
  <c r="R498" i="31"/>
  <c r="R499" i="31"/>
  <c r="R500" i="31"/>
  <c r="S500" i="31" s="1"/>
  <c r="R501" i="31"/>
  <c r="S501" i="31" s="1"/>
  <c r="R502" i="31"/>
  <c r="R503" i="31"/>
  <c r="S503" i="31" s="1"/>
  <c r="R504" i="31"/>
  <c r="S504" i="31" s="1"/>
  <c r="R505" i="31"/>
  <c r="S505" i="31" s="1"/>
  <c r="R506" i="31"/>
  <c r="R507" i="3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8" i="31"/>
  <c r="S406" i="31"/>
  <c r="S402" i="31"/>
  <c r="S398" i="31"/>
  <c r="S394" i="31"/>
  <c r="S390" i="31"/>
  <c r="S386" i="31"/>
  <c r="S382" i="31"/>
  <c r="S378" i="31"/>
  <c r="S374" i="31"/>
  <c r="S370" i="31"/>
  <c r="S368" i="31"/>
  <c r="S366" i="31"/>
  <c r="S362" i="31"/>
  <c r="S358" i="31"/>
  <c r="S354" i="31"/>
  <c r="S350" i="31"/>
  <c r="S346" i="31"/>
  <c r="S344"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2" i="31"/>
  <c r="S250" i="31"/>
  <c r="S246" i="31"/>
  <c r="S242" i="31"/>
  <c r="S238" i="31"/>
  <c r="S236" i="31"/>
  <c r="S234" i="31"/>
  <c r="S230" i="31"/>
  <c r="S226" i="31"/>
  <c r="S427" i="31"/>
  <c r="S4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4" i="31"/>
  <c r="S490" i="31"/>
  <c r="S488" i="31"/>
  <c r="S486" i="31"/>
  <c r="S482" i="31"/>
  <c r="S478" i="31"/>
  <c r="S474" i="31"/>
  <c r="S472" i="31"/>
  <c r="S470" i="31"/>
  <c r="S442" i="31"/>
  <c r="S438" i="31"/>
  <c r="S434" i="31"/>
  <c r="S430" i="31"/>
  <c r="S122" i="31"/>
  <c r="S119" i="31"/>
  <c r="S118" i="31"/>
  <c r="S115" i="31"/>
  <c r="S114" i="31"/>
  <c r="S506" i="31"/>
  <c r="S502" i="31"/>
  <c r="S498" i="31"/>
  <c r="S467" i="31"/>
  <c r="S466" i="31"/>
  <c r="S463" i="31"/>
  <c r="S462" i="31"/>
  <c r="S459" i="31"/>
  <c r="S458" i="31"/>
  <c r="S455" i="31"/>
  <c r="S454" i="31"/>
  <c r="S451" i="31"/>
  <c r="S450" i="31"/>
  <c r="S54" i="31"/>
  <c r="S50" i="31"/>
  <c r="S46" i="31"/>
  <c r="S44" i="31"/>
  <c r="S42" i="31"/>
  <c r="S38" i="31"/>
  <c r="S34" i="31"/>
  <c r="S75" i="31"/>
  <c r="S74" i="31"/>
  <c r="S71" i="31"/>
  <c r="S70" i="31"/>
  <c r="S67" i="31"/>
  <c r="S66" i="31"/>
  <c r="S63" i="31"/>
  <c r="S62" i="31"/>
  <c r="S59" i="31"/>
  <c r="S58" i="31"/>
  <c r="S55" i="31"/>
  <c r="S95" i="31"/>
  <c r="S94" i="31"/>
  <c r="S91" i="31"/>
  <c r="S90" i="31"/>
  <c r="S87" i="31"/>
  <c r="S86" i="31"/>
  <c r="S83" i="31"/>
  <c r="S82" i="31"/>
  <c r="S79" i="31"/>
  <c r="S78" i="31"/>
  <c r="S30" i="31"/>
  <c r="S98" i="31"/>
  <c r="S102" i="31"/>
  <c r="S106" i="31"/>
  <c r="S110" i="31"/>
  <c r="S445" i="31"/>
  <c r="S446" i="31"/>
  <c r="S447" i="31"/>
  <c r="S507"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8" i="31"/>
  <c r="S522"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U39" i="34" s="1"/>
  <c r="AB39" i="34"/>
  <c r="Q38" i="34"/>
  <c r="Z38" i="34" s="1"/>
  <c r="Q37" i="34"/>
  <c r="Z37" i="34" s="1"/>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U34" i="35"/>
  <c r="F36" i="34"/>
  <c r="AA36" i="34" s="1"/>
  <c r="J35" i="34"/>
  <c r="W35" i="34" s="1"/>
  <c r="W9" i="34"/>
  <c r="U34" i="34"/>
  <c r="H39" i="33"/>
  <c r="AB39" i="33"/>
  <c r="F26" i="33"/>
  <c r="AA26" i="33"/>
  <c r="U33" i="33"/>
  <c r="U35" i="33"/>
  <c r="S40" i="33"/>
  <c r="W33" i="33"/>
  <c r="W39" i="33"/>
  <c r="H39" i="37"/>
  <c r="AB39" i="37" s="1"/>
  <c r="S27" i="35"/>
  <c r="F11" i="40"/>
  <c r="AA11" i="40"/>
  <c r="H11" i="40"/>
  <c r="AB11" i="40"/>
  <c r="W8"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AC40"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AZ579" i="3" s="1"/>
  <c r="BA577" i="3"/>
  <c r="BA575" i="3"/>
  <c r="BA573" i="3"/>
  <c r="BA571" i="3"/>
  <c r="BA569" i="3"/>
  <c r="BA567" i="3"/>
  <c r="BA565" i="3"/>
  <c r="BA563" i="3"/>
  <c r="AZ563" i="3" s="1"/>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7" i="31"/>
  <c r="U14" i="40"/>
  <c r="W23" i="35"/>
  <c r="U39" i="37"/>
  <c r="U26" i="37"/>
  <c r="W47" i="34"/>
  <c r="AA13"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J11" i="39"/>
  <c r="AC11" i="39" s="1"/>
  <c r="W11" i="39"/>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s="1"/>
  <c r="BL196" i="3"/>
  <c r="G197" i="3"/>
  <c r="BA199" i="3"/>
  <c r="BL200" i="3"/>
  <c r="G201" i="3"/>
  <c r="BA203" i="3"/>
  <c r="AZ203" i="3" s="1"/>
  <c r="BL204" i="3"/>
  <c r="AZ204" i="3" s="1"/>
  <c r="AZ4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29" i="3"/>
  <c r="AZ269" i="3"/>
  <c r="BA379" i="3"/>
  <c r="AZ379" i="3" s="1"/>
  <c r="BL380" i="3"/>
  <c r="G381" i="3"/>
  <c r="BA383" i="3"/>
  <c r="AZ383" i="3" s="1"/>
  <c r="BL384" i="3"/>
  <c r="G385" i="3"/>
  <c r="BA387" i="3"/>
  <c r="BL388" i="3"/>
  <c r="AZ388" i="3" s="1"/>
  <c r="G389" i="3"/>
  <c r="BA391" i="3"/>
  <c r="AZ391" i="3" s="1"/>
  <c r="BL392" i="3"/>
  <c r="G393" i="3"/>
  <c r="BO5" i="3"/>
  <c r="BJ5" i="3"/>
  <c r="BF5" i="3"/>
  <c r="AC5" i="3"/>
  <c r="AZ506" i="3"/>
  <c r="G548" i="3"/>
  <c r="G538" i="3"/>
  <c r="G520" i="3"/>
  <c r="G502" i="3"/>
  <c r="BS5" i="3"/>
  <c r="BP5" i="3"/>
  <c r="BN5" i="3"/>
  <c r="G29" i="6" s="1"/>
  <c r="BK5" i="3"/>
  <c r="BI5" i="3"/>
  <c r="BG5" i="3"/>
  <c r="BE5" i="3"/>
  <c r="BC5" i="3"/>
  <c r="G17" i="3"/>
  <c r="BA17" i="3"/>
  <c r="AZ368" i="3"/>
  <c r="BA15" i="3"/>
  <c r="AZ15" i="3" s="1"/>
  <c r="BB5" i="3"/>
  <c r="BR5" i="3"/>
  <c r="AZ380" i="3"/>
  <c r="AZ392" i="3"/>
  <c r="AZ509" i="3"/>
  <c r="G509" i="3"/>
  <c r="BL493" i="3"/>
  <c r="AZ493" i="3" s="1"/>
  <c r="U36" i="40"/>
  <c r="F83" i="43"/>
  <c r="H85" i="43" s="1"/>
  <c r="F50" i="43"/>
  <c r="H54" i="43" s="1"/>
  <c r="F72" i="43"/>
  <c r="H75" i="43" s="1"/>
  <c r="U17" i="39"/>
  <c r="S14" i="35"/>
  <c r="U43" i="21"/>
  <c r="U35" i="21"/>
  <c r="AC35" i="21"/>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51" i="3"/>
  <c r="AZ259" i="3"/>
  <c r="AZ271"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Z433" i="3"/>
  <c r="W12" i="33"/>
  <c r="AC12" i="33"/>
  <c r="AA32" i="36"/>
  <c r="S32" i="36"/>
  <c r="AZ437" i="3"/>
  <c r="BL14" i="3"/>
  <c r="U30" i="33"/>
  <c r="AC13" i="34"/>
  <c r="AA47" i="34"/>
  <c r="W28" i="37"/>
  <c r="S19" i="39"/>
  <c r="F12" i="33"/>
  <c r="H12" i="39"/>
  <c r="U12" i="39" s="1"/>
  <c r="AB12" i="39"/>
  <c r="F39" i="40"/>
  <c r="BA14"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U43" i="34"/>
  <c r="AC42" i="34"/>
  <c r="S43"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W40" i="34"/>
  <c r="S36" i="34"/>
  <c r="S8" i="34"/>
  <c r="AB9" i="34"/>
  <c r="U9" i="34"/>
  <c r="S46" i="34"/>
  <c r="AA46" i="34"/>
  <c r="U32" i="34"/>
  <c r="AB32" i="34"/>
  <c r="U14" i="34"/>
  <c r="AB14" i="34"/>
  <c r="AC43"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U23" i="21" s="1"/>
  <c r="S13" i="21"/>
  <c r="D6" i="52"/>
  <c r="AP7" i="1"/>
  <c r="AB45" i="21"/>
  <c r="AB9" i="21"/>
  <c r="U9" i="21"/>
  <c r="AA32" i="21"/>
  <c r="S32" i="21"/>
  <c r="W9"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F36" i="15"/>
  <c r="C76" i="15"/>
  <c r="F8" i="67"/>
  <c r="F16" i="15"/>
  <c r="B11" i="76"/>
  <c r="F8" i="15"/>
  <c r="M22" i="15"/>
  <c r="F7" i="67"/>
  <c r="F7" i="73"/>
  <c r="L48" i="15"/>
  <c r="M24" i="15"/>
  <c r="J15" i="15"/>
  <c r="F43" i="15"/>
  <c r="M26" i="67"/>
  <c r="M6" i="67"/>
  <c r="F26" i="15"/>
  <c r="F37" i="15"/>
  <c r="F43" i="67"/>
  <c r="E2" i="68"/>
  <c r="E7" i="76"/>
  <c r="M23" i="15"/>
  <c r="B8" i="76"/>
  <c r="M24" i="67"/>
  <c r="F4" i="73"/>
  <c r="F3" i="73"/>
  <c r="M26" i="15"/>
  <c r="C76" i="67"/>
  <c r="F42" i="67"/>
  <c r="B12" i="76"/>
  <c r="E9" i="76"/>
  <c r="F13" i="67"/>
  <c r="B10" i="76"/>
  <c r="M28" i="15"/>
  <c r="F6" i="67"/>
  <c r="M9" i="15"/>
  <c r="M29" i="67"/>
  <c r="F6" i="73"/>
  <c r="F9" i="67"/>
  <c r="AO13" i="1"/>
  <c r="E11" i="76"/>
  <c r="F38" i="15"/>
  <c r="E13" i="76"/>
  <c r="E8" i="76"/>
  <c r="M28" i="67"/>
  <c r="F9" i="15"/>
  <c r="B7" i="76"/>
  <c r="F42" i="15"/>
  <c r="F40" i="67"/>
  <c r="F36" i="67"/>
  <c r="M8" i="15"/>
  <c r="M29" i="15"/>
  <c r="F16" i="67"/>
  <c r="F26" i="67"/>
  <c r="B9" i="76"/>
  <c r="M8" i="67"/>
  <c r="M9" i="67"/>
  <c r="L47" i="67"/>
  <c r="M22" i="67"/>
  <c r="L47" i="15"/>
  <c r="F40" i="15"/>
  <c r="J15" i="67"/>
  <c r="L48" i="67"/>
  <c r="B13" i="76"/>
  <c r="M6" i="15"/>
  <c r="E10" i="76"/>
  <c r="F5" i="73"/>
  <c r="F6" i="15"/>
  <c r="M23" i="67"/>
  <c r="E2" i="69"/>
  <c r="D6" i="73"/>
  <c r="F37" i="67"/>
  <c r="F20" i="31"/>
  <c r="F13" i="15"/>
  <c r="F7" i="15"/>
  <c r="E12" i="76"/>
  <c r="AC35" i="34" l="1"/>
  <c r="AA33" i="34"/>
  <c r="W33" i="34"/>
  <c r="AB33" i="34"/>
  <c r="AA25" i="34"/>
  <c r="W25" i="34"/>
  <c r="U25" i="34"/>
  <c r="AC23" i="34"/>
  <c r="AA23" i="34"/>
  <c r="S37" i="34"/>
  <c r="U27" i="34"/>
  <c r="S35" i="34"/>
  <c r="AC44" i="34"/>
  <c r="W41" i="34"/>
  <c r="AB41" i="34"/>
  <c r="AB40" i="34"/>
  <c r="AA40" i="34"/>
  <c r="AC39" i="34"/>
  <c r="U38" i="34"/>
  <c r="AC36" i="34"/>
  <c r="AB36" i="34"/>
  <c r="AB35" i="34"/>
  <c r="AC27" i="34"/>
  <c r="AB23" i="34"/>
  <c r="S19" i="34"/>
  <c r="W19" i="34"/>
  <c r="U19" i="34"/>
  <c r="AC17" i="34"/>
  <c r="S17" i="34"/>
  <c r="AC15" i="34"/>
  <c r="U15" i="34"/>
  <c r="W8" i="34"/>
  <c r="AB8" i="34"/>
  <c r="C7" i="37"/>
  <c r="C52" i="37" s="1"/>
  <c r="D52" i="37" s="1"/>
  <c r="C7" i="40"/>
  <c r="C63" i="40" s="1"/>
  <c r="C7" i="39"/>
  <c r="C67" i="39" s="1"/>
  <c r="C7" i="21"/>
  <c r="C58" i="21" s="1"/>
  <c r="D58" i="21" s="1"/>
  <c r="G23" i="43"/>
  <c r="C23" i="43" s="1"/>
  <c r="C7" i="33"/>
  <c r="C42" i="1"/>
  <c r="C24" i="12" s="1"/>
  <c r="D23" i="15"/>
  <c r="M18" i="67"/>
  <c r="M18" i="15"/>
  <c r="F30" i="11"/>
  <c r="C48" i="11" s="1"/>
  <c r="D68" i="9"/>
  <c r="F30" i="69"/>
  <c r="F48" i="69" s="1"/>
  <c r="F28" i="15"/>
  <c r="F32" i="67"/>
  <c r="F60" i="67" s="1"/>
  <c r="F28" i="67"/>
  <c r="F54" i="9"/>
  <c r="F32" i="15"/>
  <c r="F60" i="15" s="1"/>
  <c r="F52" i="9"/>
  <c r="F30" i="68"/>
  <c r="F48" i="68" s="1"/>
  <c r="F31" i="12"/>
  <c r="C40" i="11"/>
  <c r="D22" i="15"/>
  <c r="A4" i="52"/>
  <c r="B41" i="72" s="1"/>
  <c r="A2" i="9"/>
  <c r="A118" i="9"/>
  <c r="AA17" i="33"/>
  <c r="AB23" i="21"/>
  <c r="W27" i="33"/>
  <c r="W23" i="37"/>
  <c r="S20" i="35"/>
  <c r="AA34" i="33"/>
  <c r="AZ355" i="3"/>
  <c r="AZ313" i="3"/>
  <c r="AZ394" i="3"/>
  <c r="AZ325" i="3"/>
  <c r="AZ523" i="3"/>
  <c r="AZ547" i="3"/>
  <c r="AZ548" i="3"/>
  <c r="AZ540" i="3"/>
  <c r="S29" i="35"/>
  <c r="AA29" i="35"/>
  <c r="AZ16" i="3"/>
  <c r="AZ324" i="3"/>
  <c r="AZ499" i="3"/>
  <c r="AZ571" i="3"/>
  <c r="U33" i="40"/>
  <c r="AB33" i="40"/>
  <c r="AZ337" i="3"/>
  <c r="AC12" i="37"/>
  <c r="AZ520" i="3"/>
  <c r="S14" i="34"/>
  <c r="AA14" i="34"/>
  <c r="W31" i="33"/>
  <c r="AC31" i="33"/>
  <c r="AZ14" i="3"/>
  <c r="AZ304" i="3"/>
  <c r="AZ503" i="3"/>
  <c r="AZ575" i="3"/>
  <c r="S14" i="37"/>
  <c r="AA14" i="37"/>
  <c r="U45" i="33"/>
  <c r="AB45" i="33"/>
  <c r="AA44" i="34"/>
  <c r="S44" i="34"/>
  <c r="AC28" i="34"/>
  <c r="AZ519" i="3"/>
  <c r="AZ531" i="3"/>
  <c r="AZ573" i="3"/>
  <c r="AZ583" i="3"/>
  <c r="AZ568" i="3"/>
  <c r="AZ576" i="3"/>
  <c r="U36" i="39"/>
  <c r="F27" i="21"/>
  <c r="C15" i="39"/>
  <c r="AC27" i="35"/>
  <c r="G587" i="3"/>
  <c r="F38" i="40"/>
  <c r="H38" i="40"/>
  <c r="G556" i="3"/>
  <c r="AZ407" i="3"/>
  <c r="BL585" i="3"/>
  <c r="J39" i="40"/>
  <c r="H39" i="40"/>
  <c r="AZ387" i="3"/>
  <c r="AZ362" i="3"/>
  <c r="AZ338" i="3"/>
  <c r="AZ390" i="3"/>
  <c r="AZ371" i="3"/>
  <c r="AZ351" i="3"/>
  <c r="AZ336" i="3"/>
  <c r="AZ305" i="3"/>
  <c r="AZ375" i="3"/>
  <c r="AZ360" i="3"/>
  <c r="AZ539" i="3"/>
  <c r="AZ529" i="3"/>
  <c r="AZ537" i="3"/>
  <c r="AZ518" i="3"/>
  <c r="AZ546" i="3"/>
  <c r="AZ585" i="3"/>
  <c r="AB17" i="34"/>
  <c r="B79" i="43"/>
  <c r="J23" i="36"/>
  <c r="J24" i="36"/>
  <c r="H24" i="36"/>
  <c r="W31" i="35"/>
  <c r="AC31" i="35"/>
  <c r="AZ443" i="3"/>
  <c r="AZ458" i="3"/>
  <c r="AZ462" i="3"/>
  <c r="G585" i="3"/>
  <c r="BL587" i="3"/>
  <c r="AZ587" i="3" s="1"/>
  <c r="BL586" i="3"/>
  <c r="AZ586" i="3" s="1"/>
  <c r="BA551" i="3"/>
  <c r="AZ551" i="3" s="1"/>
  <c r="BA550" i="3"/>
  <c r="BL548" i="3"/>
  <c r="G558" i="3"/>
  <c r="AZ402" i="3"/>
  <c r="AZ406" i="3"/>
  <c r="BL426" i="3"/>
  <c r="BA428" i="3"/>
  <c r="AZ428" i="3" s="1"/>
  <c r="BA429" i="3"/>
  <c r="BA430" i="3"/>
  <c r="AZ430" i="3" s="1"/>
  <c r="BA432" i="3"/>
  <c r="BA434" i="3"/>
  <c r="AZ434" i="3" s="1"/>
  <c r="BA436" i="3"/>
  <c r="BA438" i="3"/>
  <c r="G442" i="3"/>
  <c r="AZ487" i="3"/>
  <c r="AZ301" i="3"/>
  <c r="BL550" i="3"/>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G447" i="3"/>
  <c r="BL448" i="3"/>
  <c r="AZ448" i="3" s="1"/>
  <c r="G451" i="3"/>
  <c r="BA454" i="3"/>
  <c r="BA457" i="3"/>
  <c r="AZ457" i="3" s="1"/>
  <c r="BA459" i="3"/>
  <c r="AZ459" i="3" s="1"/>
  <c r="BA460" i="3"/>
  <c r="AZ460" i="3" s="1"/>
  <c r="BA461" i="3"/>
  <c r="AZ461" i="3" s="1"/>
  <c r="BL464" i="3"/>
  <c r="BL466" i="3"/>
  <c r="AZ466" i="3" s="1"/>
  <c r="G469" i="3"/>
  <c r="BL476" i="3"/>
  <c r="AZ476" i="3" s="1"/>
  <c r="BL477" i="3"/>
  <c r="BL478" i="3"/>
  <c r="AZ478"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6" i="3"/>
  <c r="AZ216" i="3" s="1"/>
  <c r="C55" i="71"/>
  <c r="D54" i="71"/>
  <c r="BL16" i="3"/>
  <c r="BA401" i="3"/>
  <c r="AZ401" i="3" s="1"/>
  <c r="BA403" i="3"/>
  <c r="AZ403" i="3" s="1"/>
  <c r="BA404" i="3"/>
  <c r="AZ404" i="3" s="1"/>
  <c r="BA405" i="3"/>
  <c r="G409" i="3"/>
  <c r="BL410" i="3"/>
  <c r="G412" i="3"/>
  <c r="G418" i="3"/>
  <c r="G419" i="3"/>
  <c r="BA422" i="3"/>
  <c r="AZ422" i="3" s="1"/>
  <c r="G429" i="3"/>
  <c r="G430" i="3"/>
  <c r="BL431" i="3"/>
  <c r="G433" i="3"/>
  <c r="BL434" i="3"/>
  <c r="G437" i="3"/>
  <c r="BL438" i="3"/>
  <c r="BL439" i="3"/>
  <c r="BA441" i="3"/>
  <c r="AZ441" i="3" s="1"/>
  <c r="BL445" i="3"/>
  <c r="BL446" i="3"/>
  <c r="BL449" i="3"/>
  <c r="BL450" i="3"/>
  <c r="AZ450" i="3" s="1"/>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17" i="3"/>
  <c r="AZ217" i="3" s="1"/>
  <c r="BA219" i="3"/>
  <c r="AZ219" i="3" s="1"/>
  <c r="BA222" i="3"/>
  <c r="AZ222" i="3" s="1"/>
  <c r="BA224" i="3"/>
  <c r="AZ224" i="3" s="1"/>
  <c r="BA227" i="3"/>
  <c r="AZ227" i="3" s="1"/>
  <c r="BL228" i="3"/>
  <c r="AZ228" i="3" s="1"/>
  <c r="BA233" i="3"/>
  <c r="AZ233" i="3" s="1"/>
  <c r="BL234" i="3"/>
  <c r="BL237" i="3"/>
  <c r="BL238" i="3"/>
  <c r="AZ238" i="3" s="1"/>
  <c r="BA243" i="3"/>
  <c r="AZ243" i="3" s="1"/>
  <c r="BA248" i="3"/>
  <c r="AZ248" i="3" s="1"/>
  <c r="BA249" i="3"/>
  <c r="BL249" i="3"/>
  <c r="BL252" i="3"/>
  <c r="BA288" i="3"/>
  <c r="BA133" i="3"/>
  <c r="AZ133" i="3" s="1"/>
  <c r="BL173" i="3"/>
  <c r="AZ65" i="3"/>
  <c r="G398" i="3"/>
  <c r="BL400" i="3"/>
  <c r="AZ400" i="3" s="1"/>
  <c r="BL408" i="3"/>
  <c r="AZ408" i="3" s="1"/>
  <c r="BL411" i="3"/>
  <c r="AZ411" i="3" s="1"/>
  <c r="BL413" i="3"/>
  <c r="AZ413" i="3" s="1"/>
  <c r="G415" i="3"/>
  <c r="BL417" i="3"/>
  <c r="AZ417" i="3" s="1"/>
  <c r="BL418" i="3"/>
  <c r="BL420" i="3"/>
  <c r="G422" i="3"/>
  <c r="BL424" i="3"/>
  <c r="G426" i="3"/>
  <c r="BL428" i="3"/>
  <c r="BL429" i="3"/>
  <c r="BL432" i="3"/>
  <c r="BL435" i="3"/>
  <c r="AZ435" i="3" s="1"/>
  <c r="BL436" i="3"/>
  <c r="BA439" i="3"/>
  <c r="BA440" i="3"/>
  <c r="AZ440" i="3" s="1"/>
  <c r="BA442" i="3"/>
  <c r="AZ442" i="3" s="1"/>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BL210" i="3"/>
  <c r="BL212" i="3"/>
  <c r="G214" i="3"/>
  <c r="G215" i="3"/>
  <c r="BL220" i="3"/>
  <c r="AZ220" i="3" s="1"/>
  <c r="BL221" i="3"/>
  <c r="BL223" i="3"/>
  <c r="AZ223" i="3" s="1"/>
  <c r="BA231" i="3"/>
  <c r="BL232" i="3"/>
  <c r="BL235" i="3"/>
  <c r="AZ235" i="3" s="1"/>
  <c r="BL236" i="3"/>
  <c r="BA247" i="3"/>
  <c r="BL247" i="3"/>
  <c r="BL250" i="3"/>
  <c r="AZ250" i="3" s="1"/>
  <c r="BL262" i="3"/>
  <c r="BL280" i="3"/>
  <c r="BA286" i="3"/>
  <c r="AZ286" i="3" s="1"/>
  <c r="BA132" i="3"/>
  <c r="AZ132" i="3" s="1"/>
  <c r="BL135" i="3"/>
  <c r="AZ135" i="3" s="1"/>
  <c r="BA157" i="3"/>
  <c r="AZ157" i="3" s="1"/>
  <c r="BL205" i="3"/>
  <c r="AC18" i="36"/>
  <c r="W18" i="36"/>
  <c r="AB25" i="40"/>
  <c r="U25" i="40"/>
  <c r="S18" i="35"/>
  <c r="AA18" i="35"/>
  <c r="P65" i="71"/>
  <c r="P66" i="71"/>
  <c r="AB26" i="71"/>
  <c r="AB27" i="71"/>
  <c r="C34" i="71"/>
  <c r="Y30" i="71"/>
  <c r="Z30" i="71" s="1"/>
  <c r="Y28" i="71"/>
  <c r="Z28" i="71" s="1"/>
  <c r="C47" i="71"/>
  <c r="D47" i="71" s="1"/>
  <c r="D46" i="71"/>
  <c r="F79" i="71"/>
  <c r="F78" i="71" s="1"/>
  <c r="V80" i="71"/>
  <c r="Y27" i="71"/>
  <c r="Z27" i="71" s="1"/>
  <c r="Y26" i="71"/>
  <c r="Z26" i="71" s="1"/>
  <c r="Y25" i="71"/>
  <c r="Z25" i="71"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G195" i="3"/>
  <c r="BA196" i="3"/>
  <c r="AZ196" i="3" s="1"/>
  <c r="G203" i="3"/>
  <c r="BA205" i="3"/>
  <c r="AZ205" i="3" s="1"/>
  <c r="BL207" i="3"/>
  <c r="BL18" i="3"/>
  <c r="BL19" i="3"/>
  <c r="BA20" i="3"/>
  <c r="AZ20" i="3" s="1"/>
  <c r="BL25" i="3"/>
  <c r="AZ25" i="3" s="1"/>
  <c r="BL27" i="3"/>
  <c r="BA28" i="3"/>
  <c r="AZ28" i="3" s="1"/>
  <c r="G32" i="3"/>
  <c r="BA37" i="3"/>
  <c r="G39" i="3"/>
  <c r="BL39" i="3"/>
  <c r="AZ39" i="3" s="1"/>
  <c r="BA42" i="3"/>
  <c r="G47" i="3"/>
  <c r="BL48" i="3"/>
  <c r="BA55" i="3"/>
  <c r="AZ55" i="3" s="1"/>
  <c r="BA56" i="3"/>
  <c r="D75" i="71"/>
  <c r="C74" i="71"/>
  <c r="D74" i="71" s="1"/>
  <c r="C31" i="71"/>
  <c r="D30" i="71"/>
  <c r="X26" i="71"/>
  <c r="B71" i="71"/>
  <c r="B70" i="71" s="1"/>
  <c r="S72" i="71"/>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A189" i="3"/>
  <c r="AZ189" i="3" s="1"/>
  <c r="BA190" i="3"/>
  <c r="AZ190" i="3" s="1"/>
  <c r="BL197" i="3"/>
  <c r="AZ197" i="3" s="1"/>
  <c r="BL199" i="3"/>
  <c r="AZ199" i="3" s="1"/>
  <c r="BA200" i="3"/>
  <c r="AZ200" i="3" s="1"/>
  <c r="BA202" i="3"/>
  <c r="BA41" i="3"/>
  <c r="AZ41" i="3" s="1"/>
  <c r="BL52" i="3"/>
  <c r="AZ52" i="3" s="1"/>
  <c r="BL53" i="3"/>
  <c r="BL57" i="3"/>
  <c r="AZ57" i="3" s="1"/>
  <c r="G59" i="3"/>
  <c r="BL62" i="3"/>
  <c r="AZ62" i="3" s="1"/>
  <c r="BL63" i="3"/>
  <c r="AZ63" i="3" s="1"/>
  <c r="BL65" i="3"/>
  <c r="BL66" i="3"/>
  <c r="AZ66" i="3" s="1"/>
  <c r="BL67" i="3"/>
  <c r="AZ67" i="3" s="1"/>
  <c r="BL70" i="3"/>
  <c r="AZ70" i="3" s="1"/>
  <c r="BL71" i="3"/>
  <c r="AZ71" i="3" s="1"/>
  <c r="BL72" i="3"/>
  <c r="AZ72" i="3" s="1"/>
  <c r="BL75" i="3"/>
  <c r="BA88" i="3"/>
  <c r="AZ88" i="3" s="1"/>
  <c r="BL93" i="3"/>
  <c r="AZ108" i="3"/>
  <c r="W21" i="37"/>
  <c r="AC21" i="37"/>
  <c r="U21" i="37"/>
  <c r="AB21" i="34"/>
  <c r="U21" i="34"/>
  <c r="Y29" i="71"/>
  <c r="Z29" i="71" s="1"/>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A188" i="3"/>
  <c r="AZ188" i="3" s="1"/>
  <c r="BL191" i="3"/>
  <c r="AZ191" i="3" s="1"/>
  <c r="G192" i="3"/>
  <c r="BA193" i="3"/>
  <c r="BA207" i="3"/>
  <c r="AZ207" i="3" s="1"/>
  <c r="BA18" i="3"/>
  <c r="G21" i="3"/>
  <c r="BL21" i="3"/>
  <c r="AZ21" i="3" s="1"/>
  <c r="G29" i="3"/>
  <c r="BL29" i="3"/>
  <c r="AZ29" i="3" s="1"/>
  <c r="BA32" i="3"/>
  <c r="G38" i="3"/>
  <c r="BA38" i="3"/>
  <c r="AZ38" i="3" s="1"/>
  <c r="G42" i="3"/>
  <c r="BA45" i="3"/>
  <c r="BA46" i="3"/>
  <c r="BL49" i="3"/>
  <c r="BL50" i="3"/>
  <c r="AZ50" i="3" s="1"/>
  <c r="BL51" i="3"/>
  <c r="BA53" i="3"/>
  <c r="AZ53" i="3" s="1"/>
  <c r="BA54" i="3"/>
  <c r="AZ54" i="3" s="1"/>
  <c r="BL55" i="3"/>
  <c r="G58" i="3"/>
  <c r="BA59" i="3"/>
  <c r="BL61" i="3"/>
  <c r="G64" i="3"/>
  <c r="BA64" i="3"/>
  <c r="AZ64" i="3" s="1"/>
  <c r="G67" i="3"/>
  <c r="BL68" i="3"/>
  <c r="AZ68" i="3" s="1"/>
  <c r="BA69" i="3"/>
  <c r="AZ69" i="3" s="1"/>
  <c r="G72" i="3"/>
  <c r="BL73" i="3"/>
  <c r="BA74" i="3"/>
  <c r="AZ74" i="3" s="1"/>
  <c r="BA75" i="3"/>
  <c r="AZ75" i="3" s="1"/>
  <c r="BL77" i="3"/>
  <c r="AZ77" i="3" s="1"/>
  <c r="BA79" i="3"/>
  <c r="AZ79" i="3" s="1"/>
  <c r="BL85" i="3"/>
  <c r="BA86" i="3"/>
  <c r="AZ86" i="3" s="1"/>
  <c r="BA87" i="3"/>
  <c r="AC21" i="21"/>
  <c r="W21" i="21"/>
  <c r="T60" i="71"/>
  <c r="D43" i="71"/>
  <c r="N66" i="71"/>
  <c r="BL185" i="3"/>
  <c r="AZ185" i="3" s="1"/>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AZ40" i="3" s="1"/>
  <c r="BL41" i="3"/>
  <c r="G45" i="3"/>
  <c r="BL45" i="3"/>
  <c r="BA48" i="3"/>
  <c r="AZ48" i="3" s="1"/>
  <c r="BA49" i="3"/>
  <c r="BA51" i="3"/>
  <c r="AZ51" i="3" s="1"/>
  <c r="G54" i="3"/>
  <c r="G55" i="3"/>
  <c r="BL56" i="3"/>
  <c r="BA58" i="3"/>
  <c r="AZ58" i="3" s="1"/>
  <c r="BL59" i="3"/>
  <c r="BL60" i="3"/>
  <c r="BA61" i="3"/>
  <c r="BA68" i="3"/>
  <c r="BA73" i="3"/>
  <c r="BA80" i="3"/>
  <c r="G84" i="3"/>
  <c r="BL84" i="3"/>
  <c r="AZ84" i="3" s="1"/>
  <c r="BA89" i="3"/>
  <c r="G93" i="3"/>
  <c r="BA98" i="3"/>
  <c r="BL103" i="3"/>
  <c r="G104" i="3"/>
  <c r="BA106" i="3"/>
  <c r="AZ106" i="3" s="1"/>
  <c r="BL108" i="3"/>
  <c r="C78" i="71"/>
  <c r="D78" i="71" s="1"/>
  <c r="C40" i="71"/>
  <c r="D39" i="71"/>
  <c r="X28" i="71"/>
  <c r="X31" i="71"/>
  <c r="X32" i="71"/>
  <c r="E34" i="71"/>
  <c r="E35" i="71" s="1"/>
  <c r="E36" i="71" s="1"/>
  <c r="U36" i="71" s="1"/>
  <c r="AA30" i="71"/>
  <c r="B43" i="71"/>
  <c r="B44" i="71" s="1"/>
  <c r="S44" i="71" s="1"/>
  <c r="C67" i="71"/>
  <c r="T68" i="71"/>
  <c r="T76" i="71"/>
  <c r="D76" i="71"/>
  <c r="C23" i="71"/>
  <c r="B22" i="71"/>
  <c r="B21" i="71" s="1"/>
  <c r="B20" i="71" s="1"/>
  <c r="AA3" i="71"/>
  <c r="C86" i="71"/>
  <c r="D86" i="71" s="1"/>
  <c r="D87" i="71"/>
  <c r="C52" i="71"/>
  <c r="D51" i="71"/>
  <c r="AB34" i="71"/>
  <c r="C63" i="71"/>
  <c r="D62" i="71"/>
  <c r="F66" i="71"/>
  <c r="Q67" i="71"/>
  <c r="P68" i="71"/>
  <c r="U68" i="71"/>
  <c r="G79" i="3"/>
  <c r="BL81" i="3"/>
  <c r="BA82" i="3"/>
  <c r="AZ82" i="3" s="1"/>
  <c r="BL83" i="3"/>
  <c r="G86" i="3"/>
  <c r="G87" i="3"/>
  <c r="G88" i="3"/>
  <c r="BA92" i="3"/>
  <c r="BL96" i="3"/>
  <c r="BL97" i="3"/>
  <c r="AZ97" i="3" s="1"/>
  <c r="G103" i="3"/>
  <c r="BA103" i="3"/>
  <c r="AZ103" i="3" s="1"/>
  <c r="BA109" i="3"/>
  <c r="BA110" i="3"/>
  <c r="AZ110" i="3" s="1"/>
  <c r="B13" i="1"/>
  <c r="E13" i="1" s="1"/>
  <c r="K13" i="1"/>
  <c r="M13" i="1" s="1"/>
  <c r="O13" i="1" s="1"/>
  <c r="P13" i="1" s="1"/>
  <c r="F40" i="69"/>
  <c r="C40" i="69"/>
  <c r="U21" i="33"/>
  <c r="AB21" i="33"/>
  <c r="AC18" i="35"/>
  <c r="W18" i="35"/>
  <c r="B100" i="43"/>
  <c r="B57" i="43"/>
  <c r="B68" i="43"/>
  <c r="AB25" i="71"/>
  <c r="AB28" i="71"/>
  <c r="X25" i="71"/>
  <c r="T28" i="71"/>
  <c r="D28" i="71"/>
  <c r="U28" i="71" s="1"/>
  <c r="C27" i="71"/>
  <c r="X33" i="71"/>
  <c r="X34" i="71"/>
  <c r="X36" i="71"/>
  <c r="AB37" i="71"/>
  <c r="AB35" i="71"/>
  <c r="V72" i="71"/>
  <c r="F71" i="71"/>
  <c r="F70" i="71" s="1"/>
  <c r="V24" i="71"/>
  <c r="E23" i="71"/>
  <c r="E22" i="71" s="1"/>
  <c r="E21" i="71" s="1"/>
  <c r="E20" i="71" s="1"/>
  <c r="V20" i="71" s="1"/>
  <c r="BL90" i="3"/>
  <c r="BL92" i="3"/>
  <c r="G101" i="3"/>
  <c r="BA101" i="3"/>
  <c r="AZ101" i="3" s="1"/>
  <c r="G109" i="3"/>
  <c r="BL112" i="3"/>
  <c r="S21" i="34"/>
  <c r="B88" i="43"/>
  <c r="F35" i="71"/>
  <c r="F36" i="71" s="1"/>
  <c r="V36" i="71" s="1"/>
  <c r="AA34" i="71"/>
  <c r="B51" i="71"/>
  <c r="B52" i="71" s="1"/>
  <c r="S52" i="71" s="1"/>
  <c r="BA90" i="3"/>
  <c r="AZ90" i="3"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BA234" i="3"/>
  <c r="AZ236" i="3"/>
  <c r="G248" i="3"/>
  <c r="AZ260" i="3"/>
  <c r="BL268" i="3"/>
  <c r="AZ268" i="3" s="1"/>
  <c r="G278" i="3"/>
  <c r="BA474" i="3"/>
  <c r="BA475" i="3"/>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2" i="3"/>
  <c r="BL78" i="3"/>
  <c r="BA83" i="3"/>
  <c r="G91" i="3"/>
  <c r="BL95" i="3"/>
  <c r="AZ95" i="3" s="1"/>
  <c r="BL98" i="3"/>
  <c r="AZ98" i="3" s="1"/>
  <c r="BL109" i="3"/>
  <c r="AZ109" i="3" s="1"/>
  <c r="AB21" i="21"/>
  <c r="AZ78" i="3"/>
  <c r="G77" i="3"/>
  <c r="G5" i="3" s="1"/>
  <c r="B3" i="3" s="1"/>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D3" i="73"/>
  <c r="D5" i="73"/>
  <c r="D4" i="73"/>
  <c r="C16" i="15"/>
  <c r="C16" i="67"/>
  <c r="D7" i="73"/>
  <c r="J7" i="36" l="1"/>
  <c r="C30" i="68"/>
  <c r="C48" i="68"/>
  <c r="N370" i="46"/>
  <c r="F26" i="43"/>
  <c r="E26" i="43"/>
  <c r="H26" i="43"/>
  <c r="G26" i="43"/>
  <c r="N94" i="46"/>
  <c r="T52" i="71"/>
  <c r="D52" i="71"/>
  <c r="AC39" i="40"/>
  <c r="W39" i="40"/>
  <c r="P6" i="1"/>
  <c r="C13" i="12" s="1"/>
  <c r="Q16" i="1"/>
  <c r="AZ300" i="3"/>
  <c r="AZ486" i="3"/>
  <c r="G16" i="1"/>
  <c r="F10" i="39" s="1"/>
  <c r="S10" i="39" s="1"/>
  <c r="C26" i="71"/>
  <c r="D26" i="71" s="1"/>
  <c r="D27" i="71"/>
  <c r="C64" i="71"/>
  <c r="D63" i="71"/>
  <c r="C22" i="71"/>
  <c r="D23" i="71"/>
  <c r="D67" i="71"/>
  <c r="C66" i="71"/>
  <c r="O67" i="71"/>
  <c r="T40" i="71"/>
  <c r="D40" i="71"/>
  <c r="AZ19" i="3"/>
  <c r="AZ59" i="3"/>
  <c r="AZ282" i="3"/>
  <c r="AZ27" i="3"/>
  <c r="AZ5" i="3" s="1"/>
  <c r="AZ273" i="3"/>
  <c r="AZ247" i="3"/>
  <c r="AZ210" i="3"/>
  <c r="C56" i="71"/>
  <c r="D55" i="71"/>
  <c r="AZ432" i="3"/>
  <c r="AC24" i="36"/>
  <c r="W24" i="36"/>
  <c r="K16" i="1"/>
  <c r="H16" i="1"/>
  <c r="AZ85" i="3"/>
  <c r="AZ83" i="3"/>
  <c r="AZ288" i="3"/>
  <c r="AZ287" i="3"/>
  <c r="AZ264" i="3"/>
  <c r="AZ475" i="3"/>
  <c r="AZ234" i="3"/>
  <c r="AZ354" i="3"/>
  <c r="AZ45" i="3"/>
  <c r="AZ332" i="3"/>
  <c r="AZ454" i="3"/>
  <c r="AZ418" i="3"/>
  <c r="AZ550" i="3"/>
  <c r="AC23" i="36"/>
  <c r="W23" i="36"/>
  <c r="AB38" i="40"/>
  <c r="U38" i="40"/>
  <c r="B19" i="71"/>
  <c r="B18" i="71" s="1"/>
  <c r="B17" i="71" s="1"/>
  <c r="B16" i="71" s="1"/>
  <c r="S20" i="71"/>
  <c r="AB24" i="36"/>
  <c r="U24" i="36"/>
  <c r="D17" i="53"/>
  <c r="B36" i="72" s="1"/>
  <c r="AZ80" i="3"/>
  <c r="AZ170" i="3"/>
  <c r="AZ474" i="3"/>
  <c r="AZ232" i="3"/>
  <c r="AZ61" i="3"/>
  <c r="AZ49" i="3"/>
  <c r="AZ302" i="3"/>
  <c r="AZ284" i="3"/>
  <c r="AZ277" i="3"/>
  <c r="AZ256" i="3"/>
  <c r="D31" i="71"/>
  <c r="C32" i="71"/>
  <c r="AZ280" i="3"/>
  <c r="D34" i="71"/>
  <c r="C35" i="71"/>
  <c r="AZ249" i="3"/>
  <c r="AZ405" i="3"/>
  <c r="AZ429" i="3"/>
  <c r="U39" i="40"/>
  <c r="AB39" i="40"/>
  <c r="AA38" i="40"/>
  <c r="S38" i="40"/>
  <c r="AA27" i="21"/>
  <c r="S27"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AC6" i="3"/>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AE6" i="1"/>
  <c r="F41" i="67"/>
  <c r="G1" i="73"/>
  <c r="C47" i="69" l="1"/>
  <c r="D45" i="69" s="1"/>
  <c r="D26" i="43"/>
  <c r="C25" i="43" s="1"/>
  <c r="F28" i="12"/>
  <c r="C29" i="12" s="1"/>
  <c r="D28" i="12" s="1"/>
  <c r="F27" i="68"/>
  <c r="C47" i="68" s="1"/>
  <c r="D45" i="68" s="1"/>
  <c r="H10" i="40"/>
  <c r="AB10" i="40" s="1"/>
  <c r="J10" i="40"/>
  <c r="AC10" i="40" s="1"/>
  <c r="AA10" i="39"/>
  <c r="F10" i="40"/>
  <c r="S10" i="40" s="1"/>
  <c r="H10" i="39"/>
  <c r="U10" i="39" s="1"/>
  <c r="F45" i="69"/>
  <c r="C29" i="69"/>
  <c r="D27" i="69" s="1"/>
  <c r="F27" i="11"/>
  <c r="C29" i="11" s="1"/>
  <c r="D27" i="11" s="1"/>
  <c r="AY6" i="3"/>
  <c r="E3" i="6"/>
  <c r="D3" i="21" s="1"/>
  <c r="C36" i="71"/>
  <c r="D35" i="71"/>
  <c r="D56" i="71"/>
  <c r="T56" i="71"/>
  <c r="T64" i="71"/>
  <c r="D64" i="71"/>
  <c r="D22" i="71"/>
  <c r="C21" i="71"/>
  <c r="T32" i="71"/>
  <c r="D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R50" i="34" l="1"/>
  <c r="I53" i="34"/>
  <c r="J53" i="34" s="1"/>
  <c r="F45" i="68"/>
  <c r="C29" i="68"/>
  <c r="D27" i="68" s="1"/>
  <c r="F22" i="11"/>
  <c r="C24" i="11" s="1"/>
  <c r="F24" i="67"/>
  <c r="C24" i="67" s="1"/>
  <c r="C17" i="4"/>
  <c r="B4" i="52" s="1"/>
  <c r="B43" i="72" s="1"/>
  <c r="M18" i="9"/>
  <c r="B118" i="9" s="1"/>
  <c r="B1" i="74" s="1"/>
  <c r="F24" i="15"/>
  <c r="C24" i="15" s="1"/>
  <c r="F22" i="69"/>
  <c r="F41" i="69" s="1"/>
  <c r="F22" i="68"/>
  <c r="F41" i="68" s="1"/>
  <c r="F25" i="12"/>
  <c r="C26" i="12" s="1"/>
  <c r="D25" i="12" s="1"/>
  <c r="T36" i="71"/>
  <c r="D36" i="71"/>
  <c r="D116" i="43"/>
  <c r="D21" i="71"/>
  <c r="C20" i="7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D10" i="69"/>
  <c r="C34" i="69"/>
  <c r="C17" i="15"/>
  <c r="C17" i="67"/>
  <c r="C14" i="67"/>
  <c r="C44" i="11" l="1"/>
  <c r="D41" i="11" s="1"/>
  <c r="I54" i="34"/>
  <c r="J54" i="34" s="1"/>
  <c r="E53" i="34"/>
  <c r="F53" i="34" s="1"/>
  <c r="C26" i="11"/>
  <c r="D22" i="11" s="1"/>
  <c r="C23" i="11"/>
  <c r="C25" i="11"/>
  <c r="H22" i="6"/>
  <c r="C23" i="68"/>
  <c r="C44" i="68"/>
  <c r="D41" i="68" s="1"/>
  <c r="C26" i="68"/>
  <c r="D22" i="68" s="1"/>
  <c r="C44" i="69"/>
  <c r="D41" i="69" s="1"/>
  <c r="C26" i="69"/>
  <c r="D22" i="69" s="1"/>
  <c r="D30" i="6"/>
  <c r="H25" i="6"/>
  <c r="T20" i="71"/>
  <c r="D20" i="71"/>
  <c r="U20" i="71" s="1"/>
  <c r="C19"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B6" i="76"/>
  <c r="E6" i="76"/>
  <c r="C14" i="15"/>
  <c r="C31" i="11" l="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F24" i="9" l="1"/>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D2" i="36"/>
  <c r="D2" i="34"/>
  <c r="L51" i="15"/>
  <c r="D102" i="9" l="1"/>
  <c r="D21" i="9"/>
  <c r="D12" i="71"/>
  <c r="U12" i="71" s="1"/>
  <c r="C11" i="71"/>
  <c r="T12" i="71"/>
  <c r="Q57" i="67"/>
  <c r="Q62" i="67" s="1"/>
  <c r="Q66" i="67"/>
  <c r="Q75" i="67" s="1"/>
  <c r="B3" i="67"/>
  <c r="G24" i="9"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2" i="1"/>
  <c r="AO8" i="1"/>
  <c r="AO11" i="1"/>
  <c r="AO6" i="1"/>
  <c r="AO7" i="1"/>
  <c r="AO9" i="1"/>
  <c r="AO10" i="1"/>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F118" i="9"/>
  <c r="F4" i="52" s="1"/>
  <c r="B51" i="72" s="1"/>
  <c r="G118" i="9"/>
  <c r="G4" i="52" s="1"/>
  <c r="B52" i="72" s="1"/>
  <c r="I118" i="9"/>
  <c r="C105" i="9" s="1"/>
  <c r="H118" i="9" l="1"/>
  <c r="E118" i="9"/>
  <c r="I4" i="52"/>
  <c r="F119" i="9"/>
  <c r="F5" i="52" s="1"/>
  <c r="B53" i="72" s="1"/>
  <c r="H102" i="9"/>
  <c r="R24" i="31" s="1"/>
  <c r="S24" i="31" l="1"/>
  <c r="R25" i="31"/>
  <c r="S25" i="31" s="1"/>
  <c r="R26" i="31"/>
  <c r="S26" i="31" s="1"/>
  <c r="E4" i="52"/>
  <c r="B48" i="72" s="1"/>
  <c r="D118" i="9"/>
  <c r="D7" i="53"/>
  <c r="B21" i="72" s="1"/>
  <c r="H101" i="9"/>
  <c r="C104" i="9"/>
  <c r="H4" i="52"/>
  <c r="H119" i="9"/>
  <c r="H5" i="52" s="1"/>
  <c r="S22" i="31" l="1"/>
  <c r="D4" i="52"/>
  <c r="B47" i="72" s="1"/>
  <c r="D119" i="9"/>
  <c r="D5" i="52" s="1"/>
  <c r="B49" i="72" s="1"/>
  <c r="M48" i="9"/>
  <c r="H107" i="9"/>
  <c r="D5" i="53"/>
  <c r="D45" i="9"/>
  <c r="R22" i="31" l="1"/>
  <c r="E14" i="74" s="1"/>
  <c r="D14" i="74"/>
  <c r="B20" i="31"/>
  <c r="B21" i="31" s="1"/>
  <c r="D13" i="53"/>
  <c r="H108" i="9"/>
  <c r="M49" i="9"/>
  <c r="D122" i="9"/>
  <c r="D55" i="9"/>
  <c r="M53" i="9" s="1"/>
  <c r="C93" i="9"/>
  <c r="C86" i="9" s="1"/>
  <c r="C78" i="9"/>
  <c r="C73" i="9" s="1"/>
  <c r="D52" i="9"/>
  <c r="C72" i="9"/>
  <c r="C85" i="9"/>
  <c r="D53" i="9"/>
  <c r="C64" i="9"/>
  <c r="C63" i="9" s="1"/>
  <c r="C67" i="9" s="1"/>
  <c r="D6" i="53"/>
  <c r="B22" i="72" s="1"/>
  <c r="B20" i="72"/>
  <c r="B5" i="74" l="1"/>
  <c r="F14" i="74"/>
  <c r="C95" i="9"/>
  <c r="C96" i="9" s="1"/>
  <c r="E96" i="9" s="1"/>
  <c r="E97" i="9" s="1"/>
  <c r="D59" i="9"/>
  <c r="M55" i="9" s="1"/>
  <c r="C68" i="9"/>
  <c r="D54" i="9" s="1"/>
  <c r="D123" i="9"/>
  <c r="D9" i="52" s="1"/>
  <c r="D8" i="52"/>
  <c r="L64" i="9"/>
  <c r="M64" i="9" s="1"/>
  <c r="L66" i="9"/>
  <c r="M66" i="9" s="1"/>
  <c r="L68" i="9"/>
  <c r="M68" i="9" s="1"/>
  <c r="L65" i="9"/>
  <c r="M65" i="9" s="1"/>
  <c r="L63" i="9"/>
  <c r="M63" i="9" s="1"/>
  <c r="L67" i="9"/>
  <c r="M67" i="9" s="1"/>
  <c r="C6" i="74"/>
  <c r="D15" i="53"/>
  <c r="B31" i="72" s="1"/>
  <c r="C79" i="9"/>
  <c r="B30" i="72"/>
  <c r="D14" i="53"/>
  <c r="B32" i="72" s="1"/>
  <c r="C97" i="9" l="1"/>
  <c r="D58" i="9" s="1"/>
  <c r="D56" i="9" s="1"/>
  <c r="M54" i="9" s="1"/>
  <c r="N57" i="9" s="1"/>
  <c r="P57" i="9" s="1"/>
  <c r="D5" i="74"/>
  <c r="C5" i="74"/>
  <c r="M69" i="9"/>
  <c r="N69" i="9" s="1"/>
  <c r="C80" i="9"/>
  <c r="E80" i="9" s="1"/>
  <c r="E81" i="9" s="1"/>
  <c r="C81" i="9" l="1"/>
  <c r="N58" i="9"/>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<sst xmlns="http://schemas.openxmlformats.org/spreadsheetml/2006/main" count="7937" uniqueCount="3487">
  <si>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</si>
  <si>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</si>
  <si>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</si>
  <si>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</si>
  <si>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</si>
  <si>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</si>
  <si>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</si>
  <si>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</si>
  <si>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</si>
  <si>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</si>
  <si>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</si>
  <si>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</si>
  <si>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</si>
  <si>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</si>
  <si>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</si>
  <si>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</si>
  <si>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</si>
  <si>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</si>
  <si>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</si>
  <si>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</si>
  <si>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</si>
  <si>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</si>
  <si>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</si>
  <si>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</si>
  <si>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</si>
  <si>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</si>
  <si>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</si>
  <si>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</si>
  <si>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</si>
  <si>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</si>
  <si>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</si>
  <si>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</si>
  <si>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</si>
  <si>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</si>
  <si>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</si>
  <si>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</si>
  <si>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</si>
  <si>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</si>
  <si>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</si>
  <si>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</si>
  <si>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</si>
  <si>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</si>
  <si>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</si>
  <si>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</si>
  <si>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</si>
  <si>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</si>
  <si>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</si>
  <si>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</si>
  <si>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</si>
  <si>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</si>
  <si>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</si>
  <si>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</si>
  <si>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</si>
  <si>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</si>
  <si>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</si>
  <si>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</si>
  <si>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</si>
  <si>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</si>
  <si>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</si>
  <si>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</si>
  <si>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</si>
  <si>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</si>
  <si>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</si>
  <si>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</si>
  <si>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</si>
  <si>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</si>
  <si>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</si>
  <si>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</si>
  <si>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</si>
  <si>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</si>
  <si>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</si>
  <si>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</si>
  <si>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</si>
  <si>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</si>
  <si>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</si>
  <si>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</si>
  <si>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</si>
  <si>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</si>
  <si>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</si>
  <si>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</si>
  <si>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</si>
  <si>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</si>
  <si>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</si>
  <si>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</si>
  <si>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</si>
  <si>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</si>
  <si>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</si>
  <si>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</si>
  <si>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</si>
  <si>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</si>
  <si>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</si>
  <si>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</si>
  <si>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</si>
  <si>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</si>
  <si>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</si>
  <si>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</si>
  <si>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</si>
  <si>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</si>
  <si>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</si>
  <si>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</si>
  <si>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</si>
  <si>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</si>
  <si>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</si>
  <si>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</si>
  <si>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</si>
  <si>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</si>
  <si>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</si>
  <si>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</si>
  <si>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</si>
  <si>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</si>
  <si>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</si>
  <si>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</si>
  <si>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</si>
  <si>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</si>
  <si>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</si>
  <si>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</si>
  <si>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</si>
  <si>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</si>
  <si>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</si>
  <si>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</si>
  <si>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</si>
  <si>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</si>
  <si>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</si>
  <si>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</si>
  <si>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</si>
  <si>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</si>
  <si>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</si>
  <si>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</si>
  <si>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</si>
  <si>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</si>
  <si>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</si>
  <si>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</si>
  <si>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</si>
  <si>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</si>
  <si>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</si>
  <si>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</si>
  <si>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</si>
  <si>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</si>
  <si>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</si>
  <si>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</si>
  <si>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</si>
  <si>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</si>
  <si>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</si>
  <si>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</si>
  <si>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</si>
  <si>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</si>
  <si>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</si>
  <si>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</si>
  <si>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</si>
  <si>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</si>
  <si>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</si>
  <si>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</si>
  <si>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</si>
  <si>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</si>
  <si>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</si>
  <si>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</si>
  <si>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</si>
  <si>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</si>
  <si>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</si>
  <si>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</si>
  <si>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</si>
  <si>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</si>
  <si>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</si>
  <si>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</si>
  <si>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</si>
  <si>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</si>
  <si>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</si>
  <si>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</si>
  <si>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</si>
  <si>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</si>
  <si>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</si>
  <si>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</si>
  <si>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</si>
  <si>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</si>
  <si>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</si>
  <si>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</si>
  <si>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</si>
  <si>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</si>
  <si>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</si>
  <si>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</si>
  <si>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</si>
  <si>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</si>
  <si>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</si>
  <si>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</si>
  <si>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</si>
  <si>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</si>
  <si>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</si>
  <si>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</si>
  <si>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</si>
  <si>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</si>
  <si>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</si>
  <si>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</si>
  <si>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</si>
  <si>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</si>
  <si>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</si>
  <si>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</si>
  <si>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</si>
  <si>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</si>
  <si>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</si>
  <si>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</si>
  <si>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</si>
  <si>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</si>
  <si>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</si>
  <si>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</si>
  <si>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</si>
  <si>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</si>
  <si>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</si>
  <si>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</si>
  <si>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</si>
  <si>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</si>
  <si>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</si>
  <si>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</si>
  <si>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</si>
  <si>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</si>
  <si>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</si>
  <si>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</si>
  <si>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</si>
  <si>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</si>
  <si>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</si>
  <si>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</si>
  <si>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</si>
  <si>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</si>
  <si>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</si>
  <si>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</si>
  <si>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</si>
  <si>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</si>
  <si>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</si>
  <si>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</si>
  <si>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</si>
  <si>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</si>
  <si>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</si>
  <si>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</si>
  <si>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</si>
  <si>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</si>
  <si>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</si>
  <si>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</si>
  <si>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</si>
  <si>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</si>
  <si>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</si>
  <si>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</si>
  <si>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</si>
  <si>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</si>
  <si>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</si>
  <si>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</si>
  <si>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</si>
  <si>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</si>
  <si>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</si>
  <si>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</si>
  <si>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</si>
  <si>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</si>
  <si>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</si>
  <si>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</si>
  <si>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</si>
  <si>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</si>
  <si>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</si>
  <si>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</si>
  <si>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</si>
  <si>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</si>
  <si>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</si>
  <si>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</si>
  <si>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</si>
  <si>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</si>
  <si>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</si>
  <si>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</si>
  <si>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</si>
  <si>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</si>
  <si>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</si>
  <si>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</si>
  <si>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</si>
  <si>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</si>
  <si>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</si>
  <si>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</si>
  <si>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</si>
  <si>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</si>
  <si>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</si>
  <si>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</si>
  <si>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</si>
  <si>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</si>
  <si>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</si>
  <si>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</si>
  <si>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</si>
  <si>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</si>
  <si>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</si>
  <si>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</si>
  <si>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</si>
  <si>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</si>
  <si>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</si>
  <si>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</si>
  <si>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</si>
  <si>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</si>
  <si>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</si>
  <si>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</si>
  <si>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</si>
  <si>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</si>
  <si>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</si>
  <si>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</si>
  <si>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</si>
  <si>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</si>
  <si>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</si>
  <si>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</si>
  <si>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</si>
  <si>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</si>
  <si>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</si>
  <si>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</si>
  <si>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</si>
  <si>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</si>
  <si>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</si>
  <si>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</si>
  <si>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</si>
  <si>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</si>
  <si>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</si>
  <si>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</si>
  <si>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</si>
  <si>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</si>
  <si>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</si>
  <si>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</si>
  <si>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</si>
  <si>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</si>
  <si>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</si>
  <si>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</si>
  <si>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</si>
  <si>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</si>
  <si>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</si>
  <si>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</si>
  <si>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</si>
  <si>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</si>
  <si>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</si>
  <si>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</si>
  <si>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</si>
  <si>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</si>
  <si>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</si>
  <si>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</si>
  <si>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</si>
  <si>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</si>
  <si>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</si>
  <si>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</si>
  <si>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</si>
  <si>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</si>
  <si>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</si>
  <si>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</si>
  <si>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</si>
  <si>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</si>
  <si>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</si>
  <si>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</si>
  <si>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</si>
  <si>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</si>
  <si>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</si>
  <si>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</si>
  <si>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</si>
  <si>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</si>
  <si>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</si>
  <si>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</si>
  <si>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</si>
  <si>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</si>
  <si>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</si>
  <si>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</si>
  <si>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</si>
  <si>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</si>
  <si>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</si>
  <si>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</si>
  <si>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</si>
  <si>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</si>
  <si>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</si>
  <si>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</si>
  <si>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</si>
  <si>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</si>
  <si>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</si>
  <si>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</si>
  <si>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</si>
  <si>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</si>
  <si>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</si>
  <si>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</si>
  <si>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</si>
  <si>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</si>
  <si>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</si>
  <si>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</si>
  <si>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</si>
  <si>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</si>
  <si>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</si>
  <si>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</si>
  <si>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</si>
  <si>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</si>
  <si>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</si>
  <si>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</si>
  <si>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</si>
  <si>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</si>
  <si>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</si>
  <si>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</si>
  <si>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</si>
  <si>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</si>
  <si>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</si>
  <si>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</si>
  <si>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</si>
  <si>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</si>
  <si>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</si>
  <si>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</si>
  <si>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</si>
  <si>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</si>
  <si>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</si>
  <si>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</si>
  <si>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</si>
  <si>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</si>
  <si>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</si>
  <si>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</si>
  <si>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</si>
  <si>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</si>
  <si>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</si>
  <si>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</si>
  <si>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</si>
  <si>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</si>
  <si>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</si>
  <si>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</si>
  <si>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</si>
  <si>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</si>
  <si>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</si>
  <si>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</si>
  <si>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</si>
  <si>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</si>
  <si>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</si>
  <si>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</si>
  <si>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</si>
  <si>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</si>
  <si>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</si>
  <si>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</si>
  <si>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</si>
  <si>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</si>
  <si>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</si>
  <si>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</si>
  <si>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</si>
  <si>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</si>
  <si>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</si>
  <si>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</si>
  <si>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</si>
  <si>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</si>
  <si>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</si>
  <si>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</si>
  <si>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</si>
  <si>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</si>
  <si>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</si>
  <si>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</si>
  <si>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</si>
  <si>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</si>
  <si>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</si>
  <si>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</si>
  <si>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</si>
  <si>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</si>
  <si>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</si>
  <si>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</si>
  <si>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</si>
  <si>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</si>
  <si>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</si>
  <si>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</si>
  <si>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</si>
  <si>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</si>
  <si>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</si>
  <si>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</si>
  <si>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</si>
  <si>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</si>
  <si>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</si>
  <si>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</si>
  <si>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</si>
  <si>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</si>
  <si>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</si>
  <si>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</si>
  <si>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</si>
  <si>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</si>
  <si>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</si>
  <si>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</si>
  <si>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</si>
  <si>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</si>
  <si>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</si>
  <si>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</si>
  <si>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</si>
  <si>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</si>
  <si>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</si>
  <si>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</si>
  <si>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</si>
  <si>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</si>
  <si>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</si>
  <si>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</si>
  <si>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</si>
  <si>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</si>
  <si>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</si>
  <si>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</si>
  <si>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</si>
  <si>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</si>
  <si>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</si>
  <si>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</si>
  <si>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</si>
  <si>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</si>
  <si>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</si>
  <si>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</si>
  <si>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</si>
  <si>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</si>
  <si>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</si>
  <si>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</si>
  <si>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</si>
  <si>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</si>
  <si>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</si>
  <si>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</si>
  <si>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</si>
  <si>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</si>
  <si>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</si>
  <si>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</si>
  <si>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</si>
  <si>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</si>
  <si>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</si>
  <si>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</si>
  <si>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</si>
  <si>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</si>
  <si>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</si>
  <si>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</si>
  <si>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</si>
  <si>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</si>
  <si>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</si>
  <si>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</si>
  <si>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</si>
  <si>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</si>
  <si>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</si>
  <si>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</si>
  <si>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</si>
  <si>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</si>
  <si>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</si>
  <si>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</si>
  <si>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</si>
  <si>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</si>
  <si>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</si>
  <si>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</si>
  <si>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</si>
  <si>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</si>
  <si>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</si>
  <si>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</si>
  <si>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</si>
  <si>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</si>
  <si>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</si>
  <si>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</si>
  <si>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</si>
  <si>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</si>
  <si>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</si>
  <si>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</si>
  <si>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</si>
  <si>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</si>
  <si>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</si>
  <si>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</si>
  <si>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</si>
  <si>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</si>
  <si>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</si>
  <si>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</si>
  <si>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</si>
  <si>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</si>
  <si>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</si>
  <si>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</si>
  <si>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</si>
  <si>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</si>
  <si>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</si>
  <si>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</si>
  <si>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</si>
  <si>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</si>
  <si>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</si>
  <si>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</si>
  <si>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</si>
  <si>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</si>
  <si>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</si>
  <si>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</si>
  <si>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</si>
  <si>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</si>
  <si>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</si>
  <si>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</si>
  <si>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</si>
  <si>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</si>
  <si>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</si>
  <si>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</si>
  <si>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</si>
  <si>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</si>
  <si>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</si>
  <si>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</si>
  <si>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</si>
  <si>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</si>
  <si>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</si>
  <si>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</si>
  <si>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</si>
  <si>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</si>
  <si>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</si>
  <si>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</si>
  <si>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</si>
  <si>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</si>
  <si>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</si>
  <si>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</si>
  <si>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</si>
  <si>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</si>
  <si>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</si>
  <si>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</si>
  <si>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</si>
  <si>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</si>
  <si>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</si>
  <si>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</si>
  <si>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</si>
  <si>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</si>
  <si>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</si>
  <si>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</si>
  <si>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</si>
  <si>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</si>
  <si>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</si>
  <si>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</si>
  <si>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</si>
  <si>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</si>
  <si>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</si>
  <si>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</si>
  <si>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</si>
  <si>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</si>
  <si>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</si>
  <si>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</si>
  <si>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</si>
  <si>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</si>
  <si>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</si>
  <si>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</si>
  <si>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</si>
  <si>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</si>
  <si>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</si>
  <si>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</si>
  <si>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</si>
  <si>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</si>
  <si>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</si>
  <si>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</si>
  <si>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</si>
  <si>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</si>
  <si>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</si>
  <si>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</si>
  <si>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</si>
  <si>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</si>
  <si>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</si>
  <si>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</si>
  <si>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</si>
  <si>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</si>
  <si>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</si>
  <si>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</si>
  <si>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</si>
  <si>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</si>
  <si>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</si>
  <si>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</si>
  <si>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</si>
  <si>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</si>
  <si>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</si>
  <si>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</si>
  <si>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</si>
  <si>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</si>
  <si>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</si>
  <si>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</si>
  <si>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</si>
  <si>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</si>
  <si>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</si>
  <si>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</si>
  <si>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</si>
  <si>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</si>
  <si>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</si>
  <si>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</si>
  <si>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</si>
  <si>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</si>
  <si>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</si>
  <si>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</si>
  <si>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</si>
  <si>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</si>
  <si>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</si>
  <si>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</si>
  <si>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</si>
  <si>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</si>
  <si>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</si>
  <si>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</si>
  <si>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</si>
  <si>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</si>
  <si>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</si>
  <si>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</si>
  <si>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</si>
  <si>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</si>
  <si>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</si>
  <si>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</si>
  <si>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</si>
  <si>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</si>
  <si>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</si>
  <si>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</si>
  <si>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</si>
  <si>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</si>
  <si>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</si>
  <si>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</si>
  <si>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</si>
  <si>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</si>
  <si>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</si>
  <si>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</si>
  <si>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</si>
  <si>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</si>
  <si>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</si>
  <si>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</si>
  <si>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</si>
  <si>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</si>
  <si>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</si>
  <si>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</si>
  <si>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</si>
  <si>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</si>
  <si>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</si>
  <si>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</si>
  <si>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</si>
  <si>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</si>
  <si>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</si>
  <si>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</si>
  <si>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</si>
  <si>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</si>
  <si>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</si>
  <si>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</si>
  <si>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</si>
  <si>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</si>
  <si>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</si>
  <si>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</si>
  <si>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</si>
  <si>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</si>
  <si>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</si>
  <si>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</si>
  <si>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</si>
  <si>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</si>
  <si>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</si>
  <si>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</si>
  <si>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</si>
  <si>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</si>
  <si>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</si>
  <si>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</si>
  <si>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</si>
  <si>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</si>
  <si>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</si>
  <si>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</si>
  <si>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</si>
  <si>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</si>
  <si>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</si>
  <si>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</si>
  <si>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</si>
  <si>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</si>
  <si>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</si>
  <si>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</si>
  <si>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</si>
  <si>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</si>
  <si>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</si>
  <si>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</si>
  <si>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</si>
  <si>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</si>
  <si>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</si>
  <si>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</si>
  <si>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</si>
  <si>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</si>
  <si>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</si>
  <si>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</si>
  <si>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</si>
  <si>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</si>
  <si>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</si>
  <si>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</si>
  <si>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</si>
  <si>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</si>
  <si>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</si>
  <si>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</si>
  <si>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</si>
  <si>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</si>
  <si>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</si>
  <si>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</si>
  <si>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</si>
  <si>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</si>
  <si>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</si>
  <si>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</si>
  <si>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</si>
  <si>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</si>
  <si>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</si>
  <si>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</si>
  <si>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</si>
  <si>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</si>
  <si>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</si>
  <si>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</si>
  <si>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</si>
  <si>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</si>
  <si>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</si>
  <si>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</si>
  <si>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</si>
  <si>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</si>
  <si>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</si>
  <si>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</si>
  <si>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</si>
  <si>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</si>
  <si>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</si>
  <si>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</si>
  <si>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</si>
  <si>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</si>
  <si>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</si>
  <si>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</si>
  <si>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</si>
  <si>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</si>
  <si>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</si>
  <si>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</si>
  <si>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</si>
  <si>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</si>
  <si>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</si>
  <si>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</si>
  <si>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</si>
  <si>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</si>
  <si>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</si>
  <si>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</si>
  <si>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</si>
  <si>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</si>
  <si>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</si>
  <si>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</si>
  <si>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</si>
  <si>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</si>
  <si>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</si>
  <si>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</si>
  <si>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</si>
  <si>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</si>
  <si>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</si>
  <si>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</si>
  <si>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</si>
  <si>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</si>
  <si>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</si>
  <si>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</si>
  <si>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</si>
  <si>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</si>
  <si>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</si>
  <si>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</si>
  <si>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</si>
  <si>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</si>
  <si>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</si>
  <si>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</si>
  <si>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</si>
  <si>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</si>
  <si>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</si>
  <si>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</si>
  <si>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</si>
  <si>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</si>
  <si>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</si>
  <si>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</si>
  <si>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</si>
  <si>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</si>
  <si>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</si>
  <si>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</si>
  <si>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</si>
  <si>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</si>
  <si>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</si>
  <si>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</si>
  <si>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</si>
  <si>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</si>
  <si>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</si>
  <si>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</si>
  <si>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</si>
  <si>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</si>
  <si>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</si>
  <si>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</si>
  <si>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</si>
  <si>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</si>
  <si>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</si>
  <si>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</si>
  <si>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</si>
  <si>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</si>
  <si>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</si>
  <si>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</si>
  <si>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</si>
  <si>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</si>
  <si>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</si>
  <si>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</si>
  <si>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</si>
  <si>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</si>
  <si>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</si>
  <si>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</si>
  <si>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</si>
  <si>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</si>
  <si>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</si>
  <si>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</si>
  <si>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</si>
  <si>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</si>
  <si>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</si>
  <si>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</si>
  <si>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</si>
  <si>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</si>
  <si>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</si>
  <si>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</si>
  <si>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</si>
  <si>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</si>
  <si>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</si>
  <si>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</si>
  <si>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</si>
  <si>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</si>
  <si>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</si>
  <si>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</si>
  <si>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</si>
  <si>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</si>
  <si>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</si>
  <si>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</si>
  <si>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</si>
  <si>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</si>
  <si>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</si>
  <si>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</si>
  <si>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</si>
  <si>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</si>
  <si>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</si>
  <si>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</si>
  <si>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</si>
  <si>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</si>
  <si>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</si>
  <si>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</si>
  <si>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</si>
  <si>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</si>
  <si>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</si>
  <si>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</si>
  <si>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</si>
  <si>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</si>
  <si>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</si>
  <si>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</si>
  <si>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</si>
  <si>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</si>
  <si>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</si>
  <si>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</si>
  <si>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</si>
  <si>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</si>
  <si>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</si>
  <si>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</si>
  <si>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</si>
  <si>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</si>
  <si>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</si>
  <si>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</si>
  <si>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</si>
  <si>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</si>
  <si>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</si>
  <si>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</si>
  <si>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</si>
  <si>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</si>
  <si>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</si>
  <si>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</si>
  <si>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</si>
  <si>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</si>
  <si>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</si>
  <si>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</si>
  <si>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</si>
  <si>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</si>
  <si>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</si>
  <si>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</si>
  <si>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</si>
  <si>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</si>
  <si>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</si>
  <si>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</si>
  <si>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</si>
  <si>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</si>
  <si>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</si>
  <si>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</si>
  <si>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</si>
  <si>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</si>
  <si>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</si>
  <si>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</si>
  <si>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</si>
  <si>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</si>
  <si>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</si>
  <si>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</si>
  <si>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</si>
  <si>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</si>
  <si>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</si>
  <si>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</si>
  <si>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</si>
  <si>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</si>
  <si>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</si>
  <si>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</si>
  <si>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</si>
  <si>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</si>
  <si>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</si>
  <si>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</si>
  <si>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</si>
  <si>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</si>
  <si>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</si>
  <si>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</si>
  <si>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</si>
  <si>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</si>
  <si>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</si>
  <si>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</si>
  <si>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</si>
  <si>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</si>
  <si>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</si>
  <si>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</si>
  <si>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</si>
  <si>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</si>
  <si>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</si>
  <si>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</si>
  <si>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</si>
  <si>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</si>
  <si>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</si>
  <si>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</si>
  <si>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</si>
  <si>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</si>
  <si>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</si>
  <si>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</si>
  <si>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</si>
  <si>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</si>
  <si>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</si>
  <si>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</si>
  <si>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</si>
  <si>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</si>
  <si>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</si>
  <si>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</si>
  <si>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</si>
  <si>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</si>
  <si>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</si>
  <si>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</si>
  <si>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</si>
  <si>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</si>
  <si>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</si>
  <si>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</si>
  <si>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</si>
  <si>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</si>
  <si>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</si>
  <si>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</si>
  <si>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</si>
  <si>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</si>
  <si>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</si>
  <si>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</si>
  <si>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</si>
  <si>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</si>
  <si>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</si>
  <si>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</si>
  <si>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</si>
  <si>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</si>
  <si>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</si>
  <si>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</si>
  <si>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</si>
  <si>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</si>
  <si>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</si>
  <si>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</si>
  <si>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</si>
  <si>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</si>
  <si>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</si>
  <si>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</si>
  <si>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</si>
  <si>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</si>
  <si>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</si>
  <si>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</si>
  <si>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</si>
  <si>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</si>
  <si>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</si>
  <si>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</si>
  <si>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</si>
  <si>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</si>
  <si>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</si>
  <si>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</si>
  <si>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</si>
  <si>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</si>
  <si>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</si>
  <si>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</si>
  <si>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</si>
  <si>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</si>
  <si>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</si>
  <si>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</si>
  <si>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</si>
  <si>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</si>
  <si>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</si>
  <si>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</si>
  <si>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</si>
  <si>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</si>
  <si>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</si>
  <si>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</si>
  <si>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</si>
  <si>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</si>
  <si>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</si>
  <si>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</si>
  <si>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</si>
  <si>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</si>
  <si>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</si>
  <si>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</si>
  <si>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</si>
  <si>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</si>
  <si>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</si>
  <si>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</si>
  <si>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</si>
  <si>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</si>
  <si>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</si>
  <si>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</si>
  <si>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</si>
  <si>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</si>
  <si>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</si>
  <si>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</si>
  <si>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</si>
  <si>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</si>
  <si>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</si>
  <si>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</si>
  <si>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</si>
  <si>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</si>
  <si>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</si>
  <si>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</si>
  <si>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</si>
  <si>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</si>
  <si>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</si>
  <si>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</si>
  <si>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</si>
  <si>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</si>
  <si>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</si>
  <si>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</si>
  <si>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</si>
  <si>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</si>
  <si>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</si>
  <si>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</si>
  <si>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</si>
  <si>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</si>
  <si>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</si>
  <si>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</si>
  <si>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</si>
  <si>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</si>
  <si>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</si>
  <si>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</si>
  <si>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</si>
  <si>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</si>
  <si>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</si>
  <si>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</si>
  <si>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</si>
  <si>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</si>
  <si>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</si>
  <si>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</si>
  <si>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</si>
  <si>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</si>
  <si>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</si>
  <si>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</si>
  <si>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</si>
  <si>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</si>
  <si>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</si>
  <si>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</si>
  <si>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</si>
  <si>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</si>
  <si>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</si>
  <si>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</si>
  <si>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</si>
  <si>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</si>
  <si>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</si>
  <si>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</si>
  <si>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</si>
  <si>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</si>
  <si>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</si>
  <si>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</si>
  <si>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</si>
  <si>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</si>
  <si>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</si>
  <si>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</si>
  <si>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</si>
  <si>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</si>
  <si>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</si>
  <si>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</si>
  <si>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</si>
  <si>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</si>
  <si>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</si>
  <si>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</si>
  <si>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</si>
  <si>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</si>
  <si>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</si>
  <si>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</si>
  <si>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</si>
  <si>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</si>
  <si>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</si>
  <si>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</si>
  <si>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</si>
  <si>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</si>
  <si>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</si>
  <si>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</si>
  <si>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</si>
  <si>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</si>
  <si>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</si>
  <si>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</si>
  <si>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</si>
  <si>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</si>
  <si>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</si>
  <si>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</si>
  <si>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</si>
  <si>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</si>
  <si>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</si>
  <si>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</si>
  <si>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</si>
  <si>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</si>
  <si>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</si>
  <si>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</si>
  <si>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</si>
  <si>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</si>
  <si>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</si>
  <si>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</si>
  <si>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</si>
  <si>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</si>
  <si>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</si>
  <si>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</si>
  <si>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</si>
  <si>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</si>
  <si>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</si>
  <si>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</si>
  <si>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</si>
  <si>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</si>
  <si>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</si>
  <si>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</si>
  <si>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</si>
  <si>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</si>
  <si>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</si>
  <si>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</si>
  <si>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</si>
  <si>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</si>
  <si>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</si>
  <si>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</si>
  <si>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</si>
  <si>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</si>
  <si>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</si>
  <si>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</si>
  <si>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</si>
  <si>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</si>
  <si>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</si>
  <si>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</si>
  <si>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</si>
  <si>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</si>
  <si>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</si>
  <si>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</si>
  <si>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</si>
  <si>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</si>
  <si>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</si>
  <si>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</si>
  <si>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</si>
  <si>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</si>
  <si>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</si>
  <si>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</si>
  <si>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</si>
  <si>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</si>
  <si>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</si>
  <si>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</si>
  <si>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</si>
  <si>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</si>
  <si>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</si>
  <si>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</si>
  <si>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</si>
  <si>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</si>
  <si>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</si>
  <si>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</si>
  <si>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</si>
  <si>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</si>
  <si>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</si>
  <si>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</si>
  <si>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</si>
  <si>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</si>
  <si>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</si>
  <si>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</si>
  <si>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</si>
  <si>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</si>
  <si>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</si>
  <si>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</si>
  <si>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</si>
  <si>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</si>
  <si>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</si>
  <si>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</si>
  <si>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</si>
  <si>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</si>
  <si>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</si>
  <si>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</si>
  <si>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</si>
  <si>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</si>
  <si>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</si>
  <si>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</si>
  <si>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</si>
  <si>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</si>
  <si>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</si>
  <si>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</si>
  <si>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</si>
  <si>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</si>
  <si>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</si>
  <si>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</si>
  <si>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</si>
  <si>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</si>
  <si>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</si>
  <si>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</si>
  <si>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</si>
  <si>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</si>
  <si>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</si>
  <si>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</si>
  <si>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</si>
  <si>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</si>
  <si>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</si>
  <si>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</si>
  <si>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</si>
  <si>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</si>
  <si>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</si>
  <si>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</si>
  <si>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</si>
  <si>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</si>
  <si>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</si>
  <si>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</si>
  <si>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</si>
  <si>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</si>
  <si>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</si>
  <si>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</si>
  <si>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</si>
  <si>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</si>
  <si>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</si>
  <si>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</si>
  <si>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</si>
  <si>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</si>
  <si>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</si>
  <si>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</si>
  <si>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</si>
  <si>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</si>
  <si>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</si>
  <si>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</si>
  <si>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</si>
  <si>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</si>
  <si>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</si>
  <si>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</si>
  <si>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</si>
  <si>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</si>
  <si>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</si>
  <si>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</si>
  <si>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</si>
  <si>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</si>
  <si>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</si>
  <si>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</si>
  <si>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</si>
  <si>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</si>
  <si>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</si>
  <si>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</si>
  <si>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</si>
  <si>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</si>
  <si>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</si>
  <si>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</si>
  <si>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</si>
  <si>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</si>
  <si>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</si>
  <si>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</si>
  <si>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</si>
  <si>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</si>
  <si>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</si>
  <si>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</si>
  <si>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</si>
  <si>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</si>
  <si>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</si>
  <si>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</si>
  <si>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</si>
  <si>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</si>
  <si>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</si>
  <si>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</si>
  <si>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</si>
  <si>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</si>
  <si>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</si>
  <si>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</si>
  <si>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</si>
  <si>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</si>
  <si>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</si>
  <si>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</si>
  <si>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</si>
  <si>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</si>
  <si>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</si>
  <si>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</si>
  <si>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</si>
  <si>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</si>
  <si>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</si>
  <si>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</si>
  <si>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</si>
  <si>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</si>
  <si>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</si>
  <si>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</si>
  <si>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</si>
  <si>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</si>
  <si>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</si>
  <si>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</si>
  <si>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</si>
  <si>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</si>
  <si>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</si>
  <si>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</si>
  <si>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</si>
  <si>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</si>
  <si>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</si>
  <si>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</si>
  <si>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</si>
  <si>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</si>
  <si>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</si>
  <si>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</si>
  <si>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</si>
  <si>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</si>
  <si>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</si>
  <si>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</si>
  <si>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</si>
  <si>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</si>
  <si>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</si>
  <si>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</si>
  <si>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</si>
  <si>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</si>
  <si>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</si>
  <si>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</si>
  <si>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</si>
  <si>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</si>
  <si>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</si>
  <si>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</si>
  <si>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</si>
  <si>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</si>
  <si>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</si>
  <si>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</si>
  <si>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</si>
  <si>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</si>
  <si>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</si>
  <si>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</si>
  <si>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</si>
  <si>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</si>
  <si>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</si>
  <si>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</si>
  <si>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</si>
  <si>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</si>
  <si>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</si>
  <si>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</si>
  <si>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</si>
  <si>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</si>
  <si>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</si>
  <si>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</si>
  <si>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</si>
  <si>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</si>
  <si>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</si>
  <si>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</si>
  <si>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</si>
  <si>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</si>
  <si>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</si>
  <si>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</si>
  <si>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</si>
  <si>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</si>
  <si>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</si>
  <si>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</si>
  <si>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</si>
  <si>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</si>
  <si>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</si>
  <si>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</si>
  <si>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</si>
  <si>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</si>
  <si>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</si>
  <si>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</si>
  <si>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</si>
  <si>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</si>
  <si>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</si>
  <si>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</si>
  <si>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</si>
  <si>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</si>
  <si>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</si>
  <si>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</si>
  <si>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</si>
  <si>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</si>
  <si>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</si>
  <si>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</si>
  <si>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</si>
  <si>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</si>
  <si>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</si>
  <si>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</si>
  <si>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</si>
  <si>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</si>
  <si>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</si>
  <si>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</si>
  <si>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</si>
  <si>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</si>
  <si>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</si>
  <si>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</si>
  <si>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</si>
  <si>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</si>
  <si>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</si>
  <si>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</si>
  <si>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</si>
  <si>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</si>
  <si>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</si>
  <si>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</si>
  <si>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</si>
  <si>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</si>
  <si>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</si>
  <si>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</si>
  <si>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</si>
  <si>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</si>
  <si>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</si>
  <si>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</si>
  <si>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</si>
  <si>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</si>
  <si>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</si>
  <si>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</si>
  <si>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</si>
  <si>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</si>
  <si>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</si>
  <si>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</si>
  <si>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</si>
  <si>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</si>
  <si>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</si>
  <si>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</si>
  <si>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</si>
  <si>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</si>
  <si>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</si>
  <si>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</si>
  <si>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</si>
  <si>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</si>
  <si>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</si>
  <si>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</si>
  <si>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</si>
  <si>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</si>
  <si>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</si>
  <si>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</si>
  <si>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</si>
  <si>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</si>
  <si>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</si>
  <si>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</si>
  <si>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</si>
  <si>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</si>
  <si>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</si>
  <si>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</si>
  <si>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</si>
  <si>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</si>
  <si>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</si>
  <si>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</si>
  <si>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</si>
  <si>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</si>
  <si>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</si>
  <si>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</si>
  <si>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</si>
  <si>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</si>
  <si>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</si>
  <si>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</si>
  <si>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</si>
  <si>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</si>
  <si>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</si>
  <si>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</si>
  <si>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</si>
  <si>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</si>
  <si>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</si>
  <si>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</si>
  <si>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</si>
  <si>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</si>
  <si>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</si>
  <si>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</si>
  <si>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</si>
  <si>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</si>
  <si>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</si>
  <si>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</si>
  <si>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</si>
  <si>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</si>
  <si>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</si>
  <si>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</si>
  <si>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</si>
  <si>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</si>
  <si>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</si>
  <si>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</si>
  <si>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</si>
  <si>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</si>
  <si>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</si>
  <si>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</si>
  <si>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</si>
  <si>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</si>
  <si>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</si>
  <si>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</si>
  <si>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</si>
  <si>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</si>
  <si>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</si>
  <si>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</si>
  <si>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</si>
  <si>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</si>
  <si>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</si>
  <si>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</si>
  <si>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</si>
  <si>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</si>
  <si>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</si>
  <si>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</si>
  <si>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</si>
  <si>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</si>
  <si>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</si>
  <si>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</si>
  <si>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</si>
  <si>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</si>
  <si>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</si>
  <si>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</si>
  <si>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</si>
  <si>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</si>
  <si>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</si>
  <si>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</si>
  <si>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</si>
  <si>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</si>
  <si>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</si>
  <si>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</si>
  <si>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</si>
  <si>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</si>
  <si>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</si>
  <si>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</si>
  <si>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</si>
  <si>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</si>
  <si>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</si>
  <si>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</si>
  <si>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</si>
  <si>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</si>
  <si>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</si>
  <si>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</si>
  <si>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</si>
  <si>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</si>
  <si>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</si>
  <si>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</si>
  <si>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</si>
  <si>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</si>
  <si>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</si>
  <si>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</si>
  <si>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</si>
  <si>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</si>
  <si>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</si>
  <si>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</si>
  <si>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</si>
  <si>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</si>
  <si>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</si>
  <si>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</si>
  <si>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</si>
  <si>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</si>
  <si>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</si>
  <si>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</si>
  <si>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</si>
  <si>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</si>
  <si>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</si>
  <si>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</si>
  <si>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</si>
  <si>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</si>
  <si>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</si>
  <si>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</si>
  <si>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</si>
  <si>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</si>
  <si>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</si>
  <si>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</si>
  <si>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</si>
  <si>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</si>
  <si>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</si>
  <si>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</si>
  <si>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</si>
  <si>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</si>
  <si>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</si>
  <si>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</si>
  <si>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</si>
  <si>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</si>
  <si>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</si>
  <si>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</si>
  <si>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</si>
  <si>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</si>
  <si>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</si>
  <si>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</si>
  <si>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</si>
  <si>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</si>
  <si>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</si>
  <si>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</si>
  <si>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</si>
  <si>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</si>
  <si>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</si>
  <si>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</si>
  <si>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</si>
  <si>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</si>
  <si>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</si>
  <si>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</si>
  <si>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</si>
  <si>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</si>
  <si>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</si>
  <si>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</si>
  <si>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</si>
  <si>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</si>
  <si>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</si>
  <si>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</si>
  <si>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</si>
  <si>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</si>
  <si>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</si>
  <si>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</si>
  <si>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</si>
  <si>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</si>
  <si>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</si>
  <si>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</si>
  <si>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</si>
  <si>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</si>
  <si>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</si>
  <si>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</si>
  <si>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</si>
  <si>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</si>
  <si>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</si>
  <si>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</si>
  <si>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</si>
  <si>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</si>
  <si>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</si>
  <si>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</si>
  <si>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</si>
  <si>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</si>
  <si>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</si>
  <si>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</si>
  <si>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</si>
  <si>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</si>
  <si>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</si>
  <si>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</si>
  <si>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</si>
  <si>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</si>
  <si>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</si>
  <si>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</si>
  <si>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</si>
  <si>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</si>
  <si>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</si>
  <si>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</si>
  <si>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</si>
  <si>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</si>
  <si>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</si>
  <si>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</si>
  <si>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</si>
  <si>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</si>
  <si>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</si>
  <si>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</si>
  <si>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</si>
  <si>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</si>
  <si>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</si>
  <si>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</si>
  <si>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</si>
  <si>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</si>
  <si>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</si>
  <si>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</si>
  <si>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</si>
  <si>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</si>
  <si>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</si>
  <si>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</si>
  <si>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</si>
  <si>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</si>
  <si>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</si>
  <si>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</si>
  <si>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</si>
  <si>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</si>
  <si>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</si>
  <si>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</si>
  <si>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</si>
  <si>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</si>
  <si>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</si>
  <si>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</si>
  <si>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</si>
  <si>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</si>
  <si>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</si>
  <si>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</si>
  <si>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</si>
  <si>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</si>
  <si>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</si>
  <si>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</si>
  <si>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</si>
  <si>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</si>
  <si>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</si>
  <si>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</si>
  <si>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</si>
  <si>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</si>
  <si>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</si>
  <si>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</si>
  <si>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</si>
  <si>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</si>
  <si>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</si>
  <si>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</si>
  <si>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</si>
  <si>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</si>
  <si>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</si>
  <si>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</si>
  <si>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</si>
  <si>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</si>
  <si>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</si>
  <si>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</si>
  <si>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</si>
  <si>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</si>
  <si>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</si>
  <si>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</si>
  <si>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</si>
  <si>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</si>
  <si>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</si>
  <si>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</si>
  <si>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</si>
  <si>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</si>
  <si>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</si>
  <si>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</si>
  <si>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</si>
  <si>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</si>
  <si>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</si>
  <si>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</si>
  <si>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</si>
  <si>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</si>
  <si>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</si>
  <si>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</si>
  <si>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</si>
  <si>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</si>
  <si>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</si>
  <si>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</si>
  <si>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</si>
  <si>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</si>
  <si>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</si>
  <si>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</si>
  <si>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</si>
  <si>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</si>
  <si>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</si>
  <si>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</si>
  <si>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</si>
  <si>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</si>
  <si>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</si>
  <si>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</si>
  <si>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</si>
  <si>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</si>
  <si>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</si>
  <si>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</si>
  <si>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</si>
  <si>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</si>
  <si>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</si>
  <si>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</si>
  <si>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</si>
  <si>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</si>
  <si>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</si>
  <si>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</si>
  <si>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</si>
  <si>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</si>
  <si>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</si>
  <si>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</si>
  <si>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</si>
  <si>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</si>
  <si>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</si>
  <si>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</si>
  <si>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</si>
  <si>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</si>
  <si>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</si>
  <si>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</si>
  <si>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</si>
  <si>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</si>
  <si>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</si>
  <si>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</si>
  <si>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</si>
  <si>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</si>
  <si>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</si>
  <si>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</si>
  <si>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</si>
  <si>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</si>
  <si>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</si>
  <si>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</si>
  <si>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</si>
  <si>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</si>
  <si>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</si>
  <si>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</si>
  <si>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</si>
  <si>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</si>
  <si>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</si>
  <si>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</si>
  <si>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</si>
  <si>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</si>
  <si>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</si>
  <si>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</si>
  <si>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</si>
  <si>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</si>
  <si>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</si>
  <si>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</si>
  <si>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</si>
  <si>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</si>
  <si>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</si>
  <si>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</si>
  <si>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</si>
  <si>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</si>
  <si>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</si>
  <si>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</si>
  <si>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</si>
  <si>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</si>
  <si>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</si>
  <si>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</si>
  <si>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</si>
  <si>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</si>
  <si>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</si>
  <si>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</si>
  <si>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</si>
  <si>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</si>
  <si>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</si>
  <si>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</si>
  <si>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</si>
  <si>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</si>
  <si>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</si>
  <si>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</si>
  <si>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</si>
  <si>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</si>
  <si>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</si>
  <si>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</si>
  <si>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</si>
  <si>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</si>
  <si>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</si>
  <si>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</si>
  <si>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</si>
  <si>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</si>
  <si>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</si>
  <si>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</si>
  <si>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</si>
  <si>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</si>
  <si>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</si>
  <si>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</si>
  <si>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</si>
  <si>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</si>
  <si>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</si>
  <si>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</si>
  <si>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</si>
  <si>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</si>
  <si>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</si>
  <si>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</si>
  <si>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</si>
  <si>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</si>
  <si>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</si>
  <si>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</si>
  <si>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</si>
  <si>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</si>
  <si>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</si>
  <si>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</si>
  <si>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</si>
  <si>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</si>
  <si>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</si>
  <si>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</si>
  <si>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</si>
  <si>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</si>
  <si>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</si>
  <si>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</si>
  <si>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</si>
  <si>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</si>
  <si>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</si>
  <si>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</si>
  <si>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</si>
  <si>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</si>
  <si>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</si>
  <si>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</si>
  <si>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</si>
  <si>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</si>
  <si>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</si>
  <si>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</si>
  <si>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</si>
  <si>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</si>
  <si>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</si>
  <si>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</si>
  <si>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</si>
  <si>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</si>
  <si>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</si>
  <si>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</si>
  <si>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</si>
  <si>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</si>
  <si>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</si>
  <si>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</si>
  <si>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</si>
  <si>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</si>
  <si>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</si>
  <si>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</si>
  <si>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</si>
  <si>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</si>
  <si>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</si>
  <si>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</si>
  <si>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</si>
  <si>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</si>
  <si>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</si>
  <si>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</si>
  <si>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</si>
  <si>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</si>
  <si>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</si>
  <si>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</si>
  <si>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</si>
  <si>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</si>
  <si>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</si>
  <si>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</si>
  <si>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</si>
  <si>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</si>
  <si>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</si>
  <si>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</si>
  <si>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</si>
  <si>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</si>
  <si>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</si>
  <si>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</si>
  <si>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</si>
  <si>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</si>
  <si>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</si>
  <si>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</si>
  <si>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</si>
  <si>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</si>
  <si>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</si>
  <si>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</si>
  <si>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</si>
  <si>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</si>
  <si>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</si>
  <si>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</si>
  <si>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</si>
  <si>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</si>
  <si>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</si>
  <si>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</si>
  <si>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</si>
  <si>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</si>
  <si>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</si>
  <si>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</si>
  <si>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</si>
  <si>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</si>
  <si>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</si>
  <si>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</si>
  <si>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</si>
  <si>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</si>
  <si>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</si>
  <si>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</si>
  <si>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</si>
  <si>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</si>
  <si>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</si>
  <si>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</si>
  <si>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</si>
  <si>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</si>
  <si>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</si>
  <si>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</si>
  <si>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</si>
  <si>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</si>
  <si>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</si>
  <si>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</si>
  <si>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</si>
  <si>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</si>
  <si>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</si>
  <si>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</si>
  <si>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</si>
  <si>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</si>
  <si>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</si>
  <si>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</si>
  <si>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</si>
  <si>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</si>
  <si>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</si>
  <si>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</si>
  <si>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</si>
  <si>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</si>
  <si>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</si>
  <si>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</si>
  <si>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</si>
  <si>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</si>
  <si>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</si>
  <si>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</si>
  <si>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</si>
  <si>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</si>
  <si>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</si>
  <si>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</si>
  <si>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</si>
  <si>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</si>
  <si>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</si>
  <si>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</si>
  <si>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</si>
  <si>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</si>
  <si>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</si>
  <si>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</si>
  <si>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</si>
  <si>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</si>
  <si>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</si>
  <si>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</si>
  <si>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</si>
  <si>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</si>
  <si>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</si>
  <si>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</si>
  <si>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</si>
  <si>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</si>
  <si>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</si>
  <si>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</si>
  <si>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</si>
  <si>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</si>
  <si>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</si>
  <si>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</si>
  <si>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</si>
  <si>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</si>
  <si>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</si>
  <si>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</si>
  <si>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</si>
  <si>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</si>
  <si>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</si>
  <si>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</si>
  <si>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</si>
  <si>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</si>
  <si>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</si>
  <si>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</si>
  <si>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</si>
  <si>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</si>
  <si>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</si>
  <si>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</si>
  <si>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</si>
  <si>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</si>
  <si>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</si>
  <si>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</si>
  <si>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</si>
  <si>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</si>
  <si>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</si>
  <si>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</si>
  <si>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</si>
  <si>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</si>
  <si>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</si>
  <si>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</si>
  <si>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</si>
  <si>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</si>
  <si>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</si>
  <si>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</si>
  <si>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</si>
  <si>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</si>
  <si>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</si>
  <si>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</si>
  <si>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</si>
  <si>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</si>
  <si>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</si>
  <si>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</si>
  <si>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</si>
  <si>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</si>
  <si>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</si>
  <si>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</si>
  <si>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</si>
  <si>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</si>
  <si>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</si>
  <si>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</si>
  <si>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</si>
  <si>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</si>
  <si>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</si>
  <si>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</si>
  <si>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</si>
  <si>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</si>
  <si>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</si>
  <si>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</si>
  <si>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</si>
  <si>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</si>
  <si>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</si>
  <si>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</si>
  <si>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</si>
  <si>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</si>
  <si>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</si>
  <si>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</si>
  <si>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</si>
  <si>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</si>
  <si>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</si>
  <si>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</si>
  <si>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</si>
  <si>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</si>
  <si>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</si>
  <si>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</si>
  <si>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</si>
  <si>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</si>
  <si>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</si>
  <si>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</si>
  <si>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</si>
  <si>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</si>
  <si>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</si>
  <si>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</si>
  <si>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</si>
  <si>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</si>
  <si>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</si>
  <si>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</si>
  <si>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</si>
  <si>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</si>
  <si>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</si>
  <si>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</si>
  <si>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</si>
  <si>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</si>
  <si>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</si>
  <si>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</si>
  <si>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</si>
  <si>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</si>
  <si>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</si>
  <si>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</si>
  <si>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</si>
  <si>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</si>
  <si>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</si>
  <si>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</si>
  <si>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</si>
  <si>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</si>
  <si>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</si>
  <si>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</si>
  <si>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</si>
  <si>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</si>
  <si>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</si>
  <si>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</si>
  <si>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</si>
  <si>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</si>
  <si>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</si>
  <si>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</si>
  <si>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</si>
  <si>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</si>
  <si>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</si>
  <si>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</si>
  <si>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</si>
  <si>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</si>
  <si>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</si>
  <si>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</si>
  <si>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</si>
  <si>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</si>
  <si>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</si>
  <si>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</si>
  <si>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</si>
  <si>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</si>
  <si>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</si>
  <si>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</si>
  <si>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</si>
  <si>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</si>
  <si>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</si>
  <si>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</si>
  <si>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</si>
  <si>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</si>
  <si>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</si>
  <si>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</si>
  <si>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</si>
  <si>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</si>
  <si>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</si>
  <si>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</si>
  <si>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</si>
  <si>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</si>
  <si>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</si>
  <si>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</si>
  <si>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</si>
  <si>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</si>
  <si>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</si>
  <si>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</si>
  <si>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</si>
  <si>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</si>
  <si>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</si>
  <si>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</si>
  <si>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</si>
  <si>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</si>
  <si>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</si>
  <si>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</si>
  <si>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</si>
  <si>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</si>
  <si>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</si>
  <si>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</si>
  <si>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</si>
  <si>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</si>
  <si>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</si>
  <si>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</si>
  <si>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</si>
  <si>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</si>
  <si>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</si>
  <si>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</si>
  <si>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</si>
  <si>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</si>
  <si>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</si>
  <si>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</si>
  <si>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</si>
  <si>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</si>
  <si>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</si>
  <si>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</si>
  <si>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</si>
  <si>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</si>
  <si>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</si>
  <si>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</si>
  <si>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</si>
  <si>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</si>
  <si>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</si>
  <si>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</si>
  <si>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</si>
  <si>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</si>
  <si>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</si>
  <si>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</si>
  <si>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</si>
  <si>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</si>
  <si>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</si>
  <si>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</si>
  <si>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</si>
  <si>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</si>
  <si>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</si>
  <si>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</si>
  <si>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</si>
  <si>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</si>
  <si>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</si>
  <si>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</si>
  <si>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</si>
  <si>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</si>
  <si>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</si>
  <si>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</si>
  <si>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</si>
  <si>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</si>
  <si>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</si>
  <si>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</si>
  <si>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</si>
  <si>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</si>
  <si>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</si>
  <si>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</si>
  <si>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</si>
  <si>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</si>
  <si>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</si>
  <si>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</si>
  <si>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</si>
  <si>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</si>
  <si>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</si>
  <si>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</si>
  <si>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</si>
  <si>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</si>
  <si>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</si>
  <si>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</si>
  <si>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</si>
  <si>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</si>
  <si>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</si>
  <si>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</si>
  <si>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</si>
  <si>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</si>
  <si>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</si>
  <si>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</si>
  <si>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</si>
  <si>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</si>
  <si>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</si>
  <si>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</si>
  <si>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</si>
  <si>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</si>
  <si>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</si>
  <si>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</si>
  <si>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</si>
  <si>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</si>
  <si>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</si>
  <si>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</si>
  <si>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</si>
  <si>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</si>
  <si>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</si>
  <si>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</si>
  <si>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</si>
  <si>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</si>
  <si>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</si>
  <si>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</si>
  <si>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</si>
  <si>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</si>
  <si>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</si>
  <si>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</si>
  <si>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</si>
  <si>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</si>
  <si>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</si>
  <si>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</si>
  <si>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</si>
  <si>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</si>
  <si>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</si>
  <si>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</si>
  <si>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</si>
  <si>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</si>
  <si>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</si>
  <si>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</si>
  <si>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</si>
  <si>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</si>
  <si>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</si>
  <si>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</si>
  <si>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</si>
  <si>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</si>
  <si>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</si>
  <si>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</si>
  <si>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</si>
  <si>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</si>
  <si>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</si>
  <si>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</si>
  <si>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</si>
  <si>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</si>
  <si>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</si>
  <si>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</si>
  <si>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</si>
  <si>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</si>
  <si>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</si>
  <si>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</si>
  <si>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</si>
  <si>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</si>
  <si>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</si>
  <si>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</si>
  <si>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</si>
  <si>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</si>
  <si>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</si>
  <si>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</si>
  <si>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</si>
  <si>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</si>
  <si>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</si>
  <si>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</si>
  <si>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</si>
  <si>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</si>
  <si>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</si>
  <si>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</si>
  <si>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</si>
  <si>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</si>
  <si>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</si>
  <si>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</si>
  <si>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</si>
  <si>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</si>
  <si>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</si>
  <si>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</si>
  <si>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</si>
  <si>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</si>
  <si>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</si>
  <si>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</si>
  <si>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</si>
  <si>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</si>
  <si>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</si>
  <si>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</si>
  <si>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</si>
  <si>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</si>
  <si>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</si>
  <si>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</si>
  <si>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</si>
  <si>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</si>
  <si>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</si>
  <si>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</si>
  <si>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</si>
  <si>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</si>
  <si>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</si>
  <si>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</si>
  <si>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</si>
  <si>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</si>
  <si>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</si>
  <si>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</si>
  <si>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</si>
  <si>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</si>
  <si>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</si>
  <si>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</si>
  <si>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</si>
  <si>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</si>
  <si>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</si>
  <si>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</si>
  <si>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</si>
  <si>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</si>
  <si>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</si>
  <si>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</si>
  <si>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</si>
  <si>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</si>
  <si>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</si>
  <si>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</si>
  <si>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</si>
  <si>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</si>
  <si>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</si>
  <si>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</si>
  <si>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</si>
  <si>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</si>
  <si>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</si>
  <si>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</si>
  <si>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</si>
  <si>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</si>
  <si>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</si>
  <si>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</si>
  <si>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</si>
  <si>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</si>
  <si>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</si>
  <si>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</si>
  <si>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</si>
  <si>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</si>
  <si>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</si>
  <si>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</si>
  <si>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</si>
  <si>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</si>
  <si>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</si>
  <si>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</si>
  <si>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</si>
  <si>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</si>
  <si>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</si>
  <si>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</si>
  <si>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</si>
  <si>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</si>
  <si>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</si>
  <si>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</si>
  <si>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</si>
  <si>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</si>
  <si>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</si>
  <si>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</si>
  <si>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</si>
  <si>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</si>
  <si>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</si>
  <si>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</si>
  <si>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</si>
  <si>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</si>
  <si>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</si>
  <si>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</si>
  <si>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</si>
  <si>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</si>
  <si>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</si>
  <si>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</si>
  <si>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</si>
  <si>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</si>
  <si>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</si>
  <si>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</si>
  <si>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</si>
  <si>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</si>
  <si>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</si>
  <si>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</si>
  <si>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</si>
  <si>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</si>
  <si>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</si>
  <si>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</si>
  <si>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</si>
  <si>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</si>
  <si>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</si>
  <si>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</si>
  <si>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</si>
  <si>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</si>
  <si>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</si>
  <si>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</si>
  <si>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</si>
  <si>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</si>
  <si>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</si>
  <si>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</si>
  <si>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</si>
  <si>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</si>
  <si>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</si>
  <si>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</si>
  <si>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</si>
  <si>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</si>
  <si>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</si>
  <si>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</si>
  <si>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</si>
  <si>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</si>
  <si>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</si>
  <si>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</si>
  <si>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</si>
  <si>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</si>
  <si>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</si>
  <si>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</si>
  <si>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</si>
  <si>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</si>
  <si>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</si>
  <si>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</si>
  <si>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</si>
  <si>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</si>
  <si>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</si>
  <si>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</si>
  <si>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</si>
  <si>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</si>
  <si>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</si>
  <si>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</si>
  <si>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</si>
  <si>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</si>
  <si>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</si>
  <si>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</si>
  <si>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</si>
  <si>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</si>
  <si>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</si>
  <si>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</si>
  <si>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</si>
  <si>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</si>
  <si>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</si>
  <si>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</si>
  <si>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</si>
  <si>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</si>
  <si>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</si>
  <si>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</si>
  <si>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</si>
  <si>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</si>
  <si>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</si>
  <si>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</si>
  <si>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</si>
  <si>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</si>
  <si>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</si>
  <si>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</si>
  <si>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</si>
  <si>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</si>
  <si>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</si>
  <si>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</si>
  <si>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</si>
  <si>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</si>
  <si>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</si>
  <si>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</si>
  <si>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</si>
  <si>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</si>
  <si>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</si>
  <si>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</si>
  <si>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</si>
  <si>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</si>
  <si>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</si>
  <si>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</si>
  <si>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</si>
  <si>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</si>
  <si>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</si>
  <si>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</si>
  <si>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</si>
  <si>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</si>
  <si>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</si>
  <si>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</si>
  <si>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</si>
  <si>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</si>
  <si>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</si>
  <si>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</si>
  <si>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</si>
  <si>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</si>
  <si>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</si>
  <si>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</si>
  <si>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</si>
  <si>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</si>
  <si>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</si>
  <si>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</si>
  <si>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</si>
  <si>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</si>
  <si>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</si>
  <si>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</si>
  <si>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</si>
  <si>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</si>
  <si>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</si>
  <si>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</si>
  <si>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</si>
  <si>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</si>
  <si>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</si>
  <si>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</si>
  <si>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</si>
  <si>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</si>
  <si>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</si>
  <si>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</si>
  <si>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</si>
  <si>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</si>
  <si>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</si>
  <si>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</si>
  <si>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</si>
  <si>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</si>
  <si>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</si>
  <si>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</si>
  <si>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</si>
  <si>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</si>
  <si>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</si>
  <si>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</si>
  <si>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</si>
  <si>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</si>
  <si>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</si>
  <si>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</si>
  <si>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</si>
  <si>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</si>
  <si>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</si>
  <si>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</si>
  <si>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</si>
  <si>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</si>
  <si>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</si>
  <si>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</si>
  <si>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</si>
  <si>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</si>
  <si>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</si>
  <si>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</si>
  <si>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</si>
  <si>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</si>
  <si>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</si>
  <si>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</si>
  <si>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</si>
  <si>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</si>
  <si>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</si>
  <si>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</si>
  <si>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</si>
  <si>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</si>
  <si>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</si>
  <si>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</si>
  <si>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</si>
  <si>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</si>
  <si>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</si>
  <si>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</si>
  <si>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</si>
  <si>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</si>
  <si>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</si>
  <si>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</si>
  <si>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</si>
  <si>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</si>
  <si>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</si>
  <si>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</si>
  <si>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</si>
  <si>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</si>
  <si>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</si>
  <si>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</si>
  <si>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</si>
  <si>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</si>
  <si>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</si>
  <si>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</si>
  <si>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</si>
  <si>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</si>
  <si>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</si>
  <si>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</si>
  <si>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</si>
  <si>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</si>
  <si>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</si>
  <si>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</si>
  <si>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</si>
  <si>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</si>
  <si>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</si>
  <si>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</si>
  <si>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</si>
  <si>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</si>
  <si>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</si>
  <si>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</si>
  <si>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</si>
  <si>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</si>
  <si>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</si>
  <si>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</si>
  <si>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</si>
  <si>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</si>
  <si>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</si>
  <si>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</si>
  <si>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</si>
  <si>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</si>
  <si>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</si>
  <si>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</si>
  <si>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</si>
  <si>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</si>
  <si>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</si>
  <si>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</si>
  <si>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</si>
  <si>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</si>
  <si>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</si>
  <si>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</si>
  <si>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</si>
  <si>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</si>
  <si>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</si>
  <si>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</si>
  <si>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</si>
  <si>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</si>
  <si>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</si>
  <si>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</si>
  <si>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</si>
  <si>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</si>
  <si>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</si>
  <si>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</si>
  <si>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</si>
  <si>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</si>
  <si>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</si>
  <si>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</si>
  <si>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</si>
  <si>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</si>
  <si>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</si>
  <si>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</si>
  <si>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</si>
  <si>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</si>
  <si>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</si>
  <si>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</si>
  <si>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</si>
  <si>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</si>
  <si>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</si>
  <si>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</si>
  <si>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</si>
  <si>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</si>
  <si>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</si>
  <si>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</si>
  <si>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</si>
  <si>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</si>
  <si>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</si>
  <si>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</si>
  <si>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</si>
  <si>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</si>
  <si>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</si>
  <si>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</si>
  <si>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</si>
  <si>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</si>
  <si>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</si>
  <si>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</si>
  <si>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</si>
  <si>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</si>
  <si>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</si>
  <si>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</si>
  <si>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</si>
  <si>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</si>
  <si>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</si>
  <si>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</si>
  <si>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</si>
  <si>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</si>
  <si>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</si>
  <si>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</si>
  <si>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</si>
  <si>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</si>
  <si>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</si>
  <si>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</si>
  <si>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</si>
  <si>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</si>
  <si>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</si>
  <si>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</si>
  <si>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</si>
  <si>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</si>
  <si>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</si>
  <si>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</si>
  <si>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</si>
  <si>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</si>
  <si>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</si>
  <si>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</si>
  <si>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</si>
  <si>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</si>
  <si>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</si>
  <si>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</si>
  <si>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</si>
  <si>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</si>
  <si>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</si>
  <si>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</si>
  <si>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</si>
  <si>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</si>
  <si>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</si>
  <si>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</si>
  <si>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</si>
  <si>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</si>
  <si>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</si>
  <si>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</si>
  <si>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</si>
  <si>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</si>
  <si>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</si>
  <si>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</si>
  <si>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</si>
  <si>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</si>
  <si>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</si>
  <si>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</si>
  <si>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</si>
  <si>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</si>
  <si>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</si>
  <si>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</si>
  <si>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</si>
  <si>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</si>
  <si>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</si>
  <si>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</si>
  <si>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</si>
  <si>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</si>
  <si>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</si>
  <si>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</si>
  <si>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</si>
  <si>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</si>
  <si>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</si>
  <si>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</si>
  <si>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</si>
  <si>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</si>
  <si>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</si>
  <si>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</si>
  <si>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</si>
  <si>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</si>
  <si>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</si>
  <si>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</si>
  <si>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</si>
  <si>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</si>
  <si>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</si>
  <si>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</si>
  <si>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</si>
  <si>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</si>
  <si>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</si>
  <si>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</si>
  <si>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</si>
  <si>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</si>
  <si>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</si>
  <si>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</si>
  <si>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</si>
  <si>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</si>
  <si>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</si>
  <si>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</si>
  <si>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</si>
  <si>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</si>
  <si>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</si>
  <si>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</si>
  <si>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</si>
  <si>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</si>
  <si>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</si>
  <si>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</si>
  <si>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</si>
  <si>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</si>
  <si>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</si>
  <si>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</si>
  <si>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</si>
  <si>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</si>
  <si>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</si>
  <si>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</si>
  <si>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</si>
  <si>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</si>
  <si>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</si>
  <si>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</si>
  <si>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</si>
  <si>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</si>
  <si>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</si>
  <si>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</si>
  <si>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</si>
  <si>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</si>
  <si>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</si>
  <si>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</si>
  <si>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</si>
  <si>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</si>
  <si>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</si>
  <si>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</si>
  <si>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</si>
  <si>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</si>
  <si>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</si>
  <si>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</si>
  <si>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</si>
  <si>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</si>
  <si>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</si>
  <si>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</si>
  <si>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</si>
  <si>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</si>
  <si>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</si>
  <si>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</si>
  <si>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</si>
  <si>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</si>
  <si>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</si>
  <si>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</si>
  <si>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</si>
  <si>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</si>
  <si>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</si>
  <si>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</si>
  <si>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</si>
  <si>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</si>
  <si>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</si>
  <si>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</si>
  <si>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</si>
  <si>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</si>
  <si>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</si>
  <si>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</si>
  <si>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</si>
  <si>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</si>
  <si>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</si>
  <si>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</si>
  <si>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</si>
  <si>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</si>
  <si>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</si>
  <si>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</si>
  <si>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</si>
  <si>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</si>
  <si>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</si>
  <si>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</si>
  <si>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</si>
  <si>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</si>
  <si>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</si>
  <si>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</si>
  <si>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</si>
  <si>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</si>
  <si>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</si>
  <si>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</si>
  <si>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</si>
  <si>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</si>
  <si>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</si>
  <si>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</si>
  <si>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</si>
  <si>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</si>
  <si>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</si>
  <si>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</si>
  <si>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</si>
  <si>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</si>
  <si>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</si>
  <si>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</si>
  <si>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</si>
  <si>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</si>
  <si>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</si>
  <si>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</si>
  <si>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</si>
  <si>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</si>
  <si>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</si>
  <si>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</si>
  <si>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</si>
  <si>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</si>
  <si>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</si>
  <si>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</si>
  <si>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</si>
  <si>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</si>
  <si>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</si>
  <si>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</si>
  <si>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</si>
  <si>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</si>
  <si>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</si>
  <si>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</si>
  <si>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</si>
  <si>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</si>
  <si>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</si>
  <si>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</si>
  <si>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</si>
  <si>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</si>
  <si>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</si>
  <si>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</si>
  <si>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</si>
  <si>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</si>
  <si>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</si>
  <si>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</si>
  <si>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</si>
  <si>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</si>
  <si>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</si>
  <si>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</si>
  <si>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</si>
  <si>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</si>
  <si>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</si>
  <si>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</si>
  <si>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</si>
  <si>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</si>
  <si>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</si>
  <si>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</si>
  <si>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</si>
  <si>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</si>
  <si>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</si>
  <si>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</si>
  <si>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</si>
  <si>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</si>
  <si>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</si>
  <si>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</si>
  <si>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</si>
  <si>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</si>
  <si>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</si>
  <si>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</si>
  <si>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</si>
  <si>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</si>
  <si>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</si>
  <si>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</si>
  <si>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</si>
  <si>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</si>
  <si>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</si>
  <si>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</si>
  <si>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</si>
  <si>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</si>
  <si>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</si>
  <si>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</si>
  <si>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</si>
  <si>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</si>
  <si>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</si>
  <si>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</si>
  <si>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</si>
  <si>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</si>
  <si>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</si>
  <si>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</si>
  <si>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</si>
  <si>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</si>
  <si>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</si>
  <si>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</si>
  <si>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</si>
  <si>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</si>
  <si>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</si>
  <si>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</si>
  <si>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</si>
  <si>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</si>
  <si>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</si>
  <si>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</si>
  <si>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</si>
  <si>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</si>
  <si>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</si>
  <si>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</si>
  <si>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</si>
  <si>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</si>
  <si>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</si>
  <si>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</si>
  <si>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</si>
  <si>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</si>
  <si>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</si>
  <si>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</si>
  <si>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</si>
  <si>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</si>
  <si>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</si>
  <si>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</si>
  <si>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</si>
  <si>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</si>
  <si>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</si>
  <si>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</si>
  <si>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</si>
  <si>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</si>
  <si>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</si>
  <si>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</si>
  <si>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</si>
  <si>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</si>
  <si>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</si>
  <si>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</si>
  <si>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</si>
  <si>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</si>
  <si>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</si>
  <si>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</si>
  <si>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</si>
  <si>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</si>
  <si>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</si>
  <si>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</si>
  <si>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</si>
  <si>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</si>
  <si>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</si>
  <si>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</si>
  <si>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</si>
  <si>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</si>
  <si>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</si>
  <si>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</si>
  <si>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</si>
  <si>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</si>
  <si>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</si>
  <si>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</si>
  <si>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</si>
  <si>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</si>
  <si>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</si>
  <si>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</si>
  <si>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</si>
  <si>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</si>
  <si>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</si>
  <si>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</si>
  <si>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</si>
  <si>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</si>
  <si>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</si>
  <si>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</si>
  <si>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</si>
  <si>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</si>
  <si>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</si>
  <si>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</si>
  <si>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</si>
  <si>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</si>
  <si>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</si>
  <si>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</si>
  <si>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</si>
  <si>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</si>
  <si>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</si>
  <si>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</si>
  <si>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</si>
  <si>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</si>
  <si>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</si>
  <si>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</si>
  <si>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</si>
  <si>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</si>
  <si>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</si>
  <si>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</si>
  <si>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</si>
  <si>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</si>
  <si>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</si>
  <si>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</si>
  <si>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</si>
  <si>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</si>
  <si>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</si>
  <si>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</si>
  <si>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</si>
  <si>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</si>
  <si>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</si>
  <si>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</si>
  <si>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</si>
  <si>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</si>
  <si>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</si>
  <si>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</si>
  <si>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</si>
  <si>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</si>
  <si>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</si>
  <si>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</si>
  <si>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</si>
  <si>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</si>
  <si>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</si>
  <si>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</si>
  <si>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</si>
  <si>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</si>
  <si>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</si>
  <si>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</si>
  <si>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</si>
  <si>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</si>
  <si>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</si>
  <si>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</si>
  <si>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</si>
  <si>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</si>
  <si>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</si>
  <si>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</si>
  <si>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</si>
  <si>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</si>
  <si>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</si>
  <si>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</si>
  <si>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</si>
  <si>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</si>
  <si>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</si>
  <si>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</si>
  <si>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</si>
  <si>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</si>
  <si>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</si>
  <si>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</si>
  <si>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</si>
  <si>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</si>
  <si>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</si>
  <si>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</si>
  <si>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</si>
  <si>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</si>
  <si>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</si>
  <si>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</si>
  <si>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</si>
  <si>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</si>
  <si>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</si>
  <si>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</si>
  <si>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</si>
  <si>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</si>
  <si>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</si>
  <si>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</si>
  <si>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</si>
  <si>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</si>
  <si>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</si>
  <si>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</si>
  <si>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</si>
  <si>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</si>
  <si>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</si>
  <si>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</si>
  <si>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</si>
  <si>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</si>
  <si>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</si>
  <si>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</si>
  <si>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</si>
  <si>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</si>
  <si>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</si>
  <si>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</si>
  <si>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</si>
  <si>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</si>
  <si>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</si>
  <si>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</si>
  <si>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</si>
  <si>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</si>
  <si>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</si>
  <si>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</si>
  <si>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</si>
  <si>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</si>
  <si>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</si>
  <si>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</si>
  <si>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</si>
  <si>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</si>
  <si>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</si>
  <si>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</si>
  <si>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</si>
  <si>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</si>
  <si>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</si>
  <si>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</si>
  <si>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</si>
  <si>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</si>
  <si>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</si>
  <si>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</si>
  <si>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</si>
  <si>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</si>
  <si>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</si>
  <si>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</si>
  <si>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</si>
  <si>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</si>
  <si>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</si>
  <si>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</si>
  <si>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</si>
  <si>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</si>
  <si>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</si>
  <si>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</si>
  <si>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</si>
  <si>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</si>
  <si>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</si>
  <si>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</si>
  <si>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</si>
  <si>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</si>
  <si>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</si>
  <si>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</si>
  <si>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</si>
  <si>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</si>
  <si>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</si>
  <si>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</si>
  <si>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</si>
  <si>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</si>
  <si>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</si>
  <si>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</si>
  <si>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</si>
  <si>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</si>
  <si>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</si>
  <si>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</si>
  <si>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</si>
  <si>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</si>
  <si>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</si>
  <si>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</si>
  <si>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</si>
  <si>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</si>
  <si>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</si>
  <si>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</si>
  <si>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</si>
  <si>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</si>
  <si>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</si>
  <si>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</si>
  <si>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</si>
  <si>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</si>
  <si>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</si>
  <si>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</si>
  <si>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</si>
  <si>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</si>
  <si>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</si>
  <si>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</si>
  <si>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</si>
  <si>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</si>
  <si>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</si>
  <si>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</si>
  <si>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</si>
  <si>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</si>
  <si>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</si>
  <si>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</si>
  <si>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</si>
  <si>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</si>
  <si>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</si>
  <si>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</si>
  <si>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</si>
  <si>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</si>
  <si>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</si>
  <si>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</si>
  <si>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</si>
  <si>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</si>
  <si>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</si>
  <si>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</si>
  <si>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</si>
  <si>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</si>
  <si>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</si>
  <si>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</si>
  <si>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</si>
  <si>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</si>
  <si>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</si>
  <si>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</si>
  <si>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</si>
  <si>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</si>
  <si>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</si>
  <si>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</si>
  <si>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</si>
  <si>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</si>
  <si>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</si>
  <si>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</si>
  <si>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</si>
  <si>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</si>
  <si>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</si>
  <si>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</si>
  <si>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</si>
  <si>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</si>
  <si>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</si>
  <si>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</si>
  <si>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</si>
  <si>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</si>
  <si>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</si>
  <si>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</si>
  <si>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</si>
  <si>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</si>
  <si>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</si>
  <si>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</si>
  <si>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</si>
  <si>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</si>
  <si>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</si>
  <si>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</si>
  <si>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</si>
  <si>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</si>
  <si>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</si>
  <si>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</si>
  <si>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</si>
  <si>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</si>
  <si>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</si>
  <si>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</si>
  <si>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</si>
  <si>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</si>
  <si>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</si>
  <si>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</si>
  <si>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</si>
  <si>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</si>
  <si>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</si>
  <si>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</si>
  <si>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</si>
  <si>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</si>
  <si>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</si>
  <si>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</si>
  <si>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</si>
  <si>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</si>
  <si>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</si>
  <si>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</si>
  <si>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</si>
  <si>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</si>
  <si>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</si>
  <si>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</si>
  <si>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</si>
  <si>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</si>
  <si>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</si>
  <si>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</si>
  <si>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</si>
  <si>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</si>
  <si>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</si>
  <si>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</si>
  <si>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</si>
  <si>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</si>
  <si>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</si>
  <si>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</si>
  <si>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</si>
  <si>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</si>
  <si>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</si>
  <si>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</si>
  <si>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</si>
  <si>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</si>
  <si>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</si>
  <si>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</si>
  <si>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</si>
  <si>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</si>
  <si>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</si>
  <si>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</si>
  <si>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</si>
  <si>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</si>
  <si>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</si>
  <si>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</si>
  <si>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</si>
  <si>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</si>
  <si>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</si>
  <si>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</si>
  <si>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</si>
  <si>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</si>
  <si>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</si>
  <si>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</si>
  <si>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</si>
  <si>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</si>
  <si>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</si>
  <si>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</si>
  <si>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</si>
  <si>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</si>
  <si>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</si>
  <si>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</si>
  <si>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</si>
  <si>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</si>
  <si>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</si>
  <si>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</si>
  <si>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</si>
  <si>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</si>
  <si>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</si>
  <si>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</si>
  <si>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</si>
  <si>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</si>
  <si>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</si>
  <si>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</si>
  <si>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</si>
  <si>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</si>
  <si>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</si>
  <si>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</si>
  <si>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</si>
  <si>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</si>
  <si>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</si>
  <si>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</si>
  <si>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</si>
  <si>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</si>
  <si>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</si>
  <si>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</si>
  <si>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</si>
  <si>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</si>
  <si>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</si>
  <si>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</si>
  <si>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</si>
  <si>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</si>
  <si>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</si>
  <si>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</si>
  <si>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</si>
  <si>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</si>
  <si>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</si>
  <si>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</si>
  <si>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</si>
  <si>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</si>
  <si>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</si>
  <si>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</si>
  <si>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</si>
  <si>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</si>
  <si>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</si>
  <si>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</si>
  <si>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</si>
  <si>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</si>
  <si>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</si>
  <si>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</si>
  <si>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</si>
  <si>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</si>
  <si>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</si>
  <si>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</si>
  <si>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</si>
  <si>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</si>
  <si>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</si>
  <si>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</si>
  <si>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</si>
  <si>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</si>
  <si>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</si>
  <si>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</si>
  <si>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</si>
  <si>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</si>
  <si>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</si>
  <si>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地上</t>
  </si>
  <si>
    <t>是</t>
  </si>
  <si>
    <r>
      <rPr>
        <sz val="10"/>
        <color theme="9" tint="-0.249977111117893"/>
        <rFont val="宋体"/>
        <family val="3"/>
        <charset val="134"/>
      </rPr>
      <t>朝阳区百子湾西里</t>
    </r>
    <r>
      <rPr>
        <sz val="10"/>
        <color theme="9" tint="-0.249977111117893"/>
        <rFont val="Arial"/>
        <family val="2"/>
      </rPr>
      <t>403</t>
    </r>
    <r>
      <rPr>
        <sz val="10"/>
        <color theme="9" tint="-0.249977111117893"/>
        <rFont val="宋体"/>
        <family val="3"/>
        <charset val="134"/>
      </rPr>
      <t>号楼</t>
    </r>
    <r>
      <rPr>
        <sz val="10"/>
        <color theme="9" tint="-0.249977111117893"/>
        <rFont val="Arial"/>
        <family val="2"/>
      </rPr>
      <t>16</t>
    </r>
    <r>
      <rPr>
        <sz val="10"/>
        <color theme="9" tint="-0.249977111117893"/>
        <rFont val="宋体"/>
        <family val="3"/>
        <charset val="134"/>
      </rPr>
      <t>层</t>
    </r>
    <r>
      <rPr>
        <sz val="10"/>
        <color theme="9" tint="-0.249977111117893"/>
        <rFont val="Arial"/>
        <family val="2"/>
      </rPr>
      <t>1605</t>
    </r>
    <r>
      <rPr>
        <sz val="10"/>
        <color theme="9" tint="-0.249977111117893"/>
        <rFont val="宋体"/>
        <family val="3"/>
        <charset val="134"/>
      </rPr>
      <t>、</t>
    </r>
    <r>
      <rPr>
        <sz val="10"/>
        <color theme="9" tint="-0.249977111117893"/>
        <rFont val="Arial"/>
        <family val="2"/>
      </rPr>
      <t>1606</t>
    </r>
    <r>
      <rPr>
        <sz val="10"/>
        <color theme="9" tint="-0.249977111117893"/>
        <rFont val="宋体"/>
        <family val="3"/>
        <charset val="134"/>
      </rPr>
      <t>、</t>
    </r>
    <r>
      <rPr>
        <sz val="10"/>
        <color theme="9" tint="-0.249977111117893"/>
        <rFont val="Arial"/>
        <family val="2"/>
      </rPr>
      <t>1612</t>
    </r>
    <phoneticPr fontId="6" type="noConversion"/>
  </si>
  <si>
    <t>否</t>
  </si>
  <si>
    <t>北京市</t>
  </si>
  <si>
    <t>自然人</t>
  </si>
  <si>
    <t>吉伟生、郭彦娟</t>
    <phoneticPr fontId="6" type="noConversion"/>
  </si>
  <si>
    <t>抵押</t>
  </si>
  <si>
    <t>房地产抵押价值</t>
  </si>
  <si>
    <t>综合项目（商业、办公）</t>
  </si>
  <si>
    <t>现房</t>
  </si>
  <si>
    <t>成新度</t>
  </si>
  <si>
    <t>链家中介</t>
    <phoneticPr fontId="134" type="noConversion"/>
  </si>
  <si>
    <r>
      <t>3</t>
    </r>
    <r>
      <rPr>
        <sz val="11"/>
        <color theme="1"/>
        <rFont val="宋体"/>
        <family val="3"/>
        <charset val="134"/>
        <scheme val="minor"/>
      </rPr>
      <t>-4块</t>
    </r>
    <phoneticPr fontId="134" type="noConversion"/>
  </si>
  <si>
    <r>
      <t>3</t>
    </r>
    <r>
      <rPr>
        <sz val="11"/>
        <color theme="1"/>
        <rFont val="宋体"/>
        <family val="3"/>
        <charset val="134"/>
        <scheme val="minor"/>
      </rPr>
      <t>.5左右</t>
    </r>
    <phoneticPr fontId="134" type="noConversion"/>
  </si>
  <si>
    <t>房天下中介</t>
    <phoneticPr fontId="134" type="noConversion"/>
  </si>
  <si>
    <t>售价</t>
  </si>
  <si>
    <t>售价</t>
    <phoneticPr fontId="134" type="noConversion"/>
  </si>
  <si>
    <t>B座室内有卫生间，朝东有遮挡，不好卖</t>
    <phoneticPr fontId="134" type="noConversion"/>
  </si>
  <si>
    <t>广渠街道</t>
    <phoneticPr fontId="3" type="noConversion"/>
  </si>
  <si>
    <t>建成年代</t>
    <phoneticPr fontId="3" type="noConversion"/>
  </si>
  <si>
    <t>倒推土地</t>
    <phoneticPr fontId="3" type="noConversion"/>
  </si>
  <si>
    <t>网上查询</t>
    <phoneticPr fontId="3" type="noConversion"/>
  </si>
  <si>
    <t>直线</t>
    <phoneticPr fontId="3" type="noConversion"/>
  </si>
  <si>
    <t>观察</t>
    <phoneticPr fontId="3" type="noConversion"/>
  </si>
  <si>
    <t>综合</t>
  </si>
  <si>
    <t>综合</t>
    <phoneticPr fontId="3" type="noConversion"/>
  </si>
  <si>
    <t>收益法 (元)</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</si>
  <si>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</si>
  <si>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</si>
  <si>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</si>
  <si>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</si>
  <si>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</si>
  <si>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</si>
  <si>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</si>
  <si>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</si>
  <si>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</si>
  <si>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</si>
  <si>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</si>
  <si>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楼面单价</t>
  </si>
  <si>
    <t>自定义</t>
  </si>
  <si>
    <t>商务金融用地</t>
  </si>
  <si>
    <t>自定义容积率</t>
  </si>
  <si>
    <t>网上查询</t>
    <phoneticPr fontId="7" type="noConversion"/>
  </si>
  <si>
    <t>与级别开发程度一致</t>
  </si>
  <si>
    <t>较好</t>
  </si>
  <si>
    <t>好</t>
  </si>
  <si>
    <t>未包含在土地购买价格中</t>
  </si>
  <si>
    <t>已包含在土地取得成本中</t>
  </si>
  <si>
    <t>押一</t>
  </si>
  <si>
    <t>钢混</t>
  </si>
  <si>
    <t>非生产用房</t>
  </si>
  <si>
    <t>单套模式</t>
  </si>
  <si>
    <t>正常</t>
  </si>
  <si>
    <t>挂牌价</t>
  </si>
  <si>
    <t>挂牌价</t>
    <phoneticPr fontId="31" type="noConversion"/>
  </si>
  <si>
    <t>综合</t>
    <phoneticPr fontId="31" type="noConversion"/>
  </si>
  <si>
    <r>
      <t>20-30</t>
    </r>
    <r>
      <rPr>
        <sz val="11"/>
        <color indexed="8"/>
        <rFont val="宋体"/>
        <family val="3"/>
        <charset val="134"/>
      </rPr>
      <t>（含）</t>
    </r>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</si>
  <si>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</si>
  <si>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</si>
  <si>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</si>
  <si>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</si>
  <si>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</si>
  <si>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</si>
  <si>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</si>
  <si>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比较法-办公</t>
  </si>
  <si>
    <t>楼层</t>
    <phoneticPr fontId="3" type="noConversion"/>
  </si>
  <si>
    <t>高楼层</t>
    <phoneticPr fontId="24" type="noConversion"/>
  </si>
  <si>
    <t>中楼层</t>
    <phoneticPr fontId="24" type="noConversion"/>
  </si>
  <si>
    <t>低楼层</t>
    <phoneticPr fontId="24" type="noConversion"/>
  </si>
  <si>
    <t>无在售案例</t>
    <phoneticPr fontId="134" type="noConversion"/>
  </si>
  <si>
    <r>
      <t>1</t>
    </r>
    <r>
      <rPr>
        <sz val="11"/>
        <color theme="1"/>
        <rFont val="宋体"/>
        <family val="3"/>
        <charset val="134"/>
        <scheme val="minor"/>
      </rPr>
      <t>05、106总面积</t>
    </r>
    <phoneticPr fontId="134" type="noConversion"/>
  </si>
  <si>
    <t>年租金</t>
    <phoneticPr fontId="134" type="noConversion"/>
  </si>
  <si>
    <t>日租金</t>
    <phoneticPr fontId="134" type="noConversion"/>
  </si>
  <si>
    <t>成本法</t>
    <phoneticPr fontId="8" type="noConversion"/>
  </si>
  <si>
    <t>收益法</t>
    <phoneticPr fontId="8"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</si>
  <si>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</si>
  <si>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</si>
  <si>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</si>
  <si>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</si>
  <si>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</si>
  <si>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</si>
  <si>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标准写字楼</t>
  </si>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</sst>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i/>
      <sz val="9"/>
      <color theme="1"/>
      <name val="Arial"/>
      <family val="2"/>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77" fillId="0" borderId="0" xfId="0" applyFont="1">
      <alignment vertical="center"/>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3"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830580</xdr:colOff>
      <xdr:row>20</xdr:row>
      <xdr:rowOff>83392</xdr:rowOff>
    </xdr:from>
    <xdr:to>
      <xdr:col>20</xdr:col>
      <xdr:colOff>306366</xdr:colOff>
      <xdr:row>21</xdr:row>
      <xdr:rowOff>161881</xdr:rowOff>
    </xdr:to>
    <xdr:pic>
      <xdr:nvPicPr>
        <xdr:cNvPr id="2" name="图片 1">
          <a:extLst>
            <a:ext uri="{FF2B5EF4-FFF2-40B4-BE49-F238E27FC236}">
              <a16:creationId xmlns:a16="http://schemas.microsoft.com/office/drawing/2014/main" id="{A8082E99-2CF3-26AF-70AC-ECBFF9910321}"/>
            </a:ext>
          </a:extLst>
        </xdr:cNvPr>
        <xdr:cNvPicPr>
          <a:picLocks noChangeAspect="1"/>
        </xdr:cNvPicPr>
      </xdr:nvPicPr>
      <xdr:blipFill>
        <a:blip xmlns:r="http://schemas.openxmlformats.org/officeDocument/2006/relationships" r:embed="rId1"/>
        <a:stretch>
          <a:fillRect/>
        </a:stretch>
      </xdr:blipFill>
      <xdr:spPr>
        <a:xfrm>
          <a:off x="13837920" y="4480132"/>
          <a:ext cx="2013246" cy="261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549739</xdr:colOff>
      <xdr:row>23</xdr:row>
      <xdr:rowOff>31855</xdr:rowOff>
    </xdr:to>
    <xdr:pic>
      <xdr:nvPicPr>
        <xdr:cNvPr id="2" name="图片 1">
          <a:extLst>
            <a:ext uri="{FF2B5EF4-FFF2-40B4-BE49-F238E27FC236}">
              <a16:creationId xmlns:a16="http://schemas.microsoft.com/office/drawing/2014/main" id="{3AF602DC-608C-019D-5754-EB8F26FCC3D8}"/>
            </a:ext>
          </a:extLst>
        </xdr:cNvPr>
        <xdr:cNvPicPr>
          <a:picLocks noChangeAspect="1"/>
        </xdr:cNvPicPr>
      </xdr:nvPicPr>
      <xdr:blipFill>
        <a:blip xmlns:r="http://schemas.openxmlformats.org/officeDocument/2006/relationships" r:embed="rId1"/>
        <a:stretch>
          <a:fillRect/>
        </a:stretch>
      </xdr:blipFill>
      <xdr:spPr>
        <a:xfrm>
          <a:off x="0" y="0"/>
          <a:ext cx="6447619" cy="4238095"/>
        </a:xfrm>
        <a:prstGeom prst="rect">
          <a:avLst/>
        </a:prstGeom>
      </xdr:spPr>
    </xdr:pic>
    <xdr:clientData/>
  </xdr:twoCellAnchor>
  <xdr:twoCellAnchor editAs="oneCell">
    <xdr:from>
      <xdr:col>10</xdr:col>
      <xdr:colOff>533400</xdr:colOff>
      <xdr:row>0</xdr:row>
      <xdr:rowOff>91440</xdr:rowOff>
    </xdr:from>
    <xdr:to>
      <xdr:col>20</xdr:col>
      <xdr:colOff>589781</xdr:colOff>
      <xdr:row>31</xdr:row>
      <xdr:rowOff>126922</xdr:rowOff>
    </xdr:to>
    <xdr:pic>
      <xdr:nvPicPr>
        <xdr:cNvPr id="3" name="图片 2">
          <a:extLst>
            <a:ext uri="{FF2B5EF4-FFF2-40B4-BE49-F238E27FC236}">
              <a16:creationId xmlns:a16="http://schemas.microsoft.com/office/drawing/2014/main" id="{78CA304D-F5A3-4AF9-A384-4FAB5B4BF030}"/>
            </a:ext>
          </a:extLst>
        </xdr:cNvPr>
        <xdr:cNvPicPr>
          <a:picLocks noChangeAspect="1"/>
        </xdr:cNvPicPr>
      </xdr:nvPicPr>
      <xdr:blipFill>
        <a:blip xmlns:r="http://schemas.openxmlformats.org/officeDocument/2006/relationships" r:embed="rId2"/>
        <a:stretch>
          <a:fillRect/>
        </a:stretch>
      </xdr:blipFill>
      <xdr:spPr>
        <a:xfrm>
          <a:off x="6629400" y="91440"/>
          <a:ext cx="6152381" cy="5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208686</xdr:colOff>
      <xdr:row>46</xdr:row>
      <xdr:rowOff>75276</xdr:rowOff>
    </xdr:to>
    <xdr:pic>
      <xdr:nvPicPr>
        <xdr:cNvPr id="2" name="图片 1">
          <a:extLst>
            <a:ext uri="{FF2B5EF4-FFF2-40B4-BE49-F238E27FC236}">
              <a16:creationId xmlns:a16="http://schemas.microsoft.com/office/drawing/2014/main" id="{E2F48379-1DAD-151C-5D9B-442EB2D05C2C}"/>
            </a:ext>
          </a:extLst>
        </xdr:cNvPr>
        <xdr:cNvPicPr>
          <a:picLocks noChangeAspect="1"/>
        </xdr:cNvPicPr>
      </xdr:nvPicPr>
      <xdr:blipFill>
        <a:blip xmlns:r="http://schemas.openxmlformats.org/officeDocument/2006/relationships" r:embed="rId1"/>
        <a:stretch>
          <a:fillRect/>
        </a:stretch>
      </xdr:blipFill>
      <xdr:spPr>
        <a:xfrm>
          <a:off x="0" y="0"/>
          <a:ext cx="6914286" cy="7390476"/>
        </a:xfrm>
        <a:prstGeom prst="rect">
          <a:avLst/>
        </a:prstGeom>
      </xdr:spPr>
    </xdr:pic>
    <xdr:clientData/>
  </xdr:twoCellAnchor>
  <xdr:twoCellAnchor editAs="oneCell">
    <xdr:from>
      <xdr:col>0</xdr:col>
      <xdr:colOff>0</xdr:colOff>
      <xdr:row>46</xdr:row>
      <xdr:rowOff>91440</xdr:rowOff>
    </xdr:from>
    <xdr:to>
      <xdr:col>11</xdr:col>
      <xdr:colOff>218209</xdr:colOff>
      <xdr:row>88</xdr:row>
      <xdr:rowOff>77147</xdr:rowOff>
    </xdr:to>
    <xdr:pic>
      <xdr:nvPicPr>
        <xdr:cNvPr id="3" name="图片 2">
          <a:extLst>
            <a:ext uri="{FF2B5EF4-FFF2-40B4-BE49-F238E27FC236}">
              <a16:creationId xmlns:a16="http://schemas.microsoft.com/office/drawing/2014/main" id="{BAC34435-D0E9-B0C3-B679-AD0F9420B763}"/>
            </a:ext>
          </a:extLst>
        </xdr:cNvPr>
        <xdr:cNvPicPr>
          <a:picLocks noChangeAspect="1"/>
        </xdr:cNvPicPr>
      </xdr:nvPicPr>
      <xdr:blipFill>
        <a:blip xmlns:r="http://schemas.openxmlformats.org/officeDocument/2006/relationships" r:embed="rId2"/>
        <a:stretch>
          <a:fillRect/>
        </a:stretch>
      </xdr:blipFill>
      <xdr:spPr>
        <a:xfrm>
          <a:off x="0" y="7406640"/>
          <a:ext cx="6923809" cy="7666667"/>
        </a:xfrm>
        <a:prstGeom prst="rect">
          <a:avLst/>
        </a:prstGeom>
      </xdr:spPr>
    </xdr:pic>
    <xdr:clientData/>
  </xdr:twoCellAnchor>
  <xdr:twoCellAnchor editAs="oneCell">
    <xdr:from>
      <xdr:col>0</xdr:col>
      <xdr:colOff>0</xdr:colOff>
      <xdr:row>88</xdr:row>
      <xdr:rowOff>0</xdr:rowOff>
    </xdr:from>
    <xdr:to>
      <xdr:col>11</xdr:col>
      <xdr:colOff>113448</xdr:colOff>
      <xdr:row>117</xdr:row>
      <xdr:rowOff>96480</xdr:rowOff>
    </xdr:to>
    <xdr:pic>
      <xdr:nvPicPr>
        <xdr:cNvPr id="4" name="图片 3">
          <a:extLst>
            <a:ext uri="{FF2B5EF4-FFF2-40B4-BE49-F238E27FC236}">
              <a16:creationId xmlns:a16="http://schemas.microsoft.com/office/drawing/2014/main" id="{0F00CB55-43B8-62C7-E21F-0ABFBBBC8500}"/>
            </a:ext>
          </a:extLst>
        </xdr:cNvPr>
        <xdr:cNvPicPr>
          <a:picLocks noChangeAspect="1"/>
        </xdr:cNvPicPr>
      </xdr:nvPicPr>
      <xdr:blipFill>
        <a:blip xmlns:r="http://schemas.openxmlformats.org/officeDocument/2006/relationships" r:embed="rId3"/>
        <a:stretch>
          <a:fillRect/>
        </a:stretch>
      </xdr:blipFill>
      <xdr:spPr>
        <a:xfrm>
          <a:off x="0" y="14996160"/>
          <a:ext cx="6819048" cy="5400000"/>
        </a:xfrm>
        <a:prstGeom prst="rect">
          <a:avLst/>
        </a:prstGeom>
      </xdr:spPr>
    </xdr:pic>
    <xdr:clientData/>
  </xdr:twoCellAnchor>
  <xdr:twoCellAnchor editAs="oneCell">
    <xdr:from>
      <xdr:col>13</xdr:col>
      <xdr:colOff>0</xdr:colOff>
      <xdr:row>6</xdr:row>
      <xdr:rowOff>0</xdr:rowOff>
    </xdr:from>
    <xdr:to>
      <xdr:col>22</xdr:col>
      <xdr:colOff>599314</xdr:colOff>
      <xdr:row>44</xdr:row>
      <xdr:rowOff>136274</xdr:rowOff>
    </xdr:to>
    <xdr:pic>
      <xdr:nvPicPr>
        <xdr:cNvPr id="6" name="图片 5">
          <a:extLst>
            <a:ext uri="{FF2B5EF4-FFF2-40B4-BE49-F238E27FC236}">
              <a16:creationId xmlns:a16="http://schemas.microsoft.com/office/drawing/2014/main" id="{2871C775-2936-B63F-7034-44D41597D205}"/>
            </a:ext>
          </a:extLst>
        </xdr:cNvPr>
        <xdr:cNvPicPr>
          <a:picLocks noChangeAspect="1"/>
        </xdr:cNvPicPr>
      </xdr:nvPicPr>
      <xdr:blipFill>
        <a:blip xmlns:r="http://schemas.openxmlformats.org/officeDocument/2006/relationships" r:embed="rId4"/>
        <a:stretch>
          <a:fillRect/>
        </a:stretch>
      </xdr:blipFill>
      <xdr:spPr>
        <a:xfrm>
          <a:off x="7924800" y="0"/>
          <a:ext cx="6085714" cy="7085714"/>
        </a:xfrm>
        <a:prstGeom prst="rect">
          <a:avLst/>
        </a:prstGeom>
      </xdr:spPr>
    </xdr:pic>
    <xdr:clientData/>
  </xdr:twoCellAnchor>
  <xdr:twoCellAnchor editAs="oneCell">
    <xdr:from>
      <xdr:col>13</xdr:col>
      <xdr:colOff>0</xdr:colOff>
      <xdr:row>45</xdr:row>
      <xdr:rowOff>0</xdr:rowOff>
    </xdr:from>
    <xdr:to>
      <xdr:col>22</xdr:col>
      <xdr:colOff>561219</xdr:colOff>
      <xdr:row>84</xdr:row>
      <xdr:rowOff>162918</xdr:rowOff>
    </xdr:to>
    <xdr:pic>
      <xdr:nvPicPr>
        <xdr:cNvPr id="7" name="图片 6">
          <a:extLst>
            <a:ext uri="{FF2B5EF4-FFF2-40B4-BE49-F238E27FC236}">
              <a16:creationId xmlns:a16="http://schemas.microsoft.com/office/drawing/2014/main" id="{45467A9A-00E0-0F14-75F6-AF4BED010537}"/>
            </a:ext>
          </a:extLst>
        </xdr:cNvPr>
        <xdr:cNvPicPr>
          <a:picLocks noChangeAspect="1"/>
        </xdr:cNvPicPr>
      </xdr:nvPicPr>
      <xdr:blipFill>
        <a:blip xmlns:r="http://schemas.openxmlformats.org/officeDocument/2006/relationships" r:embed="rId5"/>
        <a:stretch>
          <a:fillRect/>
        </a:stretch>
      </xdr:blipFill>
      <xdr:spPr>
        <a:xfrm>
          <a:off x="7924800" y="7132320"/>
          <a:ext cx="6047619" cy="7295238"/>
        </a:xfrm>
        <a:prstGeom prst="rect">
          <a:avLst/>
        </a:prstGeom>
      </xdr:spPr>
    </xdr:pic>
    <xdr:clientData/>
  </xdr:twoCellAnchor>
  <xdr:twoCellAnchor editAs="oneCell">
    <xdr:from>
      <xdr:col>13</xdr:col>
      <xdr:colOff>0</xdr:colOff>
      <xdr:row>85</xdr:row>
      <xdr:rowOff>0</xdr:rowOff>
    </xdr:from>
    <xdr:to>
      <xdr:col>23</xdr:col>
      <xdr:colOff>523048</xdr:colOff>
      <xdr:row>124</xdr:row>
      <xdr:rowOff>105775</xdr:rowOff>
    </xdr:to>
    <xdr:pic>
      <xdr:nvPicPr>
        <xdr:cNvPr id="8" name="图片 7">
          <a:extLst>
            <a:ext uri="{FF2B5EF4-FFF2-40B4-BE49-F238E27FC236}">
              <a16:creationId xmlns:a16="http://schemas.microsoft.com/office/drawing/2014/main" id="{FED2A70D-37CD-3829-1E83-F88A72029DCD}"/>
            </a:ext>
          </a:extLst>
        </xdr:cNvPr>
        <xdr:cNvPicPr>
          <a:picLocks noChangeAspect="1"/>
        </xdr:cNvPicPr>
      </xdr:nvPicPr>
      <xdr:blipFill>
        <a:blip xmlns:r="http://schemas.openxmlformats.org/officeDocument/2006/relationships" r:embed="rId6"/>
        <a:stretch>
          <a:fillRect/>
        </a:stretch>
      </xdr:blipFill>
      <xdr:spPr>
        <a:xfrm>
          <a:off x="7924800" y="14447520"/>
          <a:ext cx="6619048" cy="7238095"/>
        </a:xfrm>
        <a:prstGeom prst="rect">
          <a:avLst/>
        </a:prstGeom>
      </xdr:spPr>
    </xdr:pic>
    <xdr:clientData/>
  </xdr:twoCellAnchor>
  <xdr:twoCellAnchor editAs="oneCell">
    <xdr:from>
      <xdr:col>13</xdr:col>
      <xdr:colOff>0</xdr:colOff>
      <xdr:row>125</xdr:row>
      <xdr:rowOff>0</xdr:rowOff>
    </xdr:from>
    <xdr:to>
      <xdr:col>22</xdr:col>
      <xdr:colOff>513600</xdr:colOff>
      <xdr:row>165</xdr:row>
      <xdr:rowOff>56228</xdr:rowOff>
    </xdr:to>
    <xdr:pic>
      <xdr:nvPicPr>
        <xdr:cNvPr id="9" name="图片 8">
          <a:extLst>
            <a:ext uri="{FF2B5EF4-FFF2-40B4-BE49-F238E27FC236}">
              <a16:creationId xmlns:a16="http://schemas.microsoft.com/office/drawing/2014/main" id="{401376EC-6863-2C9B-F0E2-E4C91A63BD09}"/>
            </a:ext>
          </a:extLst>
        </xdr:cNvPr>
        <xdr:cNvPicPr>
          <a:picLocks noChangeAspect="1"/>
        </xdr:cNvPicPr>
      </xdr:nvPicPr>
      <xdr:blipFill>
        <a:blip xmlns:r="http://schemas.openxmlformats.org/officeDocument/2006/relationships" r:embed="rId7"/>
        <a:stretch>
          <a:fillRect/>
        </a:stretch>
      </xdr:blipFill>
      <xdr:spPr>
        <a:xfrm>
          <a:off x="7924800" y="21762720"/>
          <a:ext cx="6000000" cy="7371428"/>
        </a:xfrm>
        <a:prstGeom prst="rect">
          <a:avLst/>
        </a:prstGeom>
      </xdr:spPr>
    </xdr:pic>
    <xdr:clientData/>
  </xdr:twoCellAnchor>
  <xdr:twoCellAnchor editAs="oneCell">
    <xdr:from>
      <xdr:col>0</xdr:col>
      <xdr:colOff>0</xdr:colOff>
      <xdr:row>118</xdr:row>
      <xdr:rowOff>0</xdr:rowOff>
    </xdr:from>
    <xdr:to>
      <xdr:col>10</xdr:col>
      <xdr:colOff>475429</xdr:colOff>
      <xdr:row>158</xdr:row>
      <xdr:rowOff>27657</xdr:rowOff>
    </xdr:to>
    <xdr:pic>
      <xdr:nvPicPr>
        <xdr:cNvPr id="10" name="图片 9">
          <a:extLst>
            <a:ext uri="{FF2B5EF4-FFF2-40B4-BE49-F238E27FC236}">
              <a16:creationId xmlns:a16="http://schemas.microsoft.com/office/drawing/2014/main" id="{CB217C4F-D86B-9825-8C50-229FB7FCEFF0}"/>
            </a:ext>
          </a:extLst>
        </xdr:cNvPr>
        <xdr:cNvPicPr>
          <a:picLocks noChangeAspect="1"/>
        </xdr:cNvPicPr>
      </xdr:nvPicPr>
      <xdr:blipFill>
        <a:blip xmlns:r="http://schemas.openxmlformats.org/officeDocument/2006/relationships" r:embed="rId8"/>
        <a:stretch>
          <a:fillRect/>
        </a:stretch>
      </xdr:blipFill>
      <xdr:spPr>
        <a:xfrm>
          <a:off x="0" y="20482560"/>
          <a:ext cx="6571429" cy="7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北京市朝阳区百子湾西里403号楼16层1605、1606、1612房地产抵押价值预评估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受贵公司委托，我公司对北京市朝阳区百子湾西里403号楼16层1605、1606、1612房地产抵押价值进行了预评估。</v>
      </c>
    </row>
    <row r="7" spans="1:2">
      <c r="A7" s="1119" t="s">
        <v>566</v>
      </c>
      <c r="B7" s="1120" t="str">
        <f>'预评函-1'!A7</f>
        <v>估价对象为北京市朝阳区百子湾西里403号楼16层1605、1606、1612房地产，为吉伟生、郭彦娟所有。根据《国有土地使用证》[]，估价对象（分摊）出让国有建设用地使用权面积为0平方米，建筑面积为105.08平方米。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百子湾西里403号楼16层1605、1606、1612房地产,属吉伟生、郭彦娟开发建设的综合项目（商业、办公），该项目尚在开发建设中。根据《国有土地使用证》[]，估价对象（分摊）出让国有建设用地使用权面积为0平方米，规划建筑面积为105.08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2025年2月26日</v>
      </c>
    </row>
    <row r="13" spans="1:2">
      <c r="A13" s="1119" t="s">
        <v>529</v>
      </c>
      <c r="B13" s="1120" t="str">
        <f>'预评函-1'!A18</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196</v>
      </c>
    </row>
    <row r="21" spans="1:2">
      <c r="A21" s="1119" t="s">
        <v>537</v>
      </c>
      <c r="B21" s="1120">
        <f ca="1">'预评函-2'!D7</f>
        <v>18609</v>
      </c>
    </row>
    <row r="22" spans="1:2">
      <c r="A22" s="1119" t="s">
        <v>538</v>
      </c>
      <c r="B22" s="1120" t="str">
        <f ca="1">'预评函-2'!D6</f>
        <v>壹佰玖拾陆万元整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196</v>
      </c>
    </row>
    <row r="31" spans="1:2">
      <c r="A31" s="1119" t="s">
        <v>576</v>
      </c>
      <c r="B31" s="1120">
        <f ca="1">'预评函-2'!D15</f>
        <v>18609</v>
      </c>
    </row>
    <row r="32" spans="1:2">
      <c r="A32" s="1119" t="s">
        <v>543</v>
      </c>
      <c r="B32" s="1120" t="str">
        <f ca="1">'预评函-2'!D14</f>
        <v>壹佰玖拾陆万元整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北京市朝阳区百子湾西里403号楼16层1605、1606、1612房地产</v>
      </c>
    </row>
    <row r="42" spans="1:2" ht="31.2">
      <c r="A42" s="1119" t="s">
        <v>590</v>
      </c>
      <c r="B42" s="1120" t="str">
        <f>'预评函-3'!B2</f>
        <v>建筑面积</v>
      </c>
    </row>
    <row r="43" spans="1:2">
      <c r="A43" s="1119" t="s">
        <v>591</v>
      </c>
      <c r="B43" s="1120">
        <f>'预评函-3'!B4</f>
        <v>105.08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193" t="s">
        <v>2578</v>
      </c>
      <c r="J2" s="3193"/>
      <c r="K2" s="3193"/>
      <c r="L2" s="3193"/>
      <c r="M2" s="3193"/>
      <c r="N2" s="3193"/>
      <c r="O2" s="3193"/>
      <c r="P2" s="3193"/>
      <c r="Q2" s="3193"/>
      <c r="R2" s="3193"/>
    </row>
    <row r="3" spans="1:18">
      <c r="A3" s="2761" t="s">
        <v>2499</v>
      </c>
      <c r="B3" s="2762">
        <f>项目基本情况!D3</f>
        <v>45714</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1.81</v>
      </c>
      <c r="D5" s="2766">
        <f>IF(ISERROR(ROUND(POWER(1+E5,A5-C5)*(POWER(1+E5,C5)-1)/(POWER(1+E5,A5)-1),3)),0,ROUND(POWER(1+E5,A5-C5)*(POWER(1+E5,C5)-1)/(POWER(1+E5,A5)-1),4))</f>
        <v>8.6599999999999996E-2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11.81</v>
      </c>
      <c r="D6" s="2766">
        <f>IF(ISERROR(ROUND(POWER(1+E6,A6-C6)*(POWER(1+E6,C6)-1)/(POWER(1+E6,A6)-1),3)),0,ROUND(POWER(1+E6,A6-C6)*(POWER(1+E6,C6)-1)/(POWER(1+E6,A6)-1),4))</f>
        <v>0.43140000000000001</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31.83</v>
      </c>
      <c r="D7" s="2766">
        <f>IF(ISERROR(ROUND(POWER(1+E7,A7-C7)*(POWER(1+E7,C7)-1)/(POWER(1+E7,A7)-1),3)),0,ROUND(POWER(1+E7,A7-C7)*(POWER(1+E7,C7)-1)/(POWER(1+E7,A7)-1),4))</f>
        <v>0.76200000000000001</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5" thickBot="1">
      <c r="A18" s="2771" t="s">
        <v>2514</v>
      </c>
      <c r="B18" s="2772">
        <f>ROUND(B17*F11/F12,2)</f>
        <v>5541.87</v>
      </c>
      <c r="C18" s="2772">
        <f>ROUND(F11/F12,4)</f>
        <v>1.1521999999999999</v>
      </c>
      <c r="D18" s="2773"/>
      <c r="E18" s="2773"/>
      <c r="F18" s="2774"/>
    </row>
    <row r="19" spans="1:14" ht="15" thickBot="1"/>
    <row r="20" spans="1:14" s="2807" customFormat="1" ht="1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3388</v>
      </c>
    </row>
    <row r="50" spans="1:4">
      <c r="A50" s="3143" t="s">
        <v>3389</v>
      </c>
      <c r="B50" s="3143" t="s">
        <v>3390</v>
      </c>
      <c r="C50" s="3143" t="s">
        <v>3391</v>
      </c>
      <c r="D50" s="3143" t="s">
        <v>3392</v>
      </c>
    </row>
    <row r="51" spans="1:4">
      <c r="A51" s="3143" t="s">
        <v>3393</v>
      </c>
      <c r="B51" s="2763">
        <f>B52+B53</f>
        <v>15000</v>
      </c>
      <c r="C51" s="3144">
        <f>D51/B51</f>
        <v>2666.6666666666665</v>
      </c>
      <c r="D51" s="2763">
        <f>D52+D53</f>
        <v>40000000</v>
      </c>
    </row>
    <row r="52" spans="1:4">
      <c r="A52" s="3145" t="s">
        <v>3394</v>
      </c>
      <c r="B52" s="3146">
        <v>10000</v>
      </c>
      <c r="C52" s="3146">
        <v>1500</v>
      </c>
      <c r="D52" s="3147">
        <f>C52*B52</f>
        <v>15000000</v>
      </c>
    </row>
    <row r="53" spans="1:4">
      <c r="A53" s="3145" t="s">
        <v>3395</v>
      </c>
      <c r="B53" s="3146">
        <v>5000</v>
      </c>
      <c r="C53" s="3146">
        <v>5000</v>
      </c>
      <c r="D53" s="3147">
        <f>C53*B53</f>
        <v>25000000</v>
      </c>
    </row>
    <row r="54" spans="1:4">
      <c r="A54" s="3143" t="s">
        <v>3396</v>
      </c>
      <c r="B54" s="2763">
        <f>B51</f>
        <v>15000</v>
      </c>
      <c r="C54" s="2769">
        <v>700</v>
      </c>
      <c r="D54" s="2763">
        <f t="shared" ref="D54:D55" si="5">C54*B54</f>
        <v>10500000</v>
      </c>
    </row>
    <row r="55" spans="1:4">
      <c r="A55" s="3143" t="s">
        <v>3397</v>
      </c>
      <c r="B55" s="2763">
        <f>B51</f>
        <v>15000</v>
      </c>
      <c r="C55" s="2769">
        <v>1500</v>
      </c>
      <c r="D55" s="2763">
        <f t="shared" si="5"/>
        <v>22500000</v>
      </c>
    </row>
    <row r="56" spans="1:4">
      <c r="A56" s="3143" t="s">
        <v>3398</v>
      </c>
      <c r="B56" s="2763">
        <f>B51</f>
        <v>15000</v>
      </c>
      <c r="C56" s="3148">
        <f>C51+C54+C55</f>
        <v>4866.6666666666661</v>
      </c>
      <c r="D56" s="2763">
        <f>D51+D54+D55</f>
        <v>73000000</v>
      </c>
    </row>
    <row r="58" spans="1:4">
      <c r="A58" s="3143" t="s">
        <v>3399</v>
      </c>
      <c r="B58" s="3149">
        <v>0.05</v>
      </c>
      <c r="C58" s="2763">
        <f>C56*(1+B58)</f>
        <v>5110</v>
      </c>
      <c r="D58" s="2763">
        <f>D56*B58</f>
        <v>3650000</v>
      </c>
    </row>
    <row r="60" spans="1:4">
      <c r="A60" s="3143" t="s">
        <v>3400</v>
      </c>
      <c r="B60" s="2769">
        <v>3500</v>
      </c>
      <c r="C60" s="2769">
        <f>C53</f>
        <v>5000</v>
      </c>
      <c r="D60" s="2763">
        <f>C60*B60</f>
        <v>17500000</v>
      </c>
    </row>
    <row r="62" spans="1:4">
      <c r="A62" s="3143" t="s">
        <v>3401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G8" sqref="G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01" t="str">
        <f>IF(B10="北京市","北京市",C10)&amp;F10&amp;IF(结果表!G1="在建","出让国有建设用地使用权及在建建筑物",IF(结果表!G1="土地","出让国有建设用地使用权",))&amp;B9&amp;"预评估"</f>
        <v>北京市朝阳区百子湾西里403号楼16层1605、1606、1612房地产抵押价值预评估</v>
      </c>
      <c r="C1" s="3202"/>
      <c r="D1" s="3202"/>
      <c r="E1" s="3202"/>
      <c r="F1" s="3202"/>
      <c r="G1" s="3202"/>
      <c r="H1" s="3202"/>
      <c r="I1" s="320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北京市朝阳区百子湾西里403号楼16层1605、1606、1612房地产抵押价值</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北京市朝阳区百子湾西里403号楼16层1605、1606、1612房地产</v>
      </c>
      <c r="T2" s="1618"/>
      <c r="U2" s="1618"/>
      <c r="V2" s="1618"/>
      <c r="W2" s="1618"/>
      <c r="X2" s="1618"/>
      <c r="Y2" s="1618"/>
      <c r="Z2" s="1618"/>
      <c r="AA2" s="1618"/>
      <c r="AB2" s="1618"/>
    </row>
    <row r="3" spans="1:30">
      <c r="A3" s="294" t="s">
        <v>2168</v>
      </c>
      <c r="B3" s="2185"/>
      <c r="C3" s="2186" t="s">
        <v>2169</v>
      </c>
      <c r="D3" s="2185">
        <v>45714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t="s">
        <v>3410</v>
      </c>
      <c r="C8" s="2201"/>
      <c r="D8" s="3204" t="s">
        <v>2175</v>
      </c>
      <c r="E8" s="2202" t="s">
        <v>3411</v>
      </c>
      <c r="F8" s="2203"/>
      <c r="G8" s="2441"/>
      <c r="H8" s="2441"/>
      <c r="I8" s="2441"/>
      <c r="J8" s="2244"/>
      <c r="K8" s="2399"/>
      <c r="L8" s="2398"/>
      <c r="M8" s="2398"/>
      <c r="N8" s="2244"/>
      <c r="O8" s="1670"/>
      <c r="P8" s="2244"/>
      <c r="Q8" s="2244"/>
      <c r="R8" s="2244"/>
    </row>
    <row r="9" spans="1:30" ht="13.8" thickBot="1">
      <c r="A9" s="2204" t="s">
        <v>2176</v>
      </c>
      <c r="B9" s="2205" t="s">
        <v>3411</v>
      </c>
      <c r="C9" s="2206"/>
      <c r="D9" s="3205"/>
      <c r="E9" s="2205" t="s">
        <v>43</v>
      </c>
      <c r="F9" s="2207"/>
      <c r="G9" s="2442"/>
      <c r="H9" s="2442"/>
      <c r="I9" s="2442"/>
      <c r="J9" s="2244"/>
      <c r="K9" s="2401"/>
      <c r="L9" s="2398"/>
      <c r="M9" s="2398"/>
      <c r="N9" s="2244"/>
      <c r="O9" s="1670"/>
      <c r="P9" s="2244"/>
      <c r="Q9" s="2244"/>
      <c r="R9" s="2244"/>
    </row>
    <row r="10" spans="1:30" ht="13.8" thickTop="1">
      <c r="A10" s="2208" t="s">
        <v>2177</v>
      </c>
      <c r="B10" s="2209" t="s">
        <v>3407</v>
      </c>
      <c r="C10" s="2210"/>
      <c r="D10" s="2193"/>
      <c r="E10" s="2211" t="s">
        <v>2178</v>
      </c>
      <c r="F10" s="3487" t="s">
        <v>3405</v>
      </c>
      <c r="G10" s="2443"/>
      <c r="H10" s="2444"/>
      <c r="I10" s="2445"/>
      <c r="J10" s="2244"/>
      <c r="K10" s="2401"/>
      <c r="L10" s="2398"/>
      <c r="M10" s="2398"/>
      <c r="N10" s="2244"/>
      <c r="O10" s="1670"/>
      <c r="P10" s="2244"/>
      <c r="Q10" s="2244"/>
      <c r="R10" s="2244"/>
    </row>
    <row r="11" spans="1:30" ht="24">
      <c r="A11" s="2212" t="s">
        <v>2179</v>
      </c>
      <c r="B11" s="2213" t="s">
        <v>3408</v>
      </c>
      <c r="C11" s="3488" t="s">
        <v>3409</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70"/>
      <c r="O12" s="2244"/>
      <c r="P12" s="2244"/>
      <c r="Q12" s="2244"/>
      <c r="AD12" s="1618"/>
    </row>
    <row r="13" spans="1:30">
      <c r="A13" s="3120" t="s">
        <v>3330</v>
      </c>
      <c r="B13" s="2217" t="s">
        <v>2188</v>
      </c>
      <c r="C13" s="803"/>
      <c r="D13" s="803"/>
      <c r="E13" s="803">
        <v>56301</v>
      </c>
      <c r="F13" s="803"/>
      <c r="G13" s="803"/>
      <c r="H13" s="803"/>
      <c r="I13" s="803"/>
      <c r="J13" s="2801"/>
      <c r="K13" s="2398"/>
      <c r="L13" s="2398"/>
      <c r="M13" s="2244"/>
      <c r="N13" s="1670"/>
      <c r="O13" s="2244"/>
      <c r="P13" s="2244"/>
      <c r="Q13" s="2244"/>
      <c r="AD13" s="1618"/>
    </row>
    <row r="14" spans="1:30">
      <c r="A14" s="1018"/>
      <c r="B14" s="2217" t="s">
        <v>2189</v>
      </c>
      <c r="C14" s="2218"/>
      <c r="D14" s="2218"/>
      <c r="E14" s="2218">
        <v>50</v>
      </c>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f>IF(A13="出让",IF(E13="","",ROUNDDOWN(MIN((E13-$D$3)/365,E14),2)),E14)</f>
        <v>29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11"/>
      <c r="C16" s="3212"/>
      <c r="D16" s="3213"/>
      <c r="E16" s="2221" t="s">
        <v>2192</v>
      </c>
      <c r="F16" s="3214"/>
      <c r="G16" s="3215"/>
      <c r="H16" s="3215"/>
      <c r="I16" s="3216"/>
      <c r="J16" s="2244"/>
      <c r="K16" s="2402"/>
      <c r="L16" s="1670"/>
      <c r="M16" s="1670"/>
      <c r="N16" s="2244"/>
      <c r="O16" s="1670"/>
      <c r="P16" s="2244"/>
      <c r="Q16" s="2244"/>
      <c r="R16" s="2244"/>
    </row>
    <row r="17" spans="1:28">
      <c r="A17" s="305" t="s">
        <v>2193</v>
      </c>
      <c r="B17" s="294" t="s">
        <v>2194</v>
      </c>
      <c r="C17" s="8">
        <f>'数据-汇总表'!E3</f>
        <v>105.08</v>
      </c>
      <c r="D17" s="1256" t="s">
        <v>2195</v>
      </c>
      <c r="E17" s="3217" t="s">
        <v>2196</v>
      </c>
      <c r="F17" s="3218"/>
      <c r="G17" s="3218"/>
      <c r="H17" s="3218"/>
      <c r="I17" s="3219"/>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20" t="s">
        <v>2200</v>
      </c>
      <c r="F18" s="3221"/>
      <c r="G18" s="3221"/>
      <c r="H18" s="3221"/>
      <c r="I18" s="3222"/>
      <c r="J18" s="2244"/>
      <c r="K18" s="2403"/>
      <c r="L18" s="1670"/>
      <c r="M18" s="1670"/>
      <c r="N18" s="2244"/>
      <c r="O18" s="1670"/>
      <c r="P18" s="2244"/>
      <c r="Q18" s="2244"/>
      <c r="R18" s="2244"/>
      <c r="S18" s="2244"/>
      <c r="T18" s="2244"/>
      <c r="U18" s="2244"/>
      <c r="V18" s="2244"/>
    </row>
    <row r="19" spans="1:28" ht="54" thickTop="1" thickBot="1">
      <c r="A19" s="319" t="s">
        <v>1055</v>
      </c>
      <c r="B19" s="299" t="s">
        <v>2201</v>
      </c>
      <c r="C19" s="1455" t="s">
        <v>3404</v>
      </c>
      <c r="D19" s="1456" t="s">
        <v>2202</v>
      </c>
      <c r="E19" s="1457" t="s">
        <v>3406</v>
      </c>
      <c r="F19" s="1458" t="str">
        <f>IF(AND(C19="是",E19="否"),"是否提供他项权证或相关说明","")</f>
        <v>是否提供他项权证或相关说明</v>
      </c>
      <c r="G19" s="1459" t="s">
        <v>3406</v>
      </c>
      <c r="H19" s="2441"/>
      <c r="I19" s="2441"/>
      <c r="J19" s="2244"/>
      <c r="K19" s="2401"/>
      <c r="L19" s="2398"/>
      <c r="M19" s="2398"/>
      <c r="N19" s="2244"/>
      <c r="O19" s="1670"/>
      <c r="P19" s="2244"/>
      <c r="Q19" s="2244"/>
      <c r="R19" s="2244"/>
      <c r="S19" s="2244"/>
      <c r="T19" s="2244"/>
      <c r="U19" s="2244"/>
      <c r="V19" s="2244"/>
    </row>
    <row r="20" spans="1:28">
      <c r="A20" s="2416" t="s">
        <v>2203</v>
      </c>
      <c r="B20" s="3207" t="s">
        <v>2204</v>
      </c>
      <c r="C20" s="3208"/>
      <c r="D20" s="3209" t="s">
        <v>2205</v>
      </c>
      <c r="E20" s="3210"/>
      <c r="F20" s="2429" t="s">
        <v>1056</v>
      </c>
      <c r="G20" s="2441"/>
      <c r="H20" s="2441"/>
      <c r="I20" s="2441"/>
      <c r="J20" s="2244"/>
      <c r="K20" s="320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1057</v>
      </c>
      <c r="D21" s="1460" t="s">
        <v>2208</v>
      </c>
      <c r="E21" s="2418" t="s">
        <v>1057</v>
      </c>
      <c r="F21" s="2430"/>
      <c r="G21" s="2441"/>
      <c r="H21" s="2441"/>
      <c r="I21" s="2441"/>
      <c r="J21" s="2244"/>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1058</v>
      </c>
      <c r="D22" s="2441"/>
      <c r="E22" s="2441"/>
      <c r="F22" s="2441"/>
      <c r="G22" s="2441"/>
      <c r="H22" s="2441"/>
      <c r="I22" s="2441"/>
      <c r="J22" s="2244"/>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195" t="s">
        <v>2212</v>
      </c>
      <c r="B27" s="312" t="s">
        <v>2213</v>
      </c>
      <c r="C27" s="2224" t="s">
        <v>3412</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5"/>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5"/>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196"/>
      <c r="B30" s="294" t="s">
        <v>2216</v>
      </c>
      <c r="C30" s="3197"/>
      <c r="D30" s="3198"/>
      <c r="E30" s="2441"/>
      <c r="F30" s="2441"/>
      <c r="G30" s="2441"/>
      <c r="H30" s="2441"/>
      <c r="I30" s="2441"/>
      <c r="J30" s="2244"/>
      <c r="K30" s="2401"/>
      <c r="L30" s="2398"/>
      <c r="M30" s="2398"/>
      <c r="N30" s="2244"/>
      <c r="O30" s="1670"/>
      <c r="P30" s="2244"/>
      <c r="Q30" s="2244"/>
      <c r="R30" s="2244"/>
      <c r="S30" s="2244"/>
      <c r="T30" s="2244"/>
      <c r="U30" s="2244"/>
      <c r="V30" s="2244"/>
    </row>
    <row r="31" spans="1:28">
      <c r="A31" s="3199" t="s">
        <v>2217</v>
      </c>
      <c r="B31" s="2230" t="s">
        <v>3413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194" t="s">
        <v>2226</v>
      </c>
      <c r="T34" s="315" t="str">
        <f>NUMBERSTRING(7-K34,1)&amp;"通"</f>
        <v>七通</v>
      </c>
      <c r="U34" s="2244"/>
      <c r="V34" s="2244"/>
    </row>
    <row r="35" spans="1:30">
      <c r="A35" s="2235"/>
      <c r="B35" s="3194" t="s">
        <v>2227</v>
      </c>
      <c r="C35" s="3194"/>
      <c r="D35" s="3194"/>
      <c r="E35" s="319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2577</v>
      </c>
      <c r="G36" s="2441"/>
      <c r="H36" s="2441"/>
      <c r="I36" s="2441"/>
      <c r="J36" s="2244"/>
      <c r="K36" s="2401"/>
      <c r="L36" s="2398"/>
      <c r="M36" s="2398"/>
      <c r="N36" s="2244"/>
      <c r="O36" s="1670"/>
      <c r="P36" s="2244"/>
      <c r="Q36" s="2244"/>
      <c r="R36" s="2244"/>
      <c r="S36" s="2244"/>
      <c r="T36" s="2244"/>
      <c r="U36" s="2244"/>
      <c r="V36" s="2244"/>
    </row>
    <row r="37" spans="1:30">
      <c r="A37" s="2414" t="s">
        <v>2228</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c r="C38" s="2237" t="s">
        <v>253</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336.26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336.26</v>
      </c>
      <c r="H5" s="13">
        <f t="shared" ref="H5:AT5" si="0">SUM(H13:H656)</f>
        <v>336.26</v>
      </c>
      <c r="I5" s="13">
        <f t="shared" si="0"/>
        <v>336.26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105.08</v>
      </c>
      <c r="BA5" s="15">
        <f t="shared" si="1"/>
        <v>105.08</v>
      </c>
      <c r="BB5" s="15">
        <f t="shared" si="1"/>
        <v>105.08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1605</v>
      </c>
      <c r="D13" s="1513" t="s">
        <v>3404</v>
      </c>
      <c r="E13" s="13">
        <f>IF($C$3="是",ROUND($A$3*G13/$B$3,2),ROUND($A$3*(G13-AT13)/$B$3,2))</f>
        <v>0</v>
      </c>
      <c r="F13" s="29"/>
      <c r="G13" s="30">
        <f>H13+AC13+AT13</f>
        <v>105.08</v>
      </c>
      <c r="H13" s="17">
        <f>SUMIF(I$12:AB$12,"总值",I13:AB13)</f>
        <v>105.08</v>
      </c>
      <c r="I13" s="1514">
        <v>105.08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1605</v>
      </c>
      <c r="AY13" s="1260">
        <f>ROUND($AY$6*AZ13/$AZ$5,2)</f>
        <v>0</v>
      </c>
      <c r="AZ13" s="13">
        <f>BA13+BL13</f>
        <v>105.08</v>
      </c>
      <c r="BA13" s="13">
        <f>SUM(BB13:BK13)</f>
        <v>105.08</v>
      </c>
      <c r="BB13" s="13">
        <f>IF($D13="是",I13-J13,0)</f>
        <v>105.08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1606</v>
      </c>
      <c r="D14" s="1513"/>
      <c r="E14" s="13">
        <f>IF($C$3="是",ROUND($A$3*G14/$B$3,2),ROUND($A$3*(G14-AT14)/$B$3,2))</f>
        <v>0</v>
      </c>
      <c r="F14" s="29"/>
      <c r="G14" s="30">
        <f>H14+AC14+AT14</f>
        <v>105.08</v>
      </c>
      <c r="H14" s="17">
        <f>SUMIF(I$12:AB$12,"总值",I14:AB14)</f>
        <v>105.08</v>
      </c>
      <c r="I14" s="1514">
        <v>105.08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1612</v>
      </c>
      <c r="D15" s="1513"/>
      <c r="E15" s="13">
        <f>IF($C$3="是",ROUND($A$3*G15/$B$3,2),ROUND($A$3*(G15-AT15)/$B$3,2))</f>
        <v>0</v>
      </c>
      <c r="F15" s="29"/>
      <c r="G15" s="30">
        <f>H15+AC15+AT15</f>
        <v>126.1</v>
      </c>
      <c r="H15" s="17">
        <f>SUMIF(I$12:AB$12,"总值",I15:AB15)</f>
        <v>126.1</v>
      </c>
      <c r="I15" s="1514">
        <v>126.1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1612</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30" sqref="K3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8"/>
      <c r="G2" s="2431"/>
      <c r="H2" s="2432"/>
      <c r="I2" s="2146" t="s">
        <v>1132</v>
      </c>
      <c r="J2" s="2438"/>
      <c r="K2" s="2438"/>
      <c r="L2" s="2438"/>
      <c r="M2" s="2438"/>
      <c r="N2" s="2439"/>
      <c r="O2" s="2438"/>
      <c r="P2" s="2438"/>
    </row>
    <row r="3" spans="1:16" ht="15" thickBot="1">
      <c r="A3" s="3233" t="s">
        <v>1105</v>
      </c>
      <c r="B3" s="3233"/>
      <c r="C3" s="3233"/>
      <c r="D3" s="41">
        <f>'数据-基础表'!AY6</f>
        <v>0</v>
      </c>
      <c r="E3" s="41">
        <f>'数据-基础表'!AZ5</f>
        <v>105.08</v>
      </c>
      <c r="F3" s="2438"/>
      <c r="G3" s="42"/>
      <c r="H3" s="43" t="s">
        <v>1106</v>
      </c>
      <c r="I3" s="802" t="e">
        <f>ROUND('数据-基础表'!B3/'数据-基础表'!A3,2)</f>
        <v>#DIV/0!</v>
      </c>
      <c r="J3" s="2438"/>
      <c r="K3" s="2438"/>
      <c r="L3" s="2438"/>
      <c r="M3" s="2438"/>
      <c r="N3" s="2439"/>
      <c r="O3" s="2438"/>
      <c r="P3" s="2438"/>
    </row>
    <row r="4" spans="1:16" ht="14.4">
      <c r="A4" s="3234"/>
      <c r="B4" s="3235"/>
      <c r="C4" s="323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37" t="s">
        <v>1110</v>
      </c>
      <c r="C5" s="323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7" t="s">
        <v>1111</v>
      </c>
      <c r="C6" s="3237"/>
      <c r="D6" s="43">
        <f>ROUND($D$3*E6/$E$3,2)</f>
        <v>0</v>
      </c>
      <c r="E6" s="44">
        <f>E3-E5</f>
        <v>105.08</v>
      </c>
      <c r="F6" s="2438"/>
      <c r="G6" s="1529" t="s">
        <v>1112</v>
      </c>
      <c r="H6" s="45" t="s">
        <v>1113</v>
      </c>
      <c r="I6" s="2434" t="e">
        <f>ROUND(F31/D31,2)</f>
        <v>#DIV/0!</v>
      </c>
      <c r="J6" s="2438"/>
      <c r="K6" s="2438"/>
      <c r="L6" s="2438"/>
      <c r="M6" s="2438"/>
      <c r="N6" s="2438"/>
      <c r="O6" s="2438"/>
      <c r="P6" s="2438"/>
    </row>
    <row r="7" spans="1:16" ht="15" thickBot="1">
      <c r="A7" s="3229"/>
      <c r="B7" s="3230"/>
      <c r="C7" s="3231"/>
      <c r="D7" s="1524" t="s">
        <v>1107</v>
      </c>
      <c r="E7" s="1528" t="s">
        <v>1114</v>
      </c>
      <c r="F7" s="2438"/>
      <c r="G7" s="2435" t="s">
        <v>1115</v>
      </c>
      <c r="H7" s="95"/>
      <c r="I7" s="2436">
        <v>4.5</v>
      </c>
      <c r="J7" s="3489" t="s">
        <v>3446</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105.08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105.08</v>
      </c>
      <c r="F16" s="2438"/>
      <c r="G16" s="2438"/>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1605</v>
      </c>
      <c r="D19" s="43">
        <f>ROUND($D$3*E19/$E$3,2)</f>
        <v>0</v>
      </c>
      <c r="E19" s="51">
        <f t="shared" ref="E19:E26" si="1">SUM(F19:G19)</f>
        <v>105.08</v>
      </c>
      <c r="F19" s="2556">
        <f>'数据-基础表'!G13</f>
        <v>105.08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105.08</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105.08</v>
      </c>
      <c r="F27" s="1072">
        <f>IF(SUM(F19:F26)=E8,SUM(F19:F26),"地上面积有误")</f>
        <v>105.08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105.08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105.08</v>
      </c>
      <c r="F31" s="644">
        <f>F27+F30</f>
        <v>105.08</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V19" sqref="V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1605</v>
      </c>
      <c r="B6" s="1587" t="str">
        <f>IF(A6=0,"","经营性")</f>
        <v>经营性</v>
      </c>
      <c r="C6" s="1588" t="s">
        <v>21</v>
      </c>
      <c r="D6" s="805">
        <f>SUMIF(项目基本情况!C$12:I$12,C6,项目基本情况!C$14:I$14)</f>
        <v>50</v>
      </c>
      <c r="E6" s="804">
        <f>IF(B6="","",SUMIF(项目基本情况!C$12:I$12,C6,项目基本情况!C$13:I$13))</f>
        <v>56301</v>
      </c>
      <c r="F6" s="61">
        <f>SUMIF(项目基本情况!C$12:I$12,C6,项目基本情况!C$15:I$15)</f>
        <v>29</v>
      </c>
      <c r="G6" s="62">
        <f>IF(ISERROR(ROUND(POWER(1+H6,D6-F6)*(POWER(1+H6,F6)-1)/(POWER(1+H6,D6)-1),3)),0,ROUND(POWER(1+H6,D6-F6)*(POWER(1+H6,F6)-1)/(POWER(1+H6,D6)-1),3))</f>
        <v>0.82899999999999996</v>
      </c>
      <c r="H6" s="691">
        <v>0.05</v>
      </c>
      <c r="I6" s="691">
        <v>5.5E-2</v>
      </c>
      <c r="J6" s="63">
        <v>7.0000000000000007E-2</v>
      </c>
      <c r="K6" s="970">
        <f>SUMIF('数据-汇总表'!C$19:C$33,A6,'数据-汇总表'!E$19:E$33)</f>
        <v>105.08</v>
      </c>
      <c r="L6" s="692">
        <v>4000</v>
      </c>
      <c r="M6" s="64">
        <f t="shared" ref="M6:M14" si="0">ROUND(K6*L6/10000,0)</f>
        <v>42</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3.5</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0.01</v>
      </c>
      <c r="AL6" s="76">
        <v>1E-3</v>
      </c>
      <c r="AM6" s="77">
        <v>0.01</v>
      </c>
      <c r="AN6" s="1589" t="s">
        <v>3430</v>
      </c>
      <c r="AO6" s="50">
        <f ca="1">SUMIF(INDIRECT("'"&amp;AN6&amp;"'"&amp;"!A:A"),"总价",INDIRECT("'"&amp;AN6&amp;"'"&amp;"!B:B"))</f>
        <v>190.4316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0.82899999999999996</v>
      </c>
      <c r="H16" s="84">
        <f>ROUND(SUMPRODUCT(H6:H13,K6:K13)/SUMPRODUCT((H6:H13&gt;0)*(K6:K13)),3)</f>
        <v>0.05</v>
      </c>
      <c r="I16" s="85"/>
      <c r="J16" s="85"/>
      <c r="K16" s="86">
        <f>SUM(K6:K15)</f>
        <v>105.08</v>
      </c>
      <c r="L16" s="87">
        <f>ROUND(M16*10000/SUM(K6:K14),0)</f>
        <v>3997</v>
      </c>
      <c r="M16" s="87">
        <f>SUM(M6:M14)</f>
        <v>42</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90" t="s">
        <v>3423</v>
      </c>
      <c r="N18" s="2447">
        <v>2006</v>
      </c>
      <c r="O18" s="3492" t="s">
        <v>3425</v>
      </c>
      <c r="Q18" s="2447"/>
      <c r="R18" s="2447"/>
      <c r="S18" s="1405" t="s">
        <v>3474</v>
      </c>
      <c r="T18">
        <f>'数据-基础表'!G13+'数据-基础表'!G14</f>
        <v>210.16</v>
      </c>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490" t="s">
        <v>3426</v>
      </c>
      <c r="N19" s="2447">
        <f>ROUND(1-(1-0)*(2025-N18)/60,2)</f>
        <v>0.68</v>
      </c>
      <c r="O19" s="3490" t="s">
        <v>3424</v>
      </c>
      <c r="P19" s="3491">
        <f>N18-B21+50</f>
        <v>2054</v>
      </c>
      <c r="Q19" s="2447"/>
      <c r="R19" s="2447"/>
      <c r="S19" s="1405" t="s">
        <v>3475</v>
      </c>
      <c r="T19">
        <v>330000</v>
      </c>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2298</v>
      </c>
      <c r="D20" s="2450"/>
      <c r="E20" s="2438"/>
      <c r="F20" s="2438"/>
      <c r="G20" s="2438"/>
      <c r="H20" s="2438"/>
      <c r="I20" s="2438"/>
      <c r="J20" s="2438"/>
      <c r="K20" s="2448"/>
      <c r="L20" s="2448"/>
      <c r="M20" s="3490" t="s">
        <v>3427</v>
      </c>
      <c r="N20" s="2447">
        <v>0.8</v>
      </c>
      <c r="O20" s="2447"/>
      <c r="P20" s="2447"/>
      <c r="Q20" s="2447"/>
      <c r="R20" s="2447"/>
      <c r="S20" s="1405" t="s">
        <v>3476</v>
      </c>
      <c r="T20">
        <f>ROUND(T19/T18/365,2)</f>
        <v>4.3</v>
      </c>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490" t="s">
        <v>3429</v>
      </c>
      <c r="N21" s="2447">
        <f>ROUND((N19+N20)/2,2)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3493" t="s">
        <v>3431</v>
      </c>
      <c r="K26" s="3494"/>
      <c r="L26" s="3494"/>
      <c r="M26" s="3494"/>
      <c r="N26" s="3494"/>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43.2">
      <c r="A27" s="1601" t="s">
        <v>1220</v>
      </c>
      <c r="B27" s="101">
        <v>160</v>
      </c>
      <c r="C27" s="2561" t="s">
        <v>2302</v>
      </c>
      <c r="D27" s="2453"/>
      <c r="E27" s="2439"/>
      <c r="F27" s="2439"/>
      <c r="G27" s="2438"/>
      <c r="H27" s="2438"/>
      <c r="I27" s="2438"/>
      <c r="J27" s="3495" t="s">
        <v>3432</v>
      </c>
      <c r="K27" s="3495" t="s">
        <v>3433</v>
      </c>
      <c r="L27" s="3496" t="s">
        <v>3434</v>
      </c>
      <c r="M27" s="3495" t="s">
        <v>3435</v>
      </c>
      <c r="N27" s="3495" t="s">
        <v>3436</v>
      </c>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3495" t="s">
        <v>3437</v>
      </c>
      <c r="K28" s="3495" t="s">
        <v>3438</v>
      </c>
      <c r="L28" s="3495" t="s">
        <v>3438</v>
      </c>
      <c r="M28" s="3495" t="s">
        <v>3439</v>
      </c>
      <c r="N28" s="3495" t="s">
        <v>3439</v>
      </c>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3496">
        <v>45</v>
      </c>
      <c r="K29" s="3496">
        <v>24</v>
      </c>
      <c r="L29" s="3496">
        <v>20</v>
      </c>
      <c r="M29" s="3496">
        <v>5</v>
      </c>
      <c r="N29" s="3496" t="s">
        <v>3440</v>
      </c>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3496">
        <v>3</v>
      </c>
      <c r="K30" s="3496">
        <v>3</v>
      </c>
      <c r="L30" s="3496">
        <v>2</v>
      </c>
      <c r="M30" s="3496">
        <v>0</v>
      </c>
      <c r="N30" s="3496">
        <v>0</v>
      </c>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3496">
        <v>124000</v>
      </c>
      <c r="K31" s="3496">
        <v>57000</v>
      </c>
      <c r="L31" s="3496">
        <v>32000</v>
      </c>
      <c r="M31" s="3496">
        <v>22000</v>
      </c>
      <c r="N31" s="3496">
        <v>6400</v>
      </c>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3497">
        <v>100000</v>
      </c>
      <c r="K32" s="3497">
        <v>45000</v>
      </c>
      <c r="L32" s="3497">
        <v>26000</v>
      </c>
      <c r="M32" s="3497">
        <v>22000</v>
      </c>
      <c r="N32" s="3497">
        <v>6400</v>
      </c>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3384</v>
      </c>
      <c r="D33" s="2450"/>
      <c r="E33" s="2438"/>
      <c r="F33" s="2438"/>
      <c r="G33" s="2438"/>
      <c r="H33" s="2438"/>
      <c r="I33" s="2438"/>
      <c r="J33" s="3497">
        <v>24000</v>
      </c>
      <c r="K33" s="3497">
        <v>12000</v>
      </c>
      <c r="L33" s="3497">
        <v>6000</v>
      </c>
      <c r="M33" s="3497" t="s">
        <v>3441</v>
      </c>
      <c r="N33" s="3497" t="s">
        <v>3441</v>
      </c>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2299</v>
      </c>
      <c r="E34" s="2456"/>
      <c r="F34" s="2438"/>
      <c r="G34" s="2438"/>
      <c r="H34" s="2438"/>
      <c r="I34" s="2438"/>
      <c r="J34" s="3498">
        <f t="shared" ref="J34:N34" si="12">J35+J39+J38</f>
        <v>8084</v>
      </c>
      <c r="K34" s="3498">
        <f t="shared" si="12"/>
        <v>5893</v>
      </c>
      <c r="L34" s="3498">
        <f t="shared" si="12"/>
        <v>4402</v>
      </c>
      <c r="M34" s="3498">
        <f t="shared" si="12"/>
        <v>5920</v>
      </c>
      <c r="N34" s="3498">
        <f t="shared" si="12"/>
        <v>3380</v>
      </c>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3499">
        <v>3802</v>
      </c>
      <c r="K35" s="3499">
        <v>3061</v>
      </c>
      <c r="L35" s="3499">
        <v>2273</v>
      </c>
      <c r="M35" s="3499">
        <v>1795</v>
      </c>
      <c r="N35" s="3499">
        <v>1595</v>
      </c>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3402</v>
      </c>
      <c r="D36" s="2450"/>
      <c r="E36" s="2438"/>
      <c r="F36" s="2438"/>
      <c r="G36" s="2438"/>
      <c r="H36" s="2438"/>
      <c r="I36" s="2438"/>
      <c r="J36" s="3497">
        <v>3375</v>
      </c>
      <c r="K36" s="3497">
        <v>2440</v>
      </c>
      <c r="L36" s="3497">
        <v>1670</v>
      </c>
      <c r="M36" s="3497">
        <v>1795</v>
      </c>
      <c r="N36" s="3497">
        <v>1595</v>
      </c>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3385</v>
      </c>
      <c r="D37" s="2450"/>
      <c r="E37" s="2438"/>
      <c r="F37" s="2438"/>
      <c r="G37" s="2438"/>
      <c r="H37" s="2438"/>
      <c r="I37" s="2438"/>
      <c r="J37" s="3497">
        <v>5582</v>
      </c>
      <c r="K37" s="3497">
        <v>5390</v>
      </c>
      <c r="L37" s="3497">
        <v>4887</v>
      </c>
      <c r="M37" s="3497" t="s">
        <v>3441</v>
      </c>
      <c r="N37" s="3497" t="s">
        <v>3441</v>
      </c>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3386</v>
      </c>
      <c r="D38" s="2450"/>
      <c r="E38" s="2438"/>
      <c r="F38" s="2438"/>
      <c r="G38" s="2438"/>
      <c r="H38" s="2438"/>
      <c r="I38" s="2438"/>
      <c r="J38" s="3500">
        <v>1613</v>
      </c>
      <c r="K38" s="3500">
        <v>474</v>
      </c>
      <c r="L38" s="3500">
        <v>569</v>
      </c>
      <c r="M38" s="3500">
        <v>700</v>
      </c>
      <c r="N38" s="3500">
        <v>700</v>
      </c>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3501">
        <v>2669</v>
      </c>
      <c r="K39" s="3501">
        <v>2358</v>
      </c>
      <c r="L39" s="3501">
        <v>1560</v>
      </c>
      <c r="M39" s="3501">
        <v>3425</v>
      </c>
      <c r="N39" s="3501">
        <v>1085</v>
      </c>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2308</v>
      </c>
      <c r="B40" s="1015">
        <f ca="1">IF(A40="利息：取LPR",存贷款利率!G1,存贷款利率!G1+C40)</f>
        <v>3.1E-2</v>
      </c>
      <c r="C40" s="2571">
        <v>5.0000000000000001E-3</v>
      </c>
      <c r="D40" s="2447"/>
      <c r="E40" s="2450"/>
      <c r="F40" s="2438"/>
      <c r="G40" s="2438"/>
      <c r="H40" s="2438"/>
      <c r="I40" s="2438"/>
      <c r="J40" s="3502"/>
      <c r="K40" s="3502"/>
      <c r="L40" s="3502"/>
      <c r="M40" s="3502"/>
      <c r="N40" s="3502"/>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3387</v>
      </c>
      <c r="D44" s="2450"/>
      <c r="E44" s="3489" t="s">
        <v>3422</v>
      </c>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J26:N26"/>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38" t="s">
        <v>2284</v>
      </c>
      <c r="B1" s="3239"/>
      <c r="C1" s="3239"/>
      <c r="D1" s="3239"/>
      <c r="E1" s="3239"/>
      <c r="F1" s="3239"/>
      <c r="G1" s="323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336.26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45714</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627</v>
      </c>
      <c r="C5" s="2299">
        <f ca="1">IF(B5=D14,结果表!H102,ROUND(B5*10000/$B$1,0))</f>
        <v>18609</v>
      </c>
      <c r="D5" s="2299" t="e">
        <f ca="1">ROUND(B5*10000/$B$2,0)</f>
        <v>#DIV/0!</v>
      </c>
      <c r="E5" s="2460"/>
      <c r="F5" s="2461"/>
      <c r="G5" s="2461"/>
      <c r="H5" s="2461"/>
      <c r="I5" s="2461"/>
      <c r="J5" s="2461"/>
      <c r="K5" s="2461"/>
    </row>
    <row r="6" spans="1:11" ht="15.6">
      <c r="A6" s="2299" t="s">
        <v>656</v>
      </c>
      <c r="B6" s="2299">
        <f>SUM(G14:G23)</f>
        <v>0</v>
      </c>
      <c r="C6" s="2299">
        <f ca="1">IF(B6=G14,结果表!H108,ROUND(B6*10000/$B$1,0))</f>
        <v>18609</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336.26</v>
      </c>
      <c r="C14" s="2305"/>
      <c r="D14" s="2305">
        <f ca="1">典型户型修正!S22</f>
        <v>627</v>
      </c>
      <c r="E14" s="2305">
        <f ca="1">典型户型修正!R22</f>
        <v>18646</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1605</v>
      </c>
      <c r="D1" s="646"/>
      <c r="E1" s="646"/>
      <c r="F1" s="1621" t="s">
        <v>1263</v>
      </c>
      <c r="G1" s="1453" t="s">
        <v>3413</v>
      </c>
      <c r="H1" s="1621" t="str">
        <f>IF(G1="现房","——","估价对象范围")</f>
        <v>——</v>
      </c>
      <c r="I1" s="1622"/>
    </row>
    <row r="2" spans="1:12" ht="21.75" customHeight="1" thickBot="1">
      <c r="A2" s="3274" t="str">
        <f>项目基本情况!S2</f>
        <v>北京市朝阳区百子湾西里403号楼16层1605、1606、1612房地产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3468</v>
      </c>
      <c r="D4" s="1626" t="s">
        <v>3430</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5</v>
      </c>
      <c r="D14" s="3277">
        <v>5</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64" t="s">
        <v>2129</v>
      </c>
      <c r="F18" s="3265"/>
      <c r="G18" s="3265"/>
      <c r="H18" s="3265"/>
      <c r="I18" s="3265"/>
      <c r="K18" s="294" t="s">
        <v>1289</v>
      </c>
      <c r="L18" s="294">
        <f>IF(C1="",'数据-汇总表'!E3,SUMIF(项目类型,C1,'数据-汇总表'!E17:E26)+SUMIF(项目类型,C1,'数据-汇总表'!I17:I26))</f>
        <v>105.08</v>
      </c>
      <c r="M18" s="294">
        <f>IF(C1="",'数据-汇总表'!E3,SUMIF(项目类型,C1,'数据-汇总表'!E17:E26))</f>
        <v>105.08</v>
      </c>
    </row>
    <row r="19" spans="1:36" ht="14.4">
      <c r="A19" s="1630" t="s">
        <v>1290</v>
      </c>
      <c r="B19" s="1631" t="s">
        <v>1291</v>
      </c>
      <c r="C19" s="126">
        <f ca="1">SUMIF(INDIRECT("'"&amp;C4&amp;"'"&amp;"!A:A"),结果表!B19,INDIRECT("'"&amp;C4&amp;"'"&amp;"!B:B"))</f>
        <v>200.65029999999999</v>
      </c>
      <c r="D19" s="127">
        <f ca="1">SUMIF(INDIRECT("'"&amp;D4&amp;"'"&amp;"!A:A"),结果表!B19,INDIRECT("'"&amp;D4&amp;"'"&amp;"!B:B"))</f>
        <v>190.4316</v>
      </c>
      <c r="E19" s="1630" t="s">
        <v>1292</v>
      </c>
      <c r="F19" s="1631" t="s">
        <v>1291</v>
      </c>
      <c r="G19" s="128">
        <f ca="1">ROUND(C19*$C$18+D19*$D$18,0)</f>
        <v>196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19095</v>
      </c>
      <c r="D20" s="130">
        <f ca="1">SUMIF(INDIRECT("'"&amp;D4&amp;"'"&amp;"!A:A"),结果表!B20,INDIRECT("'"&amp;D4&amp;"'"&amp;"!B:B"))</f>
        <v>18123</v>
      </c>
      <c r="E20" s="1633"/>
      <c r="F20" s="43" t="s">
        <v>1295</v>
      </c>
      <c r="G20" s="131">
        <f ca="1">ROUND(C20*$C$18+D20*$D$18,0)</f>
        <v>18609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5.3660736978526691E-2</v>
      </c>
      <c r="E22" s="121"/>
      <c r="F22" s="121"/>
      <c r="G22" s="121"/>
      <c r="H22" s="121"/>
      <c r="I22" s="121"/>
    </row>
    <row r="23" spans="1:36" ht="13.8" thickBot="1">
      <c r="A23" s="646"/>
      <c r="B23" s="646"/>
      <c r="C23" s="646"/>
      <c r="D23" s="646"/>
      <c r="E23" s="121"/>
      <c r="F23" s="3509" t="s">
        <v>3477</v>
      </c>
      <c r="G23" s="3509" t="s">
        <v>3478</v>
      </c>
      <c r="H23" s="121"/>
      <c r="I23" s="121"/>
    </row>
    <row r="24" spans="1:36" ht="14.4">
      <c r="A24" s="3248" t="s">
        <v>1299</v>
      </c>
      <c r="B24" s="1631" t="s">
        <v>1291</v>
      </c>
      <c r="C24" s="128">
        <f>IF(B30=0,0,D30)</f>
        <v>0</v>
      </c>
      <c r="D24" s="1637"/>
      <c r="E24" s="121"/>
      <c r="F24" s="121">
        <f ca="1">'成本法 (元)'!B3</f>
        <v>24520</v>
      </c>
      <c r="G24" s="121">
        <f ca="1">'收益法 (元)'!B3</f>
        <v>18123</v>
      </c>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18609</v>
      </c>
      <c r="D32" s="1641" t="s">
        <v>3442</v>
      </c>
      <c r="E32" s="121"/>
      <c r="F32" s="121"/>
      <c r="G32" s="121"/>
      <c r="H32" s="121"/>
      <c r="I32" s="121"/>
    </row>
    <row r="33" spans="1:15" ht="14.4">
      <c r="A33" s="740" t="s">
        <v>1306</v>
      </c>
      <c r="B33" s="123"/>
      <c r="C33" s="1642" t="s">
        <v>3443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196</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09">
        <v>1</v>
      </c>
      <c r="K46" s="3304" t="s">
        <v>1331</v>
      </c>
      <c r="L46" s="3304"/>
      <c r="M46" s="3324"/>
      <c r="N46" s="3324"/>
      <c r="O46" s="3324"/>
    </row>
    <row r="47" spans="1:15" ht="12" customHeight="1">
      <c r="A47" s="152" t="s">
        <v>1332</v>
      </c>
      <c r="B47" s="153"/>
      <c r="C47" s="154"/>
      <c r="D47" s="1024" t="s">
        <v>1333</v>
      </c>
      <c r="E47" s="294" t="s">
        <v>1334</v>
      </c>
      <c r="F47" s="155" t="s">
        <v>1335</v>
      </c>
      <c r="G47" s="2332" t="s">
        <v>1336</v>
      </c>
      <c r="H47" s="2333"/>
      <c r="I47" s="151"/>
      <c r="J47" s="2309">
        <v>2</v>
      </c>
      <c r="K47" s="3304" t="s">
        <v>1337</v>
      </c>
      <c r="L47" s="3304"/>
      <c r="M47" s="3325">
        <f>'数据-取费表'!B2</f>
        <v>45714</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4" t="s">
        <v>1340</v>
      </c>
      <c r="L48" s="3304"/>
      <c r="M48" s="3326">
        <f ca="1">H101</f>
        <v>196</v>
      </c>
      <c r="N48" s="3326"/>
      <c r="O48" s="3326"/>
    </row>
    <row r="49" spans="1:35" ht="25.5" customHeight="1">
      <c r="A49" s="2152" t="s">
        <v>1341</v>
      </c>
      <c r="B49" s="3240" t="s">
        <v>1342</v>
      </c>
      <c r="C49" s="3240"/>
      <c r="D49" s="1478">
        <v>0</v>
      </c>
      <c r="E49" s="316" t="s">
        <v>1343</v>
      </c>
      <c r="F49" s="2232" t="s">
        <v>28</v>
      </c>
      <c r="G49" s="3310"/>
      <c r="H49" s="2134" t="s">
        <v>2132</v>
      </c>
      <c r="I49" s="2135"/>
      <c r="J49" s="2309">
        <v>4</v>
      </c>
      <c r="K49" s="3304" t="str">
        <f>IF(项目基本情况!E8="房地产抵押价值","房地产抵押价值","抵押担保权已注销时的房地产抵押价值")</f>
        <v>房地产抵押价值</v>
      </c>
      <c r="L49" s="3304"/>
      <c r="M49" s="3326">
        <f ca="1">IF(项目基本情况!E8="房地产抵押价值",H107,H109)</f>
        <v>196</v>
      </c>
      <c r="N49" s="3326"/>
      <c r="O49" s="3326"/>
    </row>
    <row r="50" spans="1:35" ht="25.5" customHeight="1">
      <c r="A50" s="2337"/>
      <c r="B50" s="3240" t="s">
        <v>1344</v>
      </c>
      <c r="C50" s="3240"/>
      <c r="D50" s="2189"/>
      <c r="E50" s="323"/>
      <c r="F50" s="2232"/>
      <c r="G50" s="3311"/>
      <c r="H50" s="2136" t="s">
        <v>2133</v>
      </c>
      <c r="I50" s="2135"/>
      <c r="J50" s="3323" t="s">
        <v>1345</v>
      </c>
      <c r="K50" s="3323"/>
      <c r="L50" s="3323"/>
      <c r="M50" s="3323"/>
      <c r="N50" s="3323"/>
      <c r="O50" s="3323"/>
    </row>
    <row r="51" spans="1:35" ht="20.399999999999999" customHeight="1">
      <c r="A51" s="2338"/>
      <c r="B51" s="3240" t="s">
        <v>1346</v>
      </c>
      <c r="C51" s="3240"/>
      <c r="D51" s="1024"/>
      <c r="E51" s="319"/>
      <c r="F51" s="2232"/>
      <c r="G51" s="3312"/>
      <c r="H51" s="2136" t="s">
        <v>2134</v>
      </c>
      <c r="I51" s="2135"/>
      <c r="J51" s="2310" t="s">
        <v>1347</v>
      </c>
      <c r="K51" s="3304" t="s">
        <v>1348</v>
      </c>
      <c r="L51" s="3304"/>
      <c r="M51" s="2310" t="s">
        <v>1349</v>
      </c>
      <c r="N51" s="2310" t="s">
        <v>1350</v>
      </c>
      <c r="O51" s="2310" t="s">
        <v>1351</v>
      </c>
    </row>
    <row r="52" spans="1:35" ht="24" customHeight="1">
      <c r="A52" s="2153" t="s">
        <v>1352</v>
      </c>
      <c r="B52" s="3240" t="s">
        <v>1353</v>
      </c>
      <c r="C52" s="3240"/>
      <c r="D52" s="1024">
        <f ca="1">ROUND(D45*'数据-取费表'!B41/(1+'数据-取费表'!C42),0)</f>
        <v>10</v>
      </c>
      <c r="E52" s="1256" t="s">
        <v>1354</v>
      </c>
      <c r="F52" s="2339">
        <f>'数据-取费表'!B41</f>
        <v>5.6000000000000001E-2</v>
      </c>
      <c r="G52" s="2340"/>
      <c r="H52" s="2330"/>
      <c r="I52" s="1669"/>
      <c r="J52" s="2309">
        <v>1</v>
      </c>
      <c r="K52" s="3305" t="s">
        <v>1355</v>
      </c>
      <c r="L52" s="3305"/>
      <c r="M52" s="2311" t="b">
        <f>D48</f>
        <v>0</v>
      </c>
      <c r="N52" s="2309" t="str">
        <f>E48</f>
        <v>销售额×税（费）率</v>
      </c>
      <c r="O52" s="2312">
        <f>F48</f>
        <v>5.6000000000000001E-2</v>
      </c>
    </row>
    <row r="53" spans="1:35" ht="12" customHeight="1">
      <c r="A53" s="2153" t="s">
        <v>1356</v>
      </c>
      <c r="B53" s="3266" t="s">
        <v>2289</v>
      </c>
      <c r="C53" s="3267"/>
      <c r="D53" s="1024">
        <f ca="1">ROUND(D45*'数据-取费表'!B41/(1+'数据-取费表'!C42),0)</f>
        <v>10</v>
      </c>
      <c r="E53" s="1256" t="s">
        <v>1354</v>
      </c>
      <c r="F53" s="2339">
        <f>'数据-取费表'!B41</f>
        <v>5.6000000000000001E-2</v>
      </c>
      <c r="G53" s="2340"/>
      <c r="H53" s="2330"/>
      <c r="I53" s="1669"/>
      <c r="J53" s="2309">
        <v>2</v>
      </c>
      <c r="K53" s="3305" t="s">
        <v>1357</v>
      </c>
      <c r="L53" s="3305"/>
      <c r="M53" s="2311">
        <f t="shared" ref="M53:O54" ca="1" si="0">D55</f>
        <v>0</v>
      </c>
      <c r="N53" s="2309" t="str">
        <f t="shared" si="0"/>
        <v>销售额×税（费）率</v>
      </c>
      <c r="O53" s="2312" t="str">
        <f t="shared" si="0"/>
        <v>免征</v>
      </c>
    </row>
    <row r="54" spans="1:35" ht="12" customHeight="1">
      <c r="A54" s="2153" t="s">
        <v>1358</v>
      </c>
      <c r="B54" s="3266" t="s">
        <v>2290</v>
      </c>
      <c r="C54" s="3267"/>
      <c r="D54" s="1024">
        <f ca="1">C68</f>
        <v>10</v>
      </c>
      <c r="E54" s="319" t="s">
        <v>1359</v>
      </c>
      <c r="F54" s="2339">
        <f>'数据-取费表'!B41</f>
        <v>5.6000000000000001E-2</v>
      </c>
      <c r="G54" s="2340"/>
      <c r="H54" s="2341"/>
      <c r="I54" s="1669"/>
      <c r="J54" s="2309">
        <v>3</v>
      </c>
      <c r="K54" s="3305" t="s">
        <v>1360</v>
      </c>
      <c r="L54" s="3305"/>
      <c r="M54" s="2311">
        <f t="shared" ca="1" si="0"/>
        <v>111</v>
      </c>
      <c r="N54" s="2309" t="str">
        <f t="shared" si="0"/>
        <v>增值额×税（费）率</v>
      </c>
      <c r="O54" s="2313" t="str">
        <f t="shared" si="0"/>
        <v>免征</v>
      </c>
    </row>
    <row r="55" spans="1:35" ht="24" customHeight="1">
      <c r="A55" s="3255" t="s">
        <v>1361</v>
      </c>
      <c r="B55" s="3256"/>
      <c r="C55" s="3256"/>
      <c r="D55" s="12">
        <f ca="1">IF(H55="个人住宅",0,ROUND(D45*I55,0))</f>
        <v>0</v>
      </c>
      <c r="E55" s="1256" t="s">
        <v>1362</v>
      </c>
      <c r="F55" s="2339" t="str">
        <f>IF(H55="正常",I55,"免征")</f>
        <v>免征</v>
      </c>
      <c r="G55" s="2340"/>
      <c r="H55" s="2336"/>
      <c r="I55" s="157">
        <f>'数据-取费表'!B49</f>
        <v>5.0000000000000001E-4</v>
      </c>
      <c r="J55" s="2309">
        <f>IF(H59="非个人房产","",4)</f>
        <v>4</v>
      </c>
      <c r="K55" s="3305" t="str">
        <f>IF(H59="非个人房产","——","个人所得税")</f>
        <v>个人所得税</v>
      </c>
      <c r="L55" s="3305"/>
      <c r="M55" s="2314">
        <f ca="1">D59</f>
        <v>2</v>
      </c>
      <c r="N55" s="1883" t="str">
        <f>E59</f>
        <v>差额计税</v>
      </c>
      <c r="O55" s="2315">
        <f>F59</f>
        <v>0.01</v>
      </c>
    </row>
    <row r="56" spans="1:35" ht="25.2">
      <c r="A56" s="3255" t="s">
        <v>1363</v>
      </c>
      <c r="B56" s="3256"/>
      <c r="C56" s="3256"/>
      <c r="D56" s="12">
        <f ca="1">IF(H56="个人住宅",D57,D58)</f>
        <v>111</v>
      </c>
      <c r="E56" s="1256" t="s">
        <v>1364</v>
      </c>
      <c r="F56" s="2339" t="str">
        <f>IF(H56="正常",F58,"免征")</f>
        <v>免征</v>
      </c>
      <c r="G56" s="2342" t="s">
        <v>1365</v>
      </c>
      <c r="H56" s="2343"/>
      <c r="I56" s="1670"/>
      <c r="J56" s="2309" t="str">
        <f>IF(项目基本情况!K6="上海银行",IF(J55="",4,J55+1),"")</f>
        <v/>
      </c>
      <c r="K56" s="3328" t="str">
        <f>IF(项目基本情况!K6="上海银行","其他处置费用","")</f>
        <v/>
      </c>
      <c r="L56" s="3329"/>
      <c r="M56" s="2311" t="str">
        <f>IF(项目基本情况!K6="上海银行",M69,"")</f>
        <v/>
      </c>
      <c r="N56" s="3328" t="str">
        <f>IF(项目基本情况!K6="上海银行","包含处置中涉及的律师、诉讼、拍卖、评估等费用","")</f>
        <v/>
      </c>
      <c r="O56" s="3331"/>
    </row>
    <row r="57" spans="1:35" ht="13.2">
      <c r="A57" s="2153" t="s">
        <v>1341</v>
      </c>
      <c r="B57" s="3266" t="s">
        <v>1366</v>
      </c>
      <c r="C57" s="3267"/>
      <c r="D57" s="1478">
        <v>0</v>
      </c>
      <c r="E57" s="316" t="s">
        <v>1343</v>
      </c>
      <c r="F57" s="294"/>
      <c r="G57" s="2340"/>
      <c r="H57" s="2344"/>
      <c r="I57" s="1670"/>
      <c r="J57" s="3305">
        <f>IF(AND(J55="",J56=""),4,IF(项目基本情况!K6="上海银行",结果表!J56+1,结果表!J55+1))</f>
        <v>5</v>
      </c>
      <c r="K57" s="3305" t="s">
        <v>1367</v>
      </c>
      <c r="L57" s="2316" t="s">
        <v>1368</v>
      </c>
      <c r="M57" s="2317"/>
      <c r="N57" s="2318">
        <f ca="1">SUMIF(M52:M56,"&lt;9e307")</f>
        <v>113</v>
      </c>
      <c r="O57" s="2319"/>
      <c r="P57" s="2463">
        <f ca="1">N57/M49</f>
        <v>0.57653061224489799</v>
      </c>
    </row>
    <row r="58" spans="1:35" ht="25.2">
      <c r="A58" s="2153" t="s">
        <v>1352</v>
      </c>
      <c r="B58" s="3266" t="s">
        <v>1369</v>
      </c>
      <c r="C58" s="3240"/>
      <c r="D58" s="12">
        <f ca="1">IF(H58="转让取得",C81,C97)</f>
        <v>111</v>
      </c>
      <c r="E58" s="1256" t="s">
        <v>1364</v>
      </c>
      <c r="F58" s="294" t="s">
        <v>28</v>
      </c>
      <c r="G58" s="2340"/>
      <c r="H58" s="2343"/>
      <c r="I58" s="1670"/>
      <c r="J58" s="3305"/>
      <c r="K58" s="3305"/>
      <c r="L58" s="2316" t="s">
        <v>1370</v>
      </c>
      <c r="M58" s="2320"/>
      <c r="N58" s="2321" t="str">
        <f ca="1">NUMBERSTRING(INT(N57*10000),2)&amp;"元整"</f>
        <v>壹佰壹拾叁万元整</v>
      </c>
      <c r="O58" s="2322"/>
    </row>
    <row r="59" spans="1:35" ht="24.6" thickBot="1">
      <c r="A59" s="3308" t="s">
        <v>1371</v>
      </c>
      <c r="B59" s="3309"/>
      <c r="C59" s="3309"/>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306">
        <f>J57+1</f>
        <v>6</v>
      </c>
      <c r="K59" s="3305" t="s">
        <v>1372</v>
      </c>
      <c r="L59" s="2309" t="s">
        <v>1368</v>
      </c>
      <c r="M59" s="2323"/>
      <c r="N59" s="2324">
        <f ca="1">M49-N57</f>
        <v>83</v>
      </c>
      <c r="O59" s="2325"/>
    </row>
    <row r="60" spans="1:35" ht="12" customHeight="1">
      <c r="A60" s="1671"/>
      <c r="B60" s="646"/>
      <c r="C60" s="646"/>
      <c r="D60" s="646"/>
      <c r="E60" s="1466"/>
      <c r="F60" s="1670"/>
      <c r="G60" s="1670"/>
      <c r="H60" s="151"/>
      <c r="I60" s="121"/>
      <c r="J60" s="3307"/>
      <c r="K60" s="3305"/>
      <c r="L60" s="2316" t="s">
        <v>1370</v>
      </c>
      <c r="M60" s="2320"/>
      <c r="N60" s="2321" t="str">
        <f ca="1">NUMBERSTRING(INT(N59*10000),2)&amp;"元整"</f>
        <v>捌拾叁万元整</v>
      </c>
      <c r="O60" s="2322"/>
    </row>
    <row r="61" spans="1:35" ht="13.8" thickBot="1">
      <c r="A61" s="3253" t="s">
        <v>1373</v>
      </c>
      <c r="B61" s="3253"/>
      <c r="C61" s="3253"/>
      <c r="D61" s="3253"/>
      <c r="E61" s="3253"/>
      <c r="F61" s="1670"/>
      <c r="G61" s="1670"/>
      <c r="H61" s="151"/>
      <c r="I61" s="121"/>
      <c r="J61" s="2309">
        <f>J59+1</f>
        <v>7</v>
      </c>
      <c r="K61" s="3305" t="s">
        <v>1374</v>
      </c>
      <c r="L61" s="3305"/>
      <c r="M61" s="2326"/>
      <c r="N61" s="2327">
        <f ca="1">ROUND(N59*10000/'数据-汇总表'!E3,0)</f>
        <v>7899</v>
      </c>
      <c r="O61" s="2328"/>
    </row>
    <row r="62" spans="1:35" ht="13.2">
      <c r="A62" s="3271" t="s">
        <v>1375</v>
      </c>
      <c r="B62" s="3272"/>
      <c r="C62" s="1865"/>
      <c r="D62" s="1865" t="s">
        <v>1376</v>
      </c>
      <c r="E62" s="158" t="s">
        <v>1377</v>
      </c>
      <c r="F62" s="1670"/>
      <c r="G62" s="1670"/>
      <c r="H62" s="151"/>
      <c r="I62" s="121"/>
    </row>
    <row r="63" spans="1:35" ht="13.2">
      <c r="A63" s="165" t="s">
        <v>330</v>
      </c>
      <c r="B63" s="159" t="s">
        <v>1378</v>
      </c>
      <c r="C63" s="2349">
        <f ca="1">ROUND((C64+C65)/(1+'数据-取费表'!C42),0)</f>
        <v>187</v>
      </c>
      <c r="D63" s="159"/>
      <c r="E63" s="160"/>
      <c r="F63" s="1670"/>
      <c r="G63" s="1670"/>
      <c r="H63" s="151"/>
      <c r="I63" s="121"/>
      <c r="J63" s="3330" t="s">
        <v>1379</v>
      </c>
      <c r="K63" s="1245" t="s">
        <v>1380</v>
      </c>
      <c r="L63" s="1245">
        <f ca="1">IF(M49&gt;10000,M49*0.5%,IF(AND(M49&gt;1000,M49&lt;=10000),M49*1%,IF(AND(M49&gt;100,M49&lt;=1000),M49*3%,IF(AND(M49&gt;10,M49&lt;=100),M49*5%,M49*8%))))</f>
        <v>5.88</v>
      </c>
      <c r="M63" s="294">
        <f ca="1">ROUND(L63,1)</f>
        <v>5.9</v>
      </c>
      <c r="N63" s="2329"/>
      <c r="Z63" s="1623"/>
      <c r="AI63" s="1561"/>
    </row>
    <row r="64" spans="1:35" ht="14.25" customHeight="1">
      <c r="A64" s="161" t="s">
        <v>325</v>
      </c>
      <c r="B64" s="162" t="s">
        <v>1381</v>
      </c>
      <c r="C64" s="2350">
        <f ca="1">D45</f>
        <v>196</v>
      </c>
      <c r="D64" s="162" t="s">
        <v>26</v>
      </c>
      <c r="E64" s="164"/>
      <c r="F64" s="1670"/>
      <c r="G64" s="1670"/>
      <c r="H64" s="151"/>
      <c r="I64" s="121"/>
      <c r="J64" s="3330"/>
      <c r="K64" s="1245" t="s">
        <v>1382</v>
      </c>
      <c r="L64" s="1245">
        <f ca="1">IF(M49&gt;2000,M49*0.5%,IF(AND(M49&gt;1000,M49&lt;=2000),M49*0.6%,IF(AND(M49&gt;500,M49&lt;=1000),M49*0.7%,IF(AND(M49&gt;200,M49&lt;=500),M49*0.8%,IF(AND(M49&gt;100,M49&lt;=200),M49*0.9%,IF(AND(M49&gt;50,M49&lt;=100),M49*1%,IF(AND(M49&gt;20,M49&lt;=50),M49*1.5%,IF(AND(M49&gt;10,M49&lt;=20),M49*2%,IF(AND(M49&gt;1,M49&lt;=10),M49*2.5%)))))))))</f>
        <v>1.7640000000000002</v>
      </c>
      <c r="M64" s="294">
        <f t="shared" ref="M64:M65" ca="1" si="1">ROUND(L64,1)</f>
        <v>1.8</v>
      </c>
      <c r="N64" s="2330" t="s">
        <v>1383</v>
      </c>
      <c r="Z64" s="1623"/>
      <c r="AI64" s="1561"/>
    </row>
    <row r="65" spans="1:35" ht="14.25" customHeight="1">
      <c r="A65" s="161" t="s">
        <v>326</v>
      </c>
      <c r="B65" s="162" t="s">
        <v>1384</v>
      </c>
      <c r="C65" s="2351"/>
      <c r="D65" s="162"/>
      <c r="E65" s="164"/>
      <c r="F65" s="1670"/>
      <c r="G65" s="1670"/>
      <c r="H65" s="151"/>
      <c r="I65" s="121"/>
      <c r="J65" s="3330"/>
      <c r="K65" s="1245" t="s">
        <v>1385</v>
      </c>
      <c r="L65" s="1245">
        <f ca="1">IF(M49&gt;1000,M49*0.1%,IF(AND(M49&gt;500,M49&lt;=1000),M49*0.5%,IF(AND(M49&gt;50,M49&lt;=500),M49*1%,IF(AND(M49&gt;1,M49&lt;=50),M49*1.5%))))</f>
        <v>1.96</v>
      </c>
      <c r="M65" s="294">
        <f t="shared" ca="1" si="1"/>
        <v>2</v>
      </c>
      <c r="N65" s="2330" t="s">
        <v>1383</v>
      </c>
      <c r="Z65" s="1623"/>
      <c r="AI65" s="1561"/>
    </row>
    <row r="66" spans="1:35" ht="14.25" customHeight="1">
      <c r="A66" s="165" t="s">
        <v>327</v>
      </c>
      <c r="B66" s="166" t="s">
        <v>1386</v>
      </c>
      <c r="C66" s="2352"/>
      <c r="D66" s="166" t="s">
        <v>26</v>
      </c>
      <c r="E66" s="1251" t="s">
        <v>671</v>
      </c>
      <c r="F66" s="1670"/>
      <c r="G66" s="1670"/>
      <c r="H66" s="151"/>
      <c r="I66" s="121"/>
      <c r="J66" s="3330"/>
      <c r="K66" s="1245" t="s">
        <v>1387</v>
      </c>
      <c r="L66" s="1245">
        <f ca="1">M49*0.5%</f>
        <v>0.98</v>
      </c>
      <c r="M66" s="294">
        <f ca="1">IF(L66&gt;0.5,0.5,ROUND(L66,0))</f>
        <v>0.5</v>
      </c>
      <c r="N66" s="2330" t="s">
        <v>1388</v>
      </c>
      <c r="Z66" s="1623"/>
      <c r="AI66" s="1561"/>
    </row>
    <row r="67" spans="1:35" ht="14.25" customHeight="1">
      <c r="A67" s="165" t="s">
        <v>328</v>
      </c>
      <c r="B67" s="166" t="s">
        <v>1389</v>
      </c>
      <c r="C67" s="2353">
        <f ca="1">C63-C66</f>
        <v>187</v>
      </c>
      <c r="D67" s="162" t="s">
        <v>26</v>
      </c>
      <c r="E67" s="164"/>
      <c r="F67" s="1670"/>
      <c r="G67" s="1670"/>
      <c r="H67" s="151"/>
      <c r="I67" s="121"/>
      <c r="J67" s="3330"/>
      <c r="K67" s="1245" t="s">
        <v>1390</v>
      </c>
      <c r="L67" s="1245">
        <f ca="1">IF(M49&gt;=10000,(8.25+(M49-10000)*0.01%),IF(AND(M49&gt;=8000,M49&lt;10000),(7.85+(M49-8000)*0.02%),IF(AND(M49&gt;=5000,M49&lt;8000),(6.65+(M49-5000)*0.04%),IF(AND(M49&gt;=2000,M49&lt;5000),(4.25+(PM49-2000)*0.08%),IF(AND(M49&gt;=1000,M49&lt;2000),(2.75+(M49-1000)*0.15%),IF(AND(M49&gt;=100,M49&lt;1000),(0.5+(M49-100)*0.25%),IF(AND(M49&gt;0,M49&lt;100),M49*0.5%)))))))</f>
        <v>0.74</v>
      </c>
      <c r="M67" s="294">
        <f ca="1">ROUND(L67*0.9,1)</f>
        <v>0.7</v>
      </c>
      <c r="N67" s="2329"/>
      <c r="Z67" s="1623"/>
      <c r="AI67" s="1561"/>
    </row>
    <row r="68" spans="1:35" ht="14.25" customHeight="1" thickBot="1">
      <c r="A68" s="168" t="s">
        <v>329</v>
      </c>
      <c r="B68" s="169" t="s">
        <v>1391</v>
      </c>
      <c r="C68" s="2354">
        <f ca="1">IF(C67&lt;=0,0,ROUND(C67*D68,0))</f>
        <v>10</v>
      </c>
      <c r="D68" s="2355">
        <f>'数据-取费表'!B41</f>
        <v>5.6000000000000001E-2</v>
      </c>
      <c r="E68" s="170"/>
      <c r="F68" s="1670"/>
      <c r="G68" s="1670"/>
      <c r="H68" s="151"/>
      <c r="I68" s="121"/>
      <c r="J68" s="3330"/>
      <c r="K68" s="1245" t="s">
        <v>1392</v>
      </c>
      <c r="L68" s="1245">
        <f ca="1">IF(M49&gt;10000,M49*0.5%,IF(AND(M49&gt;5000,M49&lt;=10000),M49*1%,IF(AND(M49&gt;1000,M49&lt;=5000),M49*2%,IF(AND(M49&gt;200,M49&lt;=1000),M49*3%,M49*5%))))</f>
        <v>9.8000000000000007</v>
      </c>
      <c r="M68" s="294">
        <f ca="1">ROUND(L68,1)</f>
        <v>9.8000000000000007</v>
      </c>
      <c r="N68" s="2329"/>
      <c r="Z68" s="1623"/>
      <c r="AI68" s="1561"/>
    </row>
    <row r="69" spans="1:35" ht="16.5" customHeight="1">
      <c r="A69" s="1672"/>
      <c r="B69" s="1673"/>
      <c r="C69" s="1674"/>
      <c r="D69" s="1675"/>
      <c r="E69" s="1676"/>
      <c r="F69" s="1466"/>
      <c r="G69" s="1466"/>
      <c r="H69" s="1467"/>
      <c r="I69" s="646"/>
      <c r="J69" s="3330"/>
      <c r="K69" s="1245" t="s">
        <v>1393</v>
      </c>
      <c r="L69" s="1245"/>
      <c r="M69" s="294">
        <f ca="1">ROUND(SUM(M63:M68),0)</f>
        <v>21</v>
      </c>
      <c r="N69" s="2331">
        <f ca="1">M69/M49</f>
        <v>0.10714285714285714</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186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111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32" t="s">
        <v>2127</v>
      </c>
      <c r="H90" s="3333"/>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0" t="s">
        <v>1422</v>
      </c>
      <c r="F92" s="3251"/>
      <c r="G92" s="3251"/>
      <c r="H92" s="3260"/>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186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111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0" t="str">
        <f>C4</f>
        <v>比较法-办公</v>
      </c>
      <c r="D101" s="2371" t="str">
        <f>D4</f>
        <v>收益法 (元)</v>
      </c>
      <c r="E101" s="3327" t="s">
        <v>1431</v>
      </c>
      <c r="F101" s="3284"/>
      <c r="G101" s="1687" t="s">
        <v>1432</v>
      </c>
      <c r="H101" s="2380">
        <f ca="1">H118</f>
        <v>196</v>
      </c>
      <c r="I101" s="121"/>
    </row>
    <row r="102" spans="1:35" ht="18.75" customHeight="1">
      <c r="A102" s="3286" t="s">
        <v>1433</v>
      </c>
      <c r="B102" s="2369" t="s">
        <v>1432</v>
      </c>
      <c r="C102" s="2370">
        <f ca="1">IF(D32="楼面单价",ROUND(C19,0),C19)</f>
        <v>201</v>
      </c>
      <c r="D102" s="2371">
        <f ca="1">IF(D32="楼面单价",ROUND(D19,0),D19)</f>
        <v>190</v>
      </c>
      <c r="E102" s="3327"/>
      <c r="F102" s="3284"/>
      <c r="G102" s="1687" t="s">
        <v>1434</v>
      </c>
      <c r="H102" s="2340">
        <f ca="1">I118</f>
        <v>18609</v>
      </c>
      <c r="I102" s="121"/>
    </row>
    <row r="103" spans="1:35" ht="42.75" customHeight="1">
      <c r="A103" s="3286"/>
      <c r="B103" s="2369" t="s">
        <v>1434</v>
      </c>
      <c r="C103" s="2372">
        <f ca="1">C20</f>
        <v>19095</v>
      </c>
      <c r="D103" s="2373">
        <f ca="1">D20</f>
        <v>18123</v>
      </c>
      <c r="E103" s="3321" t="s">
        <v>1435</v>
      </c>
      <c r="F103" s="3322"/>
      <c r="G103" s="1688" t="s">
        <v>1436</v>
      </c>
      <c r="H103" s="2380">
        <f>IF(D36="正常操作",H104+H105+H106,H105+H106)</f>
        <v>0</v>
      </c>
      <c r="I103" s="121"/>
    </row>
    <row r="104" spans="1:35" ht="18.75" customHeight="1">
      <c r="A104" s="3286" t="s">
        <v>1437</v>
      </c>
      <c r="B104" s="2374" t="s">
        <v>1432</v>
      </c>
      <c r="C104" s="2375">
        <f ca="1">H118</f>
        <v>196</v>
      </c>
      <c r="D104" s="2376"/>
      <c r="E104" s="1555" t="s">
        <v>1438</v>
      </c>
      <c r="F104" s="1548"/>
      <c r="G104" s="1688" t="s">
        <v>1436</v>
      </c>
      <c r="H104" s="2381">
        <f>IF(D36="同一抵押权人同一抵押物续贷",C36&amp;"（续贷，未扣减，详见特别提示）",C36)</f>
        <v>0</v>
      </c>
      <c r="I104" s="121"/>
    </row>
    <row r="105" spans="1:35" ht="18.75" customHeight="1" thickBot="1">
      <c r="A105" s="3287"/>
      <c r="B105" s="2377" t="s">
        <v>1434</v>
      </c>
      <c r="C105" s="2378">
        <f ca="1">I118</f>
        <v>18609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3" t="str">
        <f>IF(项目基本情况!E8="已注销","——","3.房地产抵押价值")</f>
        <v>3.房地产抵押价值</v>
      </c>
      <c r="F107" s="3284"/>
      <c r="G107" s="1687" t="s">
        <v>1432</v>
      </c>
      <c r="H107" s="2380">
        <f ca="1">IF(E107="——","——",H101-H103)</f>
        <v>196</v>
      </c>
      <c r="I107" s="121"/>
    </row>
    <row r="108" spans="1:35" ht="18.75" customHeight="1">
      <c r="A108" s="121"/>
      <c r="B108" s="121"/>
      <c r="C108" s="121"/>
      <c r="D108" s="121"/>
      <c r="E108" s="3283"/>
      <c r="F108" s="3284"/>
      <c r="G108" s="1687" t="s">
        <v>1434</v>
      </c>
      <c r="H108" s="2340">
        <f ca="1">IF(H107=H101,H102,ROUND(H107*10000/'数据-汇总表'!E3,0))</f>
        <v>18609</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3" t="str">
        <f>IF(E109="——","——",H101-H105-H106)</f>
        <v>——</v>
      </c>
      <c r="I109" s="121"/>
    </row>
    <row r="110" spans="1:35" ht="18.75" customHeight="1">
      <c r="A110" s="121"/>
      <c r="B110" s="121"/>
      <c r="C110" s="121"/>
      <c r="D110" s="121"/>
      <c r="E110" s="3283"/>
      <c r="F110" s="3284"/>
      <c r="G110" s="1687"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16"/>
      <c r="F112" s="3317"/>
      <c r="G112" s="1690" t="s">
        <v>1434</v>
      </c>
      <c r="H112" s="2384"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北京市朝阳区百子湾西里403号楼16层1605、1606、1612房地产</v>
      </c>
      <c r="B118" s="2150">
        <f>M18</f>
        <v>105.08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196</v>
      </c>
      <c r="I118" s="2150">
        <f ca="1">ROUND(IF(D32="楼面单价",C32,H118*10000/B118),0)</f>
        <v>18609</v>
      </c>
    </row>
    <row r="119" spans="1:27" ht="18.75" customHeight="1">
      <c r="A119" s="3254" t="s">
        <v>1452</v>
      </c>
      <c r="B119" s="3254"/>
      <c r="C119" s="3254"/>
      <c r="D119" s="3294" t="str">
        <f>NUMBERSTRING(INT(D118*10000),2)&amp;"元整"</f>
        <v>零元整</v>
      </c>
      <c r="E119" s="3296"/>
      <c r="F119" s="3294" t="str">
        <f>NUMBERSTRING(INT(F118*10000),2)&amp;"元整"</f>
        <v>零元整</v>
      </c>
      <c r="G119" s="3296"/>
      <c r="H119" s="3294" t="str">
        <f ca="1">NUMBERSTRING(INT(H118*10000),2)&amp;"元整"</f>
        <v>壹佰玖拾陆万元整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196</v>
      </c>
      <c r="E122" s="3319"/>
      <c r="F122" s="3319"/>
      <c r="G122" s="3319"/>
      <c r="H122" s="3319"/>
      <c r="I122" s="3320"/>
      <c r="AA122" s="684"/>
    </row>
    <row r="123" spans="1:27" ht="18.75" customHeight="1">
      <c r="A123" s="3254" t="s">
        <v>1452</v>
      </c>
      <c r="B123" s="3254"/>
      <c r="C123" s="3254"/>
      <c r="D123" s="3294" t="str">
        <f ca="1">NUMBERSTRING(INT(D122*10000),2)&amp;"元整"</f>
        <v>壹佰玖拾陆万元整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4473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105.08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5.9999999999999995E-4</v>
      </c>
      <c r="D44" s="230"/>
      <c r="E44" s="230"/>
      <c r="F44" s="231"/>
      <c r="G44" s="3336"/>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45</v>
      </c>
      <c r="D51" s="224"/>
      <c r="E51" s="224"/>
      <c r="F51" s="256"/>
      <c r="G51" s="226" t="s">
        <v>1560</v>
      </c>
    </row>
    <row r="52" spans="1:7" s="200" customFormat="1" ht="16.8"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北京市朝阳区百子湾西里403号楼16层1605、1606、1612房地产抵押价值预评估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-190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105.08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2107</v>
      </c>
      <c r="E6" s="294" t="s">
        <v>696</v>
      </c>
      <c r="F6" s="295">
        <f ca="1">INDIRECT("'数据-取费表'!u"&amp;$G$1)</f>
        <v>0</v>
      </c>
      <c r="G6" s="1292"/>
      <c r="H6" s="1006" t="s">
        <v>398</v>
      </c>
      <c r="I6" s="3339" t="s">
        <v>694</v>
      </c>
      <c r="J6" s="293">
        <f ca="1">ROUND(M6*M8*M7*(1-M9)/10000,0)</f>
        <v>0</v>
      </c>
      <c r="K6" s="147" t="s">
        <v>2106</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2" customHeight="1">
      <c r="A2" s="1293" t="s">
        <v>2313</v>
      </c>
      <c r="B2" s="2593" t="e">
        <f>IF(D2="——",C40,C40+E2)</f>
        <v>#DIV/0!</v>
      </c>
      <c r="C2" s="2594" t="s">
        <v>2314</v>
      </c>
      <c r="D2" s="3137" t="s">
        <v>3357</v>
      </c>
      <c r="E2" s="3138"/>
      <c r="F2" s="2596"/>
      <c r="G2" s="2597"/>
      <c r="H2" s="2598"/>
      <c r="I2" s="2599"/>
      <c r="J2" s="3348" t="s">
        <v>2315</v>
      </c>
      <c r="K2" s="3349"/>
      <c r="L2" s="2600" t="s">
        <v>2316</v>
      </c>
      <c r="M2" s="2600" t="s">
        <v>2317</v>
      </c>
      <c r="N2" s="2600" t="s">
        <v>2318</v>
      </c>
      <c r="O2" s="2600" t="s">
        <v>2319</v>
      </c>
      <c r="P2" s="2600" t="s">
        <v>2320</v>
      </c>
      <c r="Q2" s="2601" t="s">
        <v>2321</v>
      </c>
      <c r="R2" s="2602" t="s">
        <v>2322</v>
      </c>
      <c r="S2" s="2591"/>
      <c r="T2" s="2591"/>
      <c r="U2" s="2591"/>
      <c r="V2" s="2599"/>
    </row>
    <row r="3" spans="1:22" s="2603" customFormat="1" ht="13.2" customHeight="1">
      <c r="A3" s="2604" t="s">
        <v>2323</v>
      </c>
      <c r="B3" s="2605" t="e">
        <f>ROUND(B2*10000/B4,0)</f>
        <v>#DIV/0!</v>
      </c>
      <c r="C3" s="2594" t="s">
        <v>2324</v>
      </c>
      <c r="D3" s="2594"/>
      <c r="E3" s="2595"/>
      <c r="F3" s="2596"/>
      <c r="G3" s="2597"/>
      <c r="H3" s="2598"/>
      <c r="I3" s="2599"/>
      <c r="J3" s="3350" t="s">
        <v>2325</v>
      </c>
      <c r="K3" s="3351"/>
      <c r="L3" s="2606"/>
      <c r="M3" s="2606"/>
      <c r="N3" s="2606"/>
      <c r="O3" s="2606"/>
      <c r="P3" s="2606"/>
      <c r="Q3" s="2607"/>
      <c r="R3" s="2608">
        <f>SUM(L3:Q3)</f>
        <v>0</v>
      </c>
      <c r="S3" s="2591"/>
      <c r="T3" s="2591"/>
      <c r="U3" s="2591"/>
      <c r="V3" s="2599"/>
    </row>
    <row r="4" spans="1:22" s="2603" customFormat="1" ht="13.2" customHeight="1">
      <c r="A4" s="2609" t="s">
        <v>2326</v>
      </c>
      <c r="B4" s="2610"/>
      <c r="C4" s="2594"/>
      <c r="D4" s="2594"/>
      <c r="E4" s="2595"/>
      <c r="F4" s="2596"/>
      <c r="G4" s="2597"/>
      <c r="H4" s="2598"/>
      <c r="I4" s="2599"/>
      <c r="J4" s="3350" t="s">
        <v>2327</v>
      </c>
      <c r="K4" s="3351"/>
      <c r="L4" s="2611"/>
      <c r="M4" s="2611"/>
      <c r="N4" s="2611"/>
      <c r="O4" s="2611"/>
      <c r="P4" s="2611"/>
      <c r="Q4" s="2612"/>
      <c r="R4" s="2613">
        <f>SUM(L4:Q4)</f>
        <v>0</v>
      </c>
      <c r="S4" s="2591"/>
      <c r="T4" s="2591"/>
      <c r="U4" s="2591"/>
      <c r="V4" s="2599"/>
    </row>
    <row r="5" spans="1:22" s="2603" customFormat="1" ht="13.2"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2" customHeight="1" thickBot="1">
      <c r="A6" s="3356" t="s">
        <v>2331</v>
      </c>
      <c r="B6" s="3357"/>
      <c r="C6" s="3358"/>
      <c r="D6" s="2620"/>
      <c r="E6" s="2621"/>
      <c r="F6" s="2622"/>
      <c r="G6" s="2623"/>
      <c r="H6" s="2598"/>
      <c r="I6" s="2599"/>
      <c r="J6" s="3342">
        <v>1</v>
      </c>
      <c r="K6" s="3343"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2" customHeight="1">
      <c r="A7" s="2626" t="s">
        <v>2341</v>
      </c>
      <c r="B7" s="2627"/>
      <c r="C7" s="2628"/>
      <c r="D7" s="2629">
        <f>SUM(D9,D10,D11,D17,0)</f>
        <v>0</v>
      </c>
      <c r="E7" s="2630" t="e">
        <f>E9+E10+E11+E17</f>
        <v>#DIV/0!</v>
      </c>
      <c r="F7" s="2631"/>
      <c r="G7" s="2632"/>
      <c r="H7" s="2598"/>
      <c r="I7" s="2599"/>
      <c r="J7" s="3342"/>
      <c r="K7" s="3344"/>
      <c r="L7" s="2633" t="s">
        <v>2342</v>
      </c>
      <c r="M7" s="2634"/>
      <c r="N7" s="2610"/>
      <c r="O7" s="2635"/>
      <c r="P7" s="2635"/>
      <c r="Q7" s="2636">
        <v>365</v>
      </c>
      <c r="R7" s="2637">
        <f>ROUND(M7*N7*O7*P7*Q7/10000,0)</f>
        <v>0</v>
      </c>
      <c r="S7" s="2591"/>
      <c r="T7" s="2591" t="s">
        <v>2343</v>
      </c>
      <c r="U7" s="2591"/>
      <c r="V7" s="2599"/>
    </row>
    <row r="8" spans="1:22" s="2603" customFormat="1" ht="13.2" customHeight="1">
      <c r="A8" s="2638" t="s">
        <v>2344</v>
      </c>
      <c r="B8" s="3359" t="s">
        <v>2345</v>
      </c>
      <c r="C8" s="3360"/>
      <c r="D8" s="2639" t="s">
        <v>2346</v>
      </c>
      <c r="E8" s="2640" t="s">
        <v>2347</v>
      </c>
      <c r="F8" s="2641" t="s">
        <v>2348</v>
      </c>
      <c r="G8" s="2642"/>
      <c r="H8" s="2598"/>
      <c r="I8" s="2599"/>
      <c r="J8" s="3342"/>
      <c r="K8" s="3344"/>
      <c r="L8" s="2633" t="s">
        <v>2349</v>
      </c>
      <c r="M8" s="2634"/>
      <c r="N8" s="2610"/>
      <c r="O8" s="2635"/>
      <c r="P8" s="2635"/>
      <c r="Q8" s="2636">
        <v>365</v>
      </c>
      <c r="R8" s="2637">
        <f t="shared" ref="R8:R13" si="0">ROUND(M8*N8*O8*P8*Q8/10000,0)</f>
        <v>0</v>
      </c>
      <c r="S8" s="2591"/>
      <c r="T8" s="2591" t="s">
        <v>2350</v>
      </c>
      <c r="U8" s="2591"/>
      <c r="V8" s="2599"/>
    </row>
    <row r="9" spans="1:22" s="2603" customFormat="1" ht="13.2" customHeight="1">
      <c r="A9" s="2638">
        <v>1</v>
      </c>
      <c r="B9" s="3359" t="s">
        <v>2351</v>
      </c>
      <c r="C9" s="3360"/>
      <c r="D9" s="2639">
        <f>ROUND(D6*E9,0)</f>
        <v>0</v>
      </c>
      <c r="E9" s="2643"/>
      <c r="F9" s="2644" t="s">
        <v>2352</v>
      </c>
      <c r="G9" s="2623"/>
      <c r="H9" s="2598"/>
      <c r="I9" s="2599"/>
      <c r="J9" s="3342"/>
      <c r="K9" s="3344"/>
      <c r="L9" s="2633" t="s">
        <v>2353</v>
      </c>
      <c r="M9" s="2634"/>
      <c r="N9" s="2610"/>
      <c r="O9" s="2635"/>
      <c r="P9" s="2635"/>
      <c r="Q9" s="2636">
        <v>365</v>
      </c>
      <c r="R9" s="2637">
        <f t="shared" si="0"/>
        <v>0</v>
      </c>
      <c r="S9" s="2591"/>
      <c r="T9" s="2591"/>
      <c r="U9" s="2591"/>
      <c r="V9" s="2599"/>
    </row>
    <row r="10" spans="1:22" s="2603" customFormat="1" ht="13.2" customHeight="1">
      <c r="A10" s="2638">
        <v>2</v>
      </c>
      <c r="B10" s="3359" t="s">
        <v>2354</v>
      </c>
      <c r="C10" s="3360"/>
      <c r="D10" s="2639">
        <f>ROUND(D6*E10,0)</f>
        <v>0</v>
      </c>
      <c r="E10" s="2643"/>
      <c r="F10" s="2644" t="s">
        <v>2355</v>
      </c>
      <c r="G10" s="2623"/>
      <c r="H10" s="2598"/>
      <c r="I10" s="2599"/>
      <c r="J10" s="3342"/>
      <c r="K10" s="3344"/>
      <c r="L10" s="2633" t="s">
        <v>2356</v>
      </c>
      <c r="M10" s="2634"/>
      <c r="N10" s="2610"/>
      <c r="O10" s="2635"/>
      <c r="P10" s="2635"/>
      <c r="Q10" s="2636">
        <v>365</v>
      </c>
      <c r="R10" s="2637">
        <f t="shared" si="0"/>
        <v>0</v>
      </c>
      <c r="S10" s="2591"/>
      <c r="T10" s="2591"/>
      <c r="U10" s="2591"/>
      <c r="V10" s="2599"/>
    </row>
    <row r="11" spans="1:22" s="2603" customFormat="1" ht="13.2" customHeight="1">
      <c r="A11" s="2638">
        <v>3</v>
      </c>
      <c r="B11" s="3359" t="s">
        <v>2357</v>
      </c>
      <c r="C11" s="3360"/>
      <c r="D11" s="2639">
        <f>D12+D14+D15+D16</f>
        <v>0</v>
      </c>
      <c r="E11" s="2645" t="e">
        <f>D11/D6</f>
        <v>#DIV/0!</v>
      </c>
      <c r="F11" s="2641"/>
      <c r="G11" s="2642"/>
      <c r="H11" s="2598"/>
      <c r="I11" s="2599"/>
      <c r="J11" s="3342"/>
      <c r="K11" s="3344"/>
      <c r="L11" s="2633" t="s">
        <v>2358</v>
      </c>
      <c r="M11" s="2634"/>
      <c r="N11" s="2610"/>
      <c r="O11" s="2635"/>
      <c r="P11" s="2635"/>
      <c r="Q11" s="2636">
        <v>365</v>
      </c>
      <c r="R11" s="2637">
        <f t="shared" si="0"/>
        <v>0</v>
      </c>
      <c r="S11" s="2591"/>
      <c r="T11" s="2591"/>
      <c r="U11" s="2591"/>
      <c r="V11" s="2599"/>
    </row>
    <row r="12" spans="1:22" s="2603" customFormat="1" ht="13.2" customHeight="1">
      <c r="A12" s="2646" t="s">
        <v>2359</v>
      </c>
      <c r="B12" s="3352" t="s">
        <v>2360</v>
      </c>
      <c r="C12" s="3353"/>
      <c r="D12" s="2647">
        <f>ROUND(D13*1.2%*(1-30%),0)</f>
        <v>0</v>
      </c>
      <c r="E12" s="2648">
        <v>1.2E-2</v>
      </c>
      <c r="F12" s="2641" t="s">
        <v>2361</v>
      </c>
      <c r="G12" s="2642"/>
      <c r="H12" s="2598"/>
      <c r="I12" s="2599"/>
      <c r="J12" s="3342"/>
      <c r="K12" s="3344"/>
      <c r="L12" s="2633" t="s">
        <v>2362</v>
      </c>
      <c r="M12" s="2634"/>
      <c r="N12" s="2610"/>
      <c r="O12" s="2635"/>
      <c r="P12" s="2635"/>
      <c r="Q12" s="2636">
        <v>365</v>
      </c>
      <c r="R12" s="2637">
        <f t="shared" si="0"/>
        <v>0</v>
      </c>
      <c r="S12" s="2591"/>
      <c r="T12" s="2591"/>
      <c r="U12" s="2591"/>
      <c r="V12" s="2599"/>
    </row>
    <row r="13" spans="1:22" s="2603" customFormat="1" ht="13.2" customHeight="1">
      <c r="A13" s="2646"/>
      <c r="B13" s="2649"/>
      <c r="C13" s="2650" t="s">
        <v>2363</v>
      </c>
      <c r="D13" s="2651"/>
      <c r="E13" s="2652"/>
      <c r="F13" s="2641"/>
      <c r="G13" s="2642"/>
      <c r="H13" s="2598"/>
      <c r="I13" s="2599"/>
      <c r="J13" s="3342"/>
      <c r="K13" s="3344"/>
      <c r="L13" s="2633" t="s">
        <v>2364</v>
      </c>
      <c r="M13" s="2634"/>
      <c r="N13" s="2610"/>
      <c r="O13" s="2635"/>
      <c r="P13" s="2635"/>
      <c r="Q13" s="2636">
        <v>365</v>
      </c>
      <c r="R13" s="2637">
        <f t="shared" si="0"/>
        <v>0</v>
      </c>
      <c r="S13" s="2591"/>
      <c r="T13" s="2591"/>
      <c r="U13" s="2591"/>
      <c r="V13" s="2599"/>
    </row>
    <row r="14" spans="1:22" s="2603" customFormat="1" ht="13.2" customHeight="1">
      <c r="A14" s="2646" t="s">
        <v>2365</v>
      </c>
      <c r="B14" s="3352" t="s">
        <v>2366</v>
      </c>
      <c r="C14" s="3353"/>
      <c r="D14" s="2647">
        <f>ROUND(E14*B5/10000,0)</f>
        <v>0</v>
      </c>
      <c r="E14" s="2636"/>
      <c r="F14" s="2641" t="s">
        <v>2367</v>
      </c>
      <c r="G14" s="2642"/>
      <c r="H14" s="2598"/>
      <c r="I14" s="2599"/>
      <c r="J14" s="3342"/>
      <c r="K14" s="3345"/>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2369</v>
      </c>
      <c r="B15" s="3352" t="s">
        <v>2370</v>
      </c>
      <c r="C15" s="3353"/>
      <c r="D15" s="2647">
        <f>ROUND(D6*E15,0)</f>
        <v>0</v>
      </c>
      <c r="E15" s="2648">
        <v>5.5E-2</v>
      </c>
      <c r="F15" s="2641" t="s">
        <v>2371</v>
      </c>
      <c r="G15" s="2623"/>
      <c r="H15" s="2598"/>
      <c r="I15" s="2599"/>
      <c r="J15" s="3342">
        <v>2</v>
      </c>
      <c r="K15" s="3343"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2" customHeight="1">
      <c r="A16" s="2646" t="s">
        <v>2378</v>
      </c>
      <c r="B16" s="3352" t="s">
        <v>2379</v>
      </c>
      <c r="C16" s="3353"/>
      <c r="D16" s="2658">
        <f>D6*E16</f>
        <v>0</v>
      </c>
      <c r="E16" s="2659"/>
      <c r="F16" s="2644" t="s">
        <v>2380</v>
      </c>
      <c r="G16" s="2623"/>
      <c r="H16" s="2598"/>
      <c r="I16" s="2599"/>
      <c r="J16" s="3342"/>
      <c r="K16" s="3344"/>
      <c r="L16" s="2633" t="s">
        <v>2381</v>
      </c>
      <c r="M16" s="2634"/>
      <c r="N16" s="2634"/>
      <c r="O16" s="2635"/>
      <c r="P16" s="2636">
        <v>365</v>
      </c>
      <c r="Q16" s="2610"/>
      <c r="R16" s="2657">
        <f>ROUND(M16*N16*O16*P16/10000,0)</f>
        <v>0</v>
      </c>
      <c r="S16" s="2591"/>
      <c r="T16" s="2591"/>
      <c r="U16" s="2591"/>
      <c r="V16" s="2599"/>
    </row>
    <row r="17" spans="1:22" s="2603" customFormat="1" ht="13.2" customHeight="1" thickBot="1">
      <c r="A17" s="2660">
        <v>4</v>
      </c>
      <c r="B17" s="3354" t="s">
        <v>2382</v>
      </c>
      <c r="C17" s="3355"/>
      <c r="D17" s="2661">
        <f>ROUND(D6*E17,0)</f>
        <v>0</v>
      </c>
      <c r="E17" s="2662"/>
      <c r="F17" s="2663" t="s">
        <v>2383</v>
      </c>
      <c r="G17" s="2623"/>
      <c r="H17" s="2598"/>
      <c r="I17" s="2599"/>
      <c r="J17" s="3342"/>
      <c r="K17" s="3344"/>
      <c r="L17" s="2633" t="s">
        <v>2384</v>
      </c>
      <c r="M17" s="2634"/>
      <c r="N17" s="2634"/>
      <c r="O17" s="2635"/>
      <c r="P17" s="2636">
        <v>365</v>
      </c>
      <c r="Q17" s="2610"/>
      <c r="R17" s="2657">
        <f>ROUND(M17*N17*O17*P17/10000,0)</f>
        <v>0</v>
      </c>
      <c r="S17" s="2591"/>
      <c r="T17" s="2591"/>
      <c r="U17" s="2591"/>
      <c r="V17" s="2599"/>
    </row>
    <row r="18" spans="1:22" s="2603" customFormat="1" ht="13.2" customHeight="1" thickBot="1">
      <c r="A18" s="2626" t="s">
        <v>2385</v>
      </c>
      <c r="B18" s="2627"/>
      <c r="C18" s="2627"/>
      <c r="D18" s="2664">
        <f>ROUND(D6*E18,0)</f>
        <v>0</v>
      </c>
      <c r="E18" s="2665"/>
      <c r="F18" s="2666" t="s">
        <v>2386</v>
      </c>
      <c r="G18" s="2623"/>
      <c r="H18" s="2598"/>
      <c r="I18" s="2599"/>
      <c r="J18" s="3342"/>
      <c r="K18" s="3344"/>
      <c r="L18" s="2633" t="s">
        <v>2387</v>
      </c>
      <c r="M18" s="2634"/>
      <c r="N18" s="2634"/>
      <c r="O18" s="2635"/>
      <c r="P18" s="2636">
        <v>365</v>
      </c>
      <c r="Q18" s="2610"/>
      <c r="R18" s="2657">
        <f>ROUND(M18*N18*O18*P18/10000,0)</f>
        <v>0</v>
      </c>
      <c r="S18" s="2591"/>
      <c r="T18" s="2591"/>
      <c r="U18" s="2591"/>
      <c r="V18" s="2599"/>
    </row>
    <row r="19" spans="1:22" s="2603" customFormat="1" ht="13.2" customHeight="1" thickBot="1">
      <c r="A19" s="2667" t="s">
        <v>2388</v>
      </c>
      <c r="B19" s="2621"/>
      <c r="C19" s="2621"/>
      <c r="D19" s="2621"/>
      <c r="E19" s="2621"/>
      <c r="F19" s="2622"/>
      <c r="G19" s="2642"/>
      <c r="H19" s="2598"/>
      <c r="I19" s="2599"/>
      <c r="J19" s="3342"/>
      <c r="K19" s="3345"/>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2">
        <v>3</v>
      </c>
      <c r="K20" s="3343"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2" customHeight="1">
      <c r="A21" s="2626"/>
      <c r="B21" s="2627"/>
      <c r="C21" s="2672" t="s">
        <v>2397</v>
      </c>
      <c r="D21" s="2673" t="s">
        <v>2398</v>
      </c>
      <c r="E21" s="2674" t="s">
        <v>2399</v>
      </c>
      <c r="F21" s="2670"/>
      <c r="G21" s="2642"/>
      <c r="H21" s="2598"/>
      <c r="I21" s="2599"/>
      <c r="J21" s="3342"/>
      <c r="K21" s="3344"/>
      <c r="L21" s="2633" t="s">
        <v>2400</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2401</v>
      </c>
      <c r="D22" s="2677" t="s">
        <v>2402</v>
      </c>
      <c r="E22" s="2678" t="s">
        <v>2403</v>
      </c>
      <c r="F22" s="2670"/>
      <c r="G22" s="2591"/>
      <c r="H22" s="2598"/>
      <c r="I22" s="2599"/>
      <c r="J22" s="3342"/>
      <c r="K22" s="3344"/>
      <c r="L22" s="2633" t="s">
        <v>2404</v>
      </c>
      <c r="M22" s="2634"/>
      <c r="N22" s="2634"/>
      <c r="O22" s="2635"/>
      <c r="P22" s="2636">
        <v>365</v>
      </c>
      <c r="Q22" s="2610"/>
      <c r="R22" s="2675">
        <f>ROUND(M22*N22*O22*P22/10000,0)</f>
        <v>0</v>
      </c>
      <c r="S22" s="2591"/>
      <c r="T22" s="2591"/>
      <c r="U22" s="2591"/>
      <c r="V22" s="2599"/>
    </row>
    <row r="23" spans="1:22" s="2603" customFormat="1" ht="13.2" customHeight="1">
      <c r="A23" s="2679">
        <v>1</v>
      </c>
      <c r="B23" s="2680" t="s">
        <v>2405</v>
      </c>
      <c r="C23" s="2681">
        <f>D6</f>
        <v>0</v>
      </c>
      <c r="D23" s="2682">
        <f>C23*(1+D24)</f>
        <v>0</v>
      </c>
      <c r="E23" s="2683">
        <f>D23*(1+E24)</f>
        <v>0</v>
      </c>
      <c r="F23" s="2684"/>
      <c r="G23" s="2685"/>
      <c r="H23" s="2598"/>
      <c r="I23" s="2599"/>
      <c r="J23" s="3342"/>
      <c r="K23" s="3344"/>
      <c r="L23" s="2633" t="s">
        <v>2406</v>
      </c>
      <c r="M23" s="2634"/>
      <c r="N23" s="2634"/>
      <c r="O23" s="2635"/>
      <c r="P23" s="2636">
        <v>365</v>
      </c>
      <c r="Q23" s="2610"/>
      <c r="R23" s="2675">
        <f>ROUND(M23*N23*O23*P23/10000,0)</f>
        <v>0</v>
      </c>
      <c r="S23" s="2591"/>
      <c r="T23" s="2591"/>
      <c r="U23" s="2591"/>
      <c r="V23" s="2599"/>
    </row>
    <row r="24" spans="1:22" s="2603" customFormat="1" ht="13.2" customHeight="1">
      <c r="A24" s="2686"/>
      <c r="B24" s="2687" t="s">
        <v>2407</v>
      </c>
      <c r="C24" s="2688"/>
      <c r="D24" s="2689"/>
      <c r="E24" s="2690"/>
      <c r="F24" s="2691"/>
      <c r="G24" s="2685"/>
      <c r="H24" s="2598"/>
      <c r="I24" s="2599"/>
      <c r="J24" s="3342"/>
      <c r="K24" s="3345"/>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2" customHeight="1">
      <c r="A26" s="2679">
        <v>2</v>
      </c>
      <c r="B26" s="2680" t="s">
        <v>2409</v>
      </c>
      <c r="C26" s="2681">
        <f>D7</f>
        <v>0</v>
      </c>
      <c r="D26" s="2682">
        <f>D23*D27</f>
        <v>0</v>
      </c>
      <c r="E26" s="2683">
        <f>E23*E27</f>
        <v>0</v>
      </c>
      <c r="F26" s="2684"/>
      <c r="G26" s="2685"/>
      <c r="H26" s="2598"/>
      <c r="I26" s="2599"/>
      <c r="J26" s="3346">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2" customHeight="1">
      <c r="A27" s="2686"/>
      <c r="B27" s="2687" t="s">
        <v>2415</v>
      </c>
      <c r="C27" s="2704" t="e">
        <f>E7</f>
        <v>#DIV/0!</v>
      </c>
      <c r="D27" s="2689"/>
      <c r="E27" s="2690"/>
      <c r="F27" s="2691"/>
      <c r="G27" s="2685"/>
      <c r="H27" s="2705"/>
      <c r="I27" s="2697"/>
      <c r="J27" s="334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2"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2" customHeight="1">
      <c r="A32" s="2679">
        <v>4</v>
      </c>
      <c r="B32" s="2680" t="s">
        <v>2423</v>
      </c>
      <c r="C32" s="2681">
        <f>C23-C26-C29</f>
        <v>0</v>
      </c>
      <c r="D32" s="2682">
        <f>D23-D26-D29</f>
        <v>0</v>
      </c>
      <c r="E32" s="2683">
        <f>E23-E26-E29</f>
        <v>0</v>
      </c>
      <c r="F32" s="2684"/>
      <c r="G32" s="2591"/>
      <c r="H32" s="2598"/>
      <c r="I32" s="2599"/>
      <c r="J32" s="3348" t="s">
        <v>2315</v>
      </c>
      <c r="K32" s="3349"/>
      <c r="L32" s="2600" t="s">
        <v>2316</v>
      </c>
      <c r="M32" s="2600" t="s">
        <v>2317</v>
      </c>
      <c r="N32" s="2600" t="s">
        <v>2318</v>
      </c>
      <c r="O32" s="2600" t="s">
        <v>2319</v>
      </c>
      <c r="P32" s="2600" t="s">
        <v>2320</v>
      </c>
      <c r="Q32" s="2601" t="s">
        <v>2321</v>
      </c>
      <c r="R32" s="2720" t="s">
        <v>2322</v>
      </c>
      <c r="S32" s="2591"/>
      <c r="T32" s="2591"/>
      <c r="U32" s="2591"/>
      <c r="V32" s="2697"/>
    </row>
    <row r="33" spans="1:23" s="2603" customFormat="1" ht="13.2" customHeight="1">
      <c r="A33" s="2679"/>
      <c r="B33" s="2680"/>
      <c r="C33" s="2681"/>
      <c r="D33" s="2721"/>
      <c r="E33" s="2722"/>
      <c r="F33" s="2684"/>
      <c r="G33" s="2591"/>
      <c r="H33" s="2705"/>
      <c r="I33" s="2697"/>
      <c r="J33" s="3350" t="s">
        <v>2325</v>
      </c>
      <c r="K33" s="3351"/>
      <c r="L33" s="2606"/>
      <c r="M33" s="2606"/>
      <c r="N33" s="2606"/>
      <c r="O33" s="2606"/>
      <c r="P33" s="2606"/>
      <c r="Q33" s="2607"/>
      <c r="R33" s="2723">
        <f>SUM(L33:Q33)</f>
        <v>0</v>
      </c>
      <c r="S33" s="2591"/>
      <c r="T33" s="2591"/>
      <c r="U33" s="2591"/>
      <c r="V33" s="2599"/>
    </row>
    <row r="34" spans="1:23" s="2603" customFormat="1" ht="13.2" customHeight="1">
      <c r="A34" s="2679">
        <v>5</v>
      </c>
      <c r="B34" s="2680" t="s">
        <v>2424</v>
      </c>
      <c r="C34" s="2724"/>
      <c r="D34" s="2725"/>
      <c r="E34" s="2726"/>
      <c r="F34" s="2684"/>
      <c r="G34" s="2591"/>
      <c r="H34" s="2705"/>
      <c r="I34" s="2697"/>
      <c r="J34" s="3350" t="s">
        <v>2327</v>
      </c>
      <c r="K34" s="335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2" customHeight="1" thickBot="1">
      <c r="A36" s="2679">
        <v>7</v>
      </c>
      <c r="B36" s="2733" t="s">
        <v>2426</v>
      </c>
      <c r="C36" s="2734"/>
      <c r="D36" s="2735"/>
      <c r="E36" s="2736"/>
      <c r="F36" s="2737">
        <f>C36+D36+E36</f>
        <v>0</v>
      </c>
      <c r="G36" s="2591"/>
      <c r="H36" s="2598"/>
      <c r="I36" s="2599"/>
      <c r="J36" s="3342">
        <v>1</v>
      </c>
      <c r="K36" s="3343" t="s">
        <v>2427</v>
      </c>
      <c r="L36" s="2624"/>
      <c r="M36" s="2625"/>
      <c r="N36" s="2625"/>
      <c r="O36" s="2625"/>
      <c r="P36" s="2625"/>
      <c r="Q36" s="2625"/>
      <c r="R36" s="2608" t="s">
        <v>2339</v>
      </c>
      <c r="S36" s="2591"/>
      <c r="T36" s="2591" t="s">
        <v>2340</v>
      </c>
      <c r="U36" s="2591"/>
      <c r="V36" s="2599"/>
    </row>
    <row r="37" spans="1:23" s="2603" customFormat="1" ht="13.2" customHeight="1">
      <c r="A37" s="2679"/>
      <c r="B37" s="2680"/>
      <c r="C37" s="2680"/>
      <c r="D37" s="2680"/>
      <c r="E37" s="2680"/>
      <c r="F37" s="2684"/>
      <c r="G37" s="2591"/>
      <c r="H37" s="2598"/>
      <c r="I37" s="2599"/>
      <c r="J37" s="3342"/>
      <c r="K37" s="3344"/>
      <c r="L37" s="2633"/>
      <c r="M37" s="2634"/>
      <c r="N37" s="2610"/>
      <c r="O37" s="2635"/>
      <c r="P37" s="2635"/>
      <c r="Q37" s="2636"/>
      <c r="R37" s="2637"/>
      <c r="S37" s="2591"/>
      <c r="T37" s="2591" t="s">
        <v>2343</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2"/>
      <c r="K38" s="3344"/>
      <c r="L38" s="2633"/>
      <c r="M38" s="2634"/>
      <c r="N38" s="2610"/>
      <c r="O38" s="2635"/>
      <c r="P38" s="2635"/>
      <c r="Q38" s="2636"/>
      <c r="R38" s="2637"/>
      <c r="S38" s="2591"/>
      <c r="T38" s="2591" t="s">
        <v>2350</v>
      </c>
      <c r="U38" s="2591"/>
      <c r="V38" s="2599"/>
    </row>
    <row r="39" spans="1:23" s="2603" customFormat="1" ht="13.2" customHeight="1">
      <c r="A39" s="2679">
        <v>9</v>
      </c>
      <c r="B39" s="2680" t="s">
        <v>2428</v>
      </c>
      <c r="C39" s="2647" t="e">
        <f>C38</f>
        <v>#DIV/0!</v>
      </c>
      <c r="D39" s="2680">
        <f>D38/(1+D34)^C36</f>
        <v>0</v>
      </c>
      <c r="E39" s="2680">
        <f>E38/(1+E34)^(C36+D36)</f>
        <v>0</v>
      </c>
      <c r="F39" s="2684"/>
      <c r="G39" s="2599"/>
      <c r="H39" s="2598"/>
      <c r="I39" s="2599"/>
      <c r="J39" s="3342"/>
      <c r="K39" s="3344"/>
      <c r="L39" s="2633"/>
      <c r="M39" s="2634"/>
      <c r="N39" s="2610"/>
      <c r="O39" s="2635"/>
      <c r="P39" s="2635"/>
      <c r="Q39" s="2636"/>
      <c r="R39" s="2637"/>
      <c r="S39" s="2591"/>
      <c r="T39" s="2591"/>
      <c r="U39" s="2591"/>
      <c r="V39" s="2599"/>
    </row>
    <row r="40" spans="1:23" s="2603" customFormat="1" ht="13.2" customHeight="1">
      <c r="A40" s="2738">
        <v>10</v>
      </c>
      <c r="B40" s="2680" t="s">
        <v>2429</v>
      </c>
      <c r="C40" s="2739" t="e">
        <f>C39+D39+E39</f>
        <v>#DIV/0!</v>
      </c>
      <c r="D40" s="2740"/>
      <c r="E40" s="2740"/>
      <c r="F40" s="2741"/>
      <c r="G40" s="2591"/>
      <c r="H40" s="2598"/>
      <c r="I40" s="2599"/>
      <c r="J40" s="3342"/>
      <c r="K40" s="3345"/>
      <c r="L40" s="2653" t="s">
        <v>2368</v>
      </c>
      <c r="M40" s="2654"/>
      <c r="N40" s="2654"/>
      <c r="O40" s="2655"/>
      <c r="P40" s="2655"/>
      <c r="Q40" s="2656"/>
      <c r="R40" s="2602">
        <f>SUM(R37:R39)</f>
        <v>0</v>
      </c>
      <c r="S40" s="2591"/>
      <c r="T40" s="2591"/>
      <c r="U40" s="2591"/>
      <c r="V40" s="2599"/>
    </row>
    <row r="41" spans="1:23" s="2603" customFormat="1" ht="13.2"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2" customHeight="1">
      <c r="G42" s="2598"/>
      <c r="H42" s="2598"/>
      <c r="I42" s="2599"/>
      <c r="J42" s="3346">
        <v>3</v>
      </c>
      <c r="K42" s="2699" t="s">
        <v>2410</v>
      </c>
      <c r="L42" s="2700"/>
      <c r="M42" s="2701"/>
      <c r="N42" s="2702" t="s">
        <v>2411</v>
      </c>
      <c r="O42" s="2702" t="s">
        <v>2412</v>
      </c>
      <c r="P42" s="2703" t="s">
        <v>2413</v>
      </c>
      <c r="Q42" s="2703" t="s">
        <v>2414</v>
      </c>
      <c r="R42" s="2608" t="s">
        <v>2339</v>
      </c>
      <c r="S42" s="2642"/>
      <c r="T42" s="2642"/>
      <c r="U42" s="2591"/>
      <c r="V42" s="2599"/>
    </row>
    <row r="43" spans="1:23" ht="13.2" customHeight="1">
      <c r="A43" s="2603"/>
      <c r="B43" s="2603"/>
      <c r="C43" s="2603"/>
      <c r="D43" s="2603"/>
      <c r="E43" s="2603"/>
      <c r="F43" s="2603"/>
      <c r="I43" s="2586"/>
      <c r="J43" s="334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190.4316</v>
      </c>
      <c r="C2" s="1729" t="s">
        <v>1651</v>
      </c>
      <c r="D2" s="1730" t="s">
        <v>1652</v>
      </c>
      <c r="E2" s="2392">
        <f>SUM(E6:E13)</f>
        <v>105.08</v>
      </c>
      <c r="F2" s="2478"/>
      <c r="G2" s="459"/>
      <c r="H2" s="459"/>
      <c r="I2" s="459"/>
      <c r="J2" s="459"/>
      <c r="K2" s="459"/>
      <c r="L2" s="459"/>
      <c r="M2" s="459"/>
      <c r="N2" s="459"/>
      <c r="O2" s="459"/>
      <c r="P2" s="459"/>
      <c r="Q2" s="459"/>
      <c r="R2" s="459"/>
      <c r="S2" s="459"/>
    </row>
    <row r="3" spans="1:22" ht="15.6">
      <c r="A3" s="1728" t="s">
        <v>686</v>
      </c>
      <c r="B3" s="2386">
        <f ca="1">ROUND(B2*10000/E2,0)</f>
        <v>18123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1" t="s">
        <v>1654</v>
      </c>
      <c r="C5" s="3362"/>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190.4316</v>
      </c>
      <c r="C6" s="1729" t="s">
        <v>1651</v>
      </c>
      <c r="D6" s="2478"/>
      <c r="E6" s="2391">
        <f>IF(OR(A6=0,F6="否"),0,'数据-取费表'!K6+'数据-取费表'!S6)</f>
        <v>105.08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5"/>
      <c r="M4" s="2486"/>
      <c r="N4" s="2486"/>
      <c r="O4" s="2486"/>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28" zoomScale="60" zoomScaleNormal="70" workbookViewId="0">
      <selection activeCell="C44" sqref="C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1605</v>
      </c>
      <c r="E1" s="3130" t="s">
        <v>3455</v>
      </c>
      <c r="F1" s="1735" t="s">
        <v>3419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200.65029999999999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19095</v>
      </c>
      <c r="C3" s="344" t="s">
        <v>1768</v>
      </c>
      <c r="D3" s="343">
        <f>IF(D1="",'数据-汇总表'!E3,SUMIF('数据-汇总表'!$C19:$C33,D1,'数据-汇总表'!$E19:$E33))</f>
        <v>105.08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c r="A5" s="348"/>
      <c r="B5" s="349"/>
      <c r="C5" s="3399" t="s">
        <v>1673</v>
      </c>
      <c r="D5" s="3400"/>
      <c r="E5" s="3406" t="s">
        <v>1674</v>
      </c>
      <c r="F5" s="3407"/>
      <c r="G5" s="3399" t="s">
        <v>1675</v>
      </c>
      <c r="H5" s="3400"/>
      <c r="I5" s="3399" t="s">
        <v>1676</v>
      </c>
      <c r="J5" s="3400"/>
      <c r="K5" s="537"/>
      <c r="L5" s="2485"/>
      <c r="M5" s="2486"/>
      <c r="N5" s="2486"/>
      <c r="O5" s="2486"/>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45714</v>
      </c>
      <c r="D7" s="355">
        <v>100</v>
      </c>
      <c r="E7" s="356">
        <f>C7</f>
        <v>45714</v>
      </c>
      <c r="F7" s="357">
        <f>SUMIF(59:59,YEAR(E7)&amp;"-"&amp;MONTH(E7),60:60)</f>
        <v>100</v>
      </c>
      <c r="G7" s="356">
        <f>C7</f>
        <v>45714</v>
      </c>
      <c r="H7" s="355">
        <f>SUMIF(59:59,YEAR(G7)&amp;"-"&amp;MONTH(G7),60:60)</f>
        <v>100</v>
      </c>
      <c r="I7" s="356">
        <f>C7</f>
        <v>45714</v>
      </c>
      <c r="J7" s="355">
        <f>SUMIF(59:59,YEAR(I7)&amp;"-"&amp;MONTH(I7),60:60)</f>
        <v>100</v>
      </c>
      <c r="K7" s="38"/>
      <c r="L7" s="2487"/>
      <c r="M7" s="2439"/>
      <c r="N7" s="2439"/>
      <c r="O7" s="2439"/>
      <c r="P7" s="342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802">
        <f>D7/J7</f>
        <v>1</v>
      </c>
    </row>
    <row r="8" spans="1:29" s="102" customFormat="1" ht="15" thickBot="1">
      <c r="A8" s="352" t="s">
        <v>1681</v>
      </c>
      <c r="B8" s="353"/>
      <c r="C8" s="358" t="s">
        <v>3456</v>
      </c>
      <c r="D8" s="355">
        <v>100</v>
      </c>
      <c r="E8" s="358" t="s">
        <v>3457</v>
      </c>
      <c r="F8" s="357">
        <f>SUMIF(62:62,E8,63:63)-SUMIF(62:62,C8,63:63)+100</f>
        <v>102</v>
      </c>
      <c r="G8" s="358" t="s">
        <v>3457</v>
      </c>
      <c r="H8" s="355">
        <f>SUMIF(62:62,G8,63:63)-SUMIF(62:62,C8,63:63)+100</f>
        <v>102</v>
      </c>
      <c r="I8" s="358" t="s">
        <v>3457</v>
      </c>
      <c r="J8" s="355">
        <f>SUMIF(62:62,I8,63:63)-SUMIF(62:62,C8,63:63)+100</f>
        <v>102</v>
      </c>
      <c r="K8" s="38"/>
      <c r="L8" s="2487"/>
      <c r="M8" s="2439"/>
      <c r="N8" s="2439"/>
      <c r="O8" s="2439"/>
      <c r="P8" s="3421" t="s">
        <v>1683</v>
      </c>
      <c r="Q8" s="3402"/>
      <c r="R8" s="664" t="s">
        <v>14</v>
      </c>
      <c r="S8" s="665">
        <f t="shared" si="0"/>
        <v>102</v>
      </c>
      <c r="T8" s="664" t="s">
        <v>14</v>
      </c>
      <c r="U8" s="665">
        <f t="shared" si="1"/>
        <v>102</v>
      </c>
      <c r="V8" s="664" t="s">
        <v>14</v>
      </c>
      <c r="W8" s="665">
        <f t="shared" si="2"/>
        <v>102</v>
      </c>
      <c r="X8" s="666"/>
      <c r="Y8" s="3401" t="s">
        <v>1683</v>
      </c>
      <c r="Z8" s="340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504" t="s">
        <v>3459</v>
      </c>
      <c r="D9" s="59">
        <v>100</v>
      </c>
      <c r="E9" s="362" t="s">
        <v>3428</v>
      </c>
      <c r="F9" s="59">
        <f>SUMIF(64:64,E9,65:65)-SUMIF(64:64,C9,65:65)+100</f>
        <v>100</v>
      </c>
      <c r="G9" s="362" t="s">
        <v>3428</v>
      </c>
      <c r="H9" s="59">
        <f>SUMIF(64:64,G9,65:65)-SUMIF(64:64,C9,65:65)+100</f>
        <v>100</v>
      </c>
      <c r="I9" s="362" t="s">
        <v>3428</v>
      </c>
      <c r="J9" s="59">
        <f>SUMIF(64:64,I9,65:65)-SUMIF(64:64,C9,65:65)+100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1" t="s">
        <v>3460</v>
      </c>
      <c r="D10" s="119">
        <v>100</v>
      </c>
      <c r="E10" s="3131" t="s">
        <v>3460</v>
      </c>
      <c r="F10" s="119">
        <f>SUMIF(66:66,E10,67:67)-SUMIF(66:66,C10,67:67)+100</f>
        <v>100</v>
      </c>
      <c r="G10" s="3131" t="s">
        <v>3460</v>
      </c>
      <c r="H10" s="119">
        <f>SUMIF(66:66,G10,67:67)-SUMIF(66:66,C10,67:67)+100</f>
        <v>100</v>
      </c>
      <c r="I10" s="3131" t="s">
        <v>3460</v>
      </c>
      <c r="J10" s="119">
        <f>SUMIF(66:66,I10,67:67)-SUMIF(66:66,C10,67:67)+100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t="s">
        <v>3448</v>
      </c>
      <c r="D16" s="387"/>
      <c r="E16" s="1758" t="s">
        <v>3448</v>
      </c>
      <c r="F16" s="387"/>
      <c r="G16" s="1758" t="s">
        <v>3448</v>
      </c>
      <c r="H16" s="389"/>
      <c r="I16" s="1758" t="s">
        <v>3448</v>
      </c>
      <c r="J16" s="387"/>
      <c r="K16" s="541"/>
      <c r="L16" s="2491"/>
      <c r="M16" s="2486"/>
      <c r="N16" s="2486"/>
      <c r="O16" s="2486"/>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758" t="s">
        <v>3448</v>
      </c>
      <c r="D18" s="389"/>
      <c r="E18" s="1758" t="s">
        <v>3448</v>
      </c>
      <c r="F18" s="389"/>
      <c r="G18" s="1758" t="s">
        <v>3448</v>
      </c>
      <c r="H18" s="387"/>
      <c r="I18" s="1758" t="s">
        <v>3448</v>
      </c>
      <c r="J18" s="387"/>
      <c r="K18" s="541"/>
      <c r="L18" s="2491"/>
      <c r="M18" s="2486"/>
      <c r="N18" s="2486"/>
      <c r="O18" s="2486"/>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t="s">
        <v>3448</v>
      </c>
      <c r="D20" s="387"/>
      <c r="E20" s="1758" t="s">
        <v>3448</v>
      </c>
      <c r="F20" s="387"/>
      <c r="G20" s="1758" t="s">
        <v>3448</v>
      </c>
      <c r="H20" s="387"/>
      <c r="I20" s="1758" t="s">
        <v>3448</v>
      </c>
      <c r="J20" s="387"/>
      <c r="K20" s="541"/>
      <c r="L20" s="2491"/>
      <c r="M20" s="2486"/>
      <c r="N20" s="2486"/>
      <c r="O20" s="2486"/>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t="s">
        <v>3479</v>
      </c>
      <c r="D22" s="387"/>
      <c r="E22" s="1814" t="s">
        <v>3479</v>
      </c>
      <c r="F22" s="387"/>
      <c r="G22" s="1814" t="s">
        <v>3479</v>
      </c>
      <c r="H22" s="387"/>
      <c r="I22" s="1814" t="s">
        <v>3479</v>
      </c>
      <c r="J22" s="387"/>
      <c r="K22" s="1064"/>
      <c r="L22" s="2491"/>
      <c r="M22" s="2486"/>
      <c r="N22" s="2486"/>
      <c r="O22" s="2486"/>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t="s">
        <v>3448</v>
      </c>
      <c r="D24" s="387"/>
      <c r="E24" s="1758" t="s">
        <v>3448</v>
      </c>
      <c r="F24" s="387"/>
      <c r="G24" s="1758" t="s">
        <v>3448</v>
      </c>
      <c r="H24" s="387"/>
      <c r="I24" s="1758" t="s">
        <v>3448</v>
      </c>
      <c r="J24" s="387"/>
      <c r="K24" s="541"/>
      <c r="L24" s="2491"/>
      <c r="M24" s="2486"/>
      <c r="N24" s="2486"/>
      <c r="O24" s="2486"/>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t="s">
        <v>3481</v>
      </c>
      <c r="D26" s="374"/>
      <c r="E26" s="558" t="s">
        <v>3481</v>
      </c>
      <c r="F26" s="374"/>
      <c r="G26" s="558" t="s">
        <v>3481</v>
      </c>
      <c r="H26" s="374"/>
      <c r="I26" s="558" t="s">
        <v>3481</v>
      </c>
      <c r="J26" s="374"/>
      <c r="K26" s="541"/>
      <c r="L26" s="2491"/>
      <c r="M26" s="2486"/>
      <c r="N26" s="2486"/>
      <c r="O26" s="2486"/>
      <c r="P26" s="3376"/>
      <c r="Q26" s="1263"/>
      <c r="R26" s="667"/>
      <c r="S26" s="668"/>
      <c r="T26" s="667"/>
      <c r="U26" s="668"/>
      <c r="V26" s="667"/>
      <c r="W26" s="668"/>
      <c r="X26" s="1265"/>
      <c r="Y26" s="3369"/>
      <c r="Z26" s="1264"/>
      <c r="AA26" s="1264">
        <v>1</v>
      </c>
      <c r="AB26" s="1264">
        <v>1</v>
      </c>
      <c r="AC26" s="1812">
        <v>1</v>
      </c>
    </row>
    <row r="27" spans="1:29" ht="15">
      <c r="A27" s="367"/>
      <c r="B27" s="401" t="s">
        <v>1783</v>
      </c>
      <c r="C27" s="558" t="s">
        <v>3461</v>
      </c>
      <c r="D27" s="374">
        <v>100</v>
      </c>
      <c r="E27" s="542" t="s">
        <v>3463</v>
      </c>
      <c r="F27" s="374">
        <f>SUMIF(89:89,E27,90:90)-SUMIF(89:89,C27,90:90)+100</f>
        <v>98</v>
      </c>
      <c r="G27" s="558" t="s">
        <v>3465</v>
      </c>
      <c r="H27" s="374">
        <f>SUMIF(89:89,G27,90:90)-SUMIF(89:89,C27,90:90)+100</f>
        <v>96</v>
      </c>
      <c r="I27" s="542" t="s">
        <v>3461</v>
      </c>
      <c r="J27" s="374">
        <f>SUMIF(89:89,I27,90:90)-SUMIF(89:89,C27,90:90)+100</f>
        <v>100</v>
      </c>
      <c r="K27" s="538">
        <v>2</v>
      </c>
      <c r="L27" s="2491"/>
      <c r="M27" s="2486"/>
      <c r="N27" s="2486"/>
      <c r="O27" s="2486"/>
      <c r="P27" s="3376"/>
      <c r="Q27" s="1263" t="str">
        <f t="shared" ref="Q27:Q47" si="11">B27</f>
        <v>楼层</v>
      </c>
      <c r="R27" s="667" t="s">
        <v>14</v>
      </c>
      <c r="S27" s="668">
        <f>F27</f>
        <v>98</v>
      </c>
      <c r="T27" s="667" t="s">
        <v>14</v>
      </c>
      <c r="U27" s="668">
        <f>H27</f>
        <v>96</v>
      </c>
      <c r="V27" s="667" t="s">
        <v>14</v>
      </c>
      <c r="W27" s="668">
        <f>J27</f>
        <v>100</v>
      </c>
      <c r="X27" s="1265"/>
      <c r="Y27" s="3369"/>
      <c r="Z27" s="1264" t="str">
        <f>Q27</f>
        <v>楼层</v>
      </c>
      <c r="AA27" s="1264">
        <f t="shared" si="3"/>
        <v>1.0204081632653061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t="s">
        <v>3485</v>
      </c>
      <c r="D33" s="405">
        <v>100</v>
      </c>
      <c r="E33" s="1764" t="s">
        <v>3485</v>
      </c>
      <c r="F33" s="400">
        <f>SUMIF(101:101,E33,102:102)-SUMIF(101:101,C33,102:102)+100</f>
        <v>100</v>
      </c>
      <c r="G33" s="1764" t="s">
        <v>3485</v>
      </c>
      <c r="H33" s="374">
        <f>SUMIF(101:101,G33,102:102)-SUMIF(101:101,C33,102:102)+100</f>
        <v>100</v>
      </c>
      <c r="I33" s="1764" t="s">
        <v>3485</v>
      </c>
      <c r="J33" s="405">
        <f>SUMIF(101:101,I33,102:102)-SUMIF(101:101,C33,102:102)+100</f>
        <v>100</v>
      </c>
      <c r="K33" s="538">
        <v>2</v>
      </c>
      <c r="L33" s="2491"/>
      <c r="M33" s="2486"/>
      <c r="N33" s="2486"/>
      <c r="O33" s="2486"/>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105.08</v>
      </c>
      <c r="D34" s="119">
        <v>100</v>
      </c>
      <c r="E34" s="369">
        <v>105</v>
      </c>
      <c r="F34" s="364">
        <f>LOOKUP(E34,104:104,105:105)-LOOKUP(C34,104:104,105:105)+100</f>
        <v>100</v>
      </c>
      <c r="G34" s="368">
        <v>400</v>
      </c>
      <c r="H34" s="119">
        <f>LOOKUP(G34,104:104,105:105)-LOOKUP(C34,104:104,105:105)+100</f>
        <v>99</v>
      </c>
      <c r="I34" s="368">
        <v>107</v>
      </c>
      <c r="J34" s="119">
        <f>LOOKUP(I34,104:104,105:105)-LOOKUP(C34,104:104,105:105)+100</f>
        <v>100</v>
      </c>
      <c r="K34" s="539"/>
      <c r="L34" s="2490"/>
      <c r="M34" s="2492"/>
      <c r="N34" s="2492"/>
      <c r="O34" s="2492"/>
      <c r="P34" s="3371"/>
      <c r="Q34" s="531" t="str">
        <f t="shared" si="11"/>
        <v>项目建筑规模</v>
      </c>
      <c r="R34" s="669" t="s">
        <v>14</v>
      </c>
      <c r="S34" s="670">
        <f t="shared" si="12"/>
        <v>100</v>
      </c>
      <c r="T34" s="669" t="s">
        <v>14</v>
      </c>
      <c r="U34" s="670">
        <f t="shared" si="13"/>
        <v>99</v>
      </c>
      <c r="V34" s="669" t="s">
        <v>14</v>
      </c>
      <c r="W34" s="670">
        <f t="shared" si="14"/>
        <v>100</v>
      </c>
      <c r="X34" s="671"/>
      <c r="Y34" s="3373"/>
      <c r="Z34" s="672" t="str">
        <f t="shared" si="15"/>
        <v>项目建筑规模</v>
      </c>
      <c r="AA34" s="1264">
        <f t="shared" si="3"/>
        <v>1</v>
      </c>
      <c r="AB34" s="1264">
        <f t="shared" si="4"/>
        <v>1.0101010101010102</v>
      </c>
      <c r="AC34" s="1812">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1"/>
      <c r="M35" s="2486"/>
      <c r="N35" s="2486"/>
      <c r="O35" s="2486"/>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C37</f>
        <v>0.74</v>
      </c>
      <c r="H37" s="400">
        <f>LOOKUP(G37,111:111,112:112)-LOOKUP(C37,111:111,112:112)+100</f>
        <v>100</v>
      </c>
      <c r="I37" s="411">
        <f>C37</f>
        <v>0.74</v>
      </c>
      <c r="J37" s="374">
        <f>LOOKUP(I37,111:111,112:112)-LOOKUP(C37,111:111,112:112)+100</f>
        <v>100</v>
      </c>
      <c r="K37" s="538">
        <v>1</v>
      </c>
      <c r="L37" s="2491"/>
      <c r="M37" s="2486"/>
      <c r="N37" s="2486"/>
      <c r="O37" s="2486"/>
      <c r="P37" s="3371"/>
      <c r="Q37" s="1263" t="str">
        <f t="shared" si="11"/>
        <v>成新度</v>
      </c>
      <c r="R37" s="667" t="s">
        <v>14</v>
      </c>
      <c r="S37" s="668">
        <f t="shared" si="12"/>
        <v>100</v>
      </c>
      <c r="T37" s="667" t="s">
        <v>14</v>
      </c>
      <c r="U37" s="668">
        <f t="shared" si="13"/>
        <v>100</v>
      </c>
      <c r="V37" s="667" t="s">
        <v>14</v>
      </c>
      <c r="W37" s="668">
        <f t="shared" si="14"/>
        <v>100</v>
      </c>
      <c r="X37" s="1265"/>
      <c r="Y37" s="337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v>19000</v>
      </c>
      <c r="F48" s="420"/>
      <c r="G48" s="421">
        <v>20000</v>
      </c>
      <c r="H48" s="422"/>
      <c r="I48" s="419">
        <v>18000</v>
      </c>
      <c r="J48" s="422"/>
      <c r="K48" s="674"/>
      <c r="L48" s="2493"/>
      <c r="M48" s="2486"/>
      <c r="N48" s="2486"/>
      <c r="O48" s="2486"/>
      <c r="P48" s="3377" t="str">
        <f>A48</f>
        <v>成交单价（元/平方米）</v>
      </c>
      <c r="Q48" s="3366"/>
      <c r="R48" s="3367">
        <f>E48</f>
        <v>19000</v>
      </c>
      <c r="S48" s="3367"/>
      <c r="T48" s="3367">
        <f>G48</f>
        <v>20000</v>
      </c>
      <c r="U48" s="3367"/>
      <c r="V48" s="3367">
        <f>I48</f>
        <v>18000</v>
      </c>
      <c r="W48" s="3367"/>
      <c r="X48" s="385"/>
      <c r="Y48" s="673"/>
      <c r="Z48" s="385"/>
      <c r="AA48" s="385"/>
      <c r="AB48" s="385"/>
      <c r="AC48" s="555"/>
    </row>
    <row r="49" spans="1:29" ht="15" thickBot="1">
      <c r="A49" s="423" t="s">
        <v>1793</v>
      </c>
      <c r="B49" s="424"/>
      <c r="C49" s="1082">
        <f>R50</f>
        <v>19095</v>
      </c>
      <c r="D49" s="2141" t="s">
        <v>2136</v>
      </c>
      <c r="E49" s="1083">
        <f>R49</f>
        <v>19008</v>
      </c>
      <c r="F49" s="2142"/>
      <c r="G49" s="1082">
        <f>T49</f>
        <v>20631</v>
      </c>
      <c r="H49" s="2142"/>
      <c r="I49" s="1083">
        <f>V49</f>
        <v>17647</v>
      </c>
      <c r="J49" s="2142"/>
      <c r="K49" s="2144">
        <f>F49+H49+J49</f>
        <v>0</v>
      </c>
      <c r="L49" s="2493"/>
      <c r="M49" s="2486"/>
      <c r="N49" s="2486"/>
      <c r="O49" s="2486"/>
      <c r="P49" s="3377" t="str">
        <f>A49</f>
        <v>比较价值（元/平方米）</v>
      </c>
      <c r="Q49" s="3366"/>
      <c r="R49" s="3367">
        <f>IF(F1="售价",ROUND(PRODUCT(R48,AA7:AA47),0),ROUND(PRODUCT(R48,AA7:AA47),1))</f>
        <v>19008</v>
      </c>
      <c r="S49" s="3367"/>
      <c r="T49" s="3367">
        <f>IF(F1="售价",ROUND(PRODUCT(T48,AB7:AB47),0),ROUND(PRODUCT(T48,AB7:AB47),1))</f>
        <v>20631</v>
      </c>
      <c r="U49" s="3367"/>
      <c r="V49" s="3367">
        <f>IF(F1="售价",ROUND(PRODUCT(V48,AC7:AC47),0),ROUND(PRODUCT(V48,AC7:AC47),1))</f>
        <v>17647</v>
      </c>
      <c r="W49" s="3367"/>
      <c r="X49" s="385"/>
      <c r="Y49" s="385"/>
      <c r="Z49" s="385"/>
      <c r="AA49" s="385"/>
      <c r="AB49" s="385"/>
      <c r="AC49" s="555"/>
    </row>
    <row r="50" spans="1:29" ht="15" thickBot="1">
      <c r="A50" s="427" t="s">
        <v>1794</v>
      </c>
      <c r="B50" s="428"/>
      <c r="C50" s="351">
        <f>R50</f>
        <v>19095</v>
      </c>
      <c r="D50" s="351"/>
      <c r="E50" s="351"/>
      <c r="F50" s="351"/>
      <c r="G50" s="351"/>
      <c r="H50" s="351"/>
      <c r="I50" s="351"/>
      <c r="J50" s="429"/>
      <c r="K50" s="675"/>
      <c r="L50" s="2493"/>
      <c r="M50" s="2486"/>
      <c r="N50" s="2486"/>
      <c r="O50" s="2486"/>
      <c r="P50" s="3408" t="str">
        <f>A50</f>
        <v>估价对象XX用房的比较价值（楼面单价，元/平方米）</v>
      </c>
      <c r="Q50" s="3409"/>
      <c r="R50" s="3410">
        <f>IF(F1="售价",ROUND(IF(D49="简单平均",AVERAGE(R49:V49),R49*F49+T49*H49+V49*J49),0),ROUND(IF(D49="简单平均",AVERAGE(R49:V49),R49*F49+T49*H49+V49*J49),1))</f>
        <v>19095</v>
      </c>
      <c r="S50" s="3410"/>
      <c r="T50" s="3410"/>
      <c r="U50" s="3410"/>
      <c r="V50" s="3410"/>
      <c r="W50" s="341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4.2105263157887762E-4</v>
      </c>
      <c r="F53" s="435" t="str">
        <f>IF(OR(E53&gt;=0.3,E53&lt;=-0.3),"超过30%","")</f>
        <v/>
      </c>
      <c r="G53" s="434">
        <f>IF(G48&lt;G49,G49/G48-1,G48/G49-1)</f>
        <v>3.1549999999999967E-2</v>
      </c>
      <c r="H53" s="435" t="str">
        <f>IF(OR(G53&gt;=0.3,G53&lt;=-0.3),"超过30%","")</f>
        <v/>
      </c>
      <c r="I53" s="434">
        <f>IF(I48&lt;I49,I49/I48-1,I48/I49-1)</f>
        <v>2.0003400011333383E-2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8.5385101010100994E-2</v>
      </c>
      <c r="F54" s="435" t="str">
        <f>IF(OR(E54&gt;=0.2,E54&lt;=-0.2),"超过20%","")</f>
        <v/>
      </c>
      <c r="G54" s="434">
        <f>IF(G49&lt;I49,I49/G49-1,G49/I49-1)</f>
        <v>0.16909389697965649</v>
      </c>
      <c r="H54" s="435" t="str">
        <f>IF(OR(G54&gt;=0.2,G54&lt;=-0.2),"超过20%","")</f>
        <v/>
      </c>
      <c r="I54" s="434">
        <f>IF(I49&lt;E49,E49/I49-1,I49/E49-1)</f>
        <v>7.7123590411968035E-2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5.2631578947368363E-2</v>
      </c>
      <c r="F55" s="435" t="str">
        <f>IF(OR(E55&gt;=0.3,E55&lt;=-0.3),"超过30%","")</f>
        <v/>
      </c>
      <c r="G55" s="434">
        <f>IF(G48&lt;I48,I48/G48-1,G48/I48-1)</f>
        <v>0.11111111111111116</v>
      </c>
      <c r="H55" s="435" t="str">
        <f>IF(OR(G55&gt;=0.3,G55&lt;=-0.3),"超过30%","")</f>
        <v/>
      </c>
      <c r="I55" s="434">
        <f>IF(I48&lt;E48,E48/I48-1,I48/E48-1)</f>
        <v>5.555555555555558E-2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503" t="s">
        <v>3458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综合</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510" t="s">
        <v>3480</v>
      </c>
      <c r="D87" s="3505" t="s">
        <v>3482</v>
      </c>
      <c r="E87" s="3505" t="s">
        <v>3483</v>
      </c>
      <c r="F87" s="3505" t="s">
        <v>3484</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505" t="s">
        <v>3462</v>
      </c>
      <c r="D89" s="3505" t="s">
        <v>3464</v>
      </c>
      <c r="E89" s="3505" t="s">
        <v>3466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511" t="s">
        <v>3486</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1000(含)-1500</v>
      </c>
      <c r="H103" s="509" t="str">
        <f t="shared" si="23"/>
        <v>1500(含)-2000</v>
      </c>
      <c r="I103" s="509" t="str">
        <f t="shared" si="23"/>
        <v>2000(含)-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1500</v>
      </c>
      <c r="I104" s="6">
        <v>2000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 t="shared" ref="E105:I105" si="24">D105-1</f>
        <v>98</v>
      </c>
      <c r="F105" s="467">
        <f t="shared" si="24"/>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505" t="s">
        <v>3467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受贵公司委托，我公司对北京市朝阳区百子湾西里403号楼16层1605、1606、1612房地产抵押价值进行了预评估。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估价对象为北京市朝阳区百子湾西里403号楼16层1605、1606、1612房地产，为吉伟生、郭彦娟所有。根据《国有土地使用证》[]，估价对象（分摊）出让国有建设用地使用权面积为0平方米，建筑面积为105.08平方米。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百子湾西里403号楼16层1605、1606、1612房地产,属吉伟生、郭彦娟开发建设的综合项目（商业、办公），该项目尚在开发建设中。根据《国有土地使用证》[]，估价对象（分摊）出让国有建设用地使用权面积为0平方米，规划建筑面积为105.08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2025年2月26日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366"/>
      <c r="Q10" s="530" t="str">
        <f t="shared" si="6"/>
        <v>土地使用年限（年）</v>
      </c>
      <c r="R10" s="664" t="s">
        <v>14</v>
      </c>
      <c r="S10" s="665">
        <f t="shared" si="0"/>
        <v>121</v>
      </c>
      <c r="T10" s="664" t="s">
        <v>14</v>
      </c>
      <c r="U10" s="665">
        <f t="shared" si="1"/>
        <v>121</v>
      </c>
      <c r="V10" s="664" t="s">
        <v>14</v>
      </c>
      <c r="W10" s="665">
        <f t="shared" si="2"/>
        <v>121</v>
      </c>
      <c r="X10" s="666"/>
      <c r="Y10" s="3241"/>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105.08</v>
      </c>
      <c r="F56" s="833" t="e">
        <f t="shared" ref="F56:F64" si="15">ROUND(B56*E56/10000,0)</f>
        <v>#DIV/0!</v>
      </c>
      <c r="G56" s="3377"/>
      <c r="H56" s="336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105.08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428" t="s">
        <v>1919</v>
      </c>
      <c r="D6" s="3429"/>
      <c r="E6" s="3430" t="s">
        <v>1919</v>
      </c>
      <c r="F6" s="3431"/>
      <c r="G6" s="3428" t="s">
        <v>1919</v>
      </c>
      <c r="H6" s="3429"/>
      <c r="I6" s="3428" t="s">
        <v>1919</v>
      </c>
      <c r="J6" s="3429"/>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366"/>
      <c r="Q10" s="530" t="str">
        <f t="shared" si="6"/>
        <v>土地使用年限（年）</v>
      </c>
      <c r="R10" s="664" t="s">
        <v>14</v>
      </c>
      <c r="S10" s="665">
        <f t="shared" si="0"/>
        <v>121</v>
      </c>
      <c r="T10" s="664" t="s">
        <v>14</v>
      </c>
      <c r="U10" s="665">
        <f t="shared" si="1"/>
        <v>121</v>
      </c>
      <c r="V10" s="664" t="s">
        <v>14</v>
      </c>
      <c r="W10" s="665">
        <f t="shared" si="2"/>
        <v>121</v>
      </c>
      <c r="X10" s="666"/>
      <c r="Y10" s="3241"/>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105.08</v>
      </c>
      <c r="F51" s="611" t="e">
        <f t="shared" ref="F51:F60" si="15">ROUND(B51*E51/10000,0)</f>
        <v>#DIV/0!</v>
      </c>
      <c r="G51" s="3377"/>
      <c r="H51" s="336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1605</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190.4316</v>
      </c>
      <c r="C2" s="1289" t="s">
        <v>879</v>
      </c>
      <c r="D2" s="1375">
        <f ca="1">C40+J29+L46</f>
        <v>1904316</v>
      </c>
      <c r="E2" s="1295" t="s">
        <v>880</v>
      </c>
      <c r="F2" s="1296"/>
      <c r="G2" s="2477"/>
      <c r="H2" s="2467"/>
      <c r="I2" s="2467"/>
      <c r="J2" s="2467"/>
      <c r="K2" s="2468"/>
      <c r="L2" s="2467"/>
      <c r="M2" s="2467"/>
    </row>
    <row r="3" spans="1:37" ht="18" customHeight="1" thickBot="1">
      <c r="A3" s="1297" t="s">
        <v>881</v>
      </c>
      <c r="B3" s="1298">
        <f ca="1">IF(ISERROR(D2/F43),0,ROUND(D2/F43,0))</f>
        <v>18123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120967</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120816</v>
      </c>
      <c r="D6" s="147" t="s">
        <v>2104</v>
      </c>
      <c r="E6" s="294" t="s">
        <v>696</v>
      </c>
      <c r="F6" s="295">
        <f ca="1">INDIRECT("'数据-取费表'!u"&amp;$G$1)</f>
        <v>3.5</v>
      </c>
      <c r="G6" s="1292"/>
      <c r="H6" s="1006" t="s">
        <v>398</v>
      </c>
      <c r="I6" s="3339" t="s">
        <v>694</v>
      </c>
      <c r="J6" s="293">
        <f ca="1">ROUND(M6*M8*M7*(1-M9),0)</f>
        <v>0</v>
      </c>
      <c r="K6" s="1284" t="s">
        <v>2105</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105.08</v>
      </c>
      <c r="G7" s="1292"/>
      <c r="H7" s="296"/>
      <c r="I7" s="3340"/>
      <c r="J7" s="298"/>
      <c r="K7" s="299"/>
      <c r="L7" s="294" t="s">
        <v>697</v>
      </c>
      <c r="M7" s="295">
        <f ca="1">F7</f>
        <v>105.08</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151</v>
      </c>
      <c r="D10" s="150" t="s">
        <v>2114</v>
      </c>
      <c r="E10" s="305" t="s">
        <v>701</v>
      </c>
      <c r="F10" s="1053" t="s">
        <v>3452</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454601</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420320</v>
      </c>
      <c r="D14" s="1257" t="s">
        <v>708</v>
      </c>
      <c r="E14" s="1255"/>
      <c r="F14" s="311"/>
      <c r="G14" s="1292"/>
      <c r="H14" s="928" t="s">
        <v>398</v>
      </c>
      <c r="I14" s="294" t="s">
        <v>709</v>
      </c>
      <c r="J14" s="21">
        <f ca="1">C29</f>
        <v>614326</v>
      </c>
      <c r="K14" s="12"/>
      <c r="L14" s="759"/>
      <c r="M14" s="760"/>
    </row>
    <row r="15" spans="1:37" s="1304" customFormat="1" ht="18" customHeight="1" thickBot="1">
      <c r="A15" s="928" t="s">
        <v>399</v>
      </c>
      <c r="B15" s="294" t="s">
        <v>710</v>
      </c>
      <c r="C15" s="21">
        <f ca="1">ROUND(C14*F15,0)</f>
        <v>21016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6143</v>
      </c>
      <c r="K16" s="1024" t="s">
        <v>715</v>
      </c>
      <c r="L16" s="1025"/>
      <c r="M16" s="1009"/>
    </row>
    <row r="17" spans="1:37" s="1304" customFormat="1" ht="18" customHeight="1">
      <c r="A17" s="928" t="s">
        <v>681</v>
      </c>
      <c r="B17" s="294" t="s">
        <v>716</v>
      </c>
      <c r="C17" s="21">
        <f ca="1">ROUND(F17*(F43+INDIRECT("'数据-取费表'!S"&amp;$G$1)),0)</f>
        <v>21016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8406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470758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9415</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6143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-6143</v>
      </c>
      <c r="K25" s="1032" t="s">
        <v>753</v>
      </c>
      <c r="L25" s="1033"/>
      <c r="M25" s="1034"/>
    </row>
    <row r="26" spans="1:37" ht="18" customHeight="1">
      <c r="A26" s="928" t="s">
        <v>397</v>
      </c>
      <c r="B26" s="294" t="s">
        <v>754</v>
      </c>
      <c r="C26" s="21">
        <f ca="1">ROUND((C19+C20)*F26,0)</f>
        <v>72026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614326</v>
      </c>
      <c r="D29" s="1029"/>
      <c r="E29" s="1027"/>
      <c r="F29" s="1030"/>
      <c r="G29" s="1303"/>
      <c r="H29" s="325" t="s">
        <v>396</v>
      </c>
      <c r="I29" s="326" t="s">
        <v>768</v>
      </c>
      <c r="J29" s="327">
        <f ca="1">ROUND(J26/(1+F40)^F41,0)</f>
        <v>0</v>
      </c>
      <c r="K29" s="328" t="s">
        <v>769</v>
      </c>
      <c r="L29" s="329"/>
      <c r="M29" s="330">
        <f ca="1">INDIRECT("'数据-取费表'!k"&amp;$G$1)</f>
        <v>105.08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15862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8054</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6143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455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1210</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105105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1874143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0.86887332908975179</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17835</v>
      </c>
      <c r="D43" s="328" t="s">
        <v>777</v>
      </c>
      <c r="E43" s="329" t="s">
        <v>778</v>
      </c>
      <c r="F43" s="330">
        <f ca="1">INDIRECT("'数据-取费表'!k"&amp;$G$1)</f>
        <v>105.08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-196.87129999999999</v>
      </c>
      <c r="D45" s="3129" t="s">
        <v>3351</v>
      </c>
      <c r="E45" s="1307"/>
      <c r="F45" s="1307"/>
      <c r="O45" s="1310" t="s">
        <v>808</v>
      </c>
      <c r="P45" s="1366"/>
      <c r="Q45" s="1366"/>
      <c r="R45" s="1366"/>
    </row>
    <row r="46" spans="1:18" s="1292" customFormat="1" ht="13.8" thickBot="1">
      <c r="A46" s="1311" t="s">
        <v>809</v>
      </c>
      <c r="C46" s="1312">
        <f ca="1">ROUND(C45,0)</f>
        <v>-197</v>
      </c>
      <c r="D46" s="1313" t="str">
        <f>C2</f>
        <v>万元</v>
      </c>
      <c r="I46" s="1314" t="s">
        <v>810</v>
      </c>
      <c r="J46" s="1315"/>
      <c r="K46" s="1316"/>
      <c r="L46" s="1317">
        <f ca="1">IF(M47="住宅",0,IF(L48&gt;J51,L60,J60))</f>
        <v>30173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1874143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3454</v>
      </c>
      <c r="K48" s="1330" t="s">
        <v>820</v>
      </c>
      <c r="L48" s="1331">
        <f ca="1">INDIRECT("'数据-取费表'!f"&amp;$G$1)</f>
        <v>29</v>
      </c>
      <c r="O48" s="1325" t="s">
        <v>404</v>
      </c>
      <c r="P48" s="1326" t="s">
        <v>821</v>
      </c>
      <c r="Q48" s="1327">
        <f ca="1">J60</f>
        <v>30173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614326</v>
      </c>
      <c r="R49" s="1327" t="s">
        <v>818</v>
      </c>
    </row>
    <row r="50" spans="1:18" s="1292" customFormat="1" ht="13.8" thickBot="1">
      <c r="A50" s="922"/>
      <c r="B50" s="925"/>
      <c r="C50" s="926"/>
      <c r="D50" s="899"/>
      <c r="E50" s="993" t="s">
        <v>697</v>
      </c>
      <c r="F50" s="994">
        <f ca="1">F7</f>
        <v>105.08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1267382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29</v>
      </c>
      <c r="K53" s="3337" t="s">
        <v>837</v>
      </c>
      <c r="L53" s="3338"/>
      <c r="O53" s="1325" t="s">
        <v>409</v>
      </c>
      <c r="P53" s="1326" t="s">
        <v>838</v>
      </c>
      <c r="Q53" s="1327">
        <f ca="1">Q47+Q48</f>
        <v>1904316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454601</v>
      </c>
      <c r="D56" s="1352"/>
      <c r="E56" s="1353"/>
      <c r="F56" s="1345"/>
      <c r="I56" s="1354" t="s">
        <v>842</v>
      </c>
      <c r="J56" s="1355" t="s">
        <v>3406</v>
      </c>
      <c r="K56" s="1328" t="s">
        <v>843</v>
      </c>
      <c r="L56" s="1331" t="str">
        <f ca="1">IF(L48&lt;J51,"——",L48-J51)</f>
        <v>——</v>
      </c>
      <c r="O56" s="1325" t="s">
        <v>403</v>
      </c>
      <c r="P56" s="1326" t="s">
        <v>817</v>
      </c>
      <c r="Q56" s="1327">
        <f ca="1">C40+J29</f>
        <v>1874143</v>
      </c>
      <c r="R56" s="1327" t="s">
        <v>818</v>
      </c>
    </row>
    <row r="57" spans="1:18" s="1292" customFormat="1" ht="24.6" thickBot="1">
      <c r="A57" s="1356"/>
      <c r="B57" s="896" t="s">
        <v>767</v>
      </c>
      <c r="C57" s="230">
        <f ca="1">C29</f>
        <v>614326</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6598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245730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30173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1874143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6143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455</v>
      </c>
      <c r="D65" s="910" t="s">
        <v>743</v>
      </c>
      <c r="E65" s="896" t="s">
        <v>744</v>
      </c>
      <c r="F65" s="321">
        <f t="shared" ca="1" si="0"/>
        <v>1E-3</v>
      </c>
      <c r="I65" s="1367" t="s">
        <v>867</v>
      </c>
      <c r="J65" s="610">
        <v>40</v>
      </c>
      <c r="K65" s="610">
        <v>30</v>
      </c>
      <c r="L65" s="610">
        <v>50</v>
      </c>
      <c r="M65" s="1369">
        <v>0.02</v>
      </c>
      <c r="O65" s="1325" t="s">
        <v>403</v>
      </c>
      <c r="P65" s="1326" t="s">
        <v>868</v>
      </c>
      <c r="Q65" s="1327">
        <f ca="1">C40+J29</f>
        <v>1874143</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-6598</v>
      </c>
      <c r="D67" s="909" t="s">
        <v>753</v>
      </c>
      <c r="E67" s="914"/>
      <c r="F67" s="915"/>
      <c r="O67" s="1334" t="s">
        <v>405</v>
      </c>
      <c r="P67" s="1326" t="s">
        <v>850</v>
      </c>
      <c r="Q67" s="1370">
        <f ca="1">L51</f>
        <v>1267382</v>
      </c>
      <c r="R67" s="1327" t="s">
        <v>870</v>
      </c>
    </row>
    <row r="68" spans="1:18" s="1292" customFormat="1" ht="16.2" thickBot="1">
      <c r="A68" s="893" t="s">
        <v>395</v>
      </c>
      <c r="B68" s="894" t="s">
        <v>774</v>
      </c>
      <c r="C68" s="293">
        <f ca="1">ROUND(C67*(1-((1+F70)/(1+F68))^F69)/(F68-F70),0)</f>
        <v>-94570</v>
      </c>
      <c r="D68" s="911" t="s">
        <v>758</v>
      </c>
      <c r="E68" s="896" t="s">
        <v>759</v>
      </c>
      <c r="F68" s="304">
        <f ca="1">F40</f>
        <v>5.5E-2</v>
      </c>
      <c r="O68" s="1334" t="s">
        <v>406</v>
      </c>
      <c r="P68" s="1371" t="s">
        <v>871</v>
      </c>
      <c r="Q68" s="1327">
        <f ca="1">ROUND(Q69-Q70*Q71,0)</f>
        <v>73283</v>
      </c>
      <c r="R68" s="1327" t="s">
        <v>414</v>
      </c>
    </row>
    <row r="69" spans="1:18" s="1292" customFormat="1" ht="13.8" thickBot="1">
      <c r="A69" s="897"/>
      <c r="B69" s="898"/>
      <c r="C69" s="298"/>
      <c r="D69" s="916" t="s">
        <v>762</v>
      </c>
      <c r="E69" s="896" t="s">
        <v>763</v>
      </c>
      <c r="F69" s="324">
        <f ca="1">F41</f>
        <v>29</v>
      </c>
      <c r="O69" s="1334" t="s">
        <v>411</v>
      </c>
      <c r="P69" s="1371" t="s">
        <v>872</v>
      </c>
      <c r="Q69" s="1327">
        <f ca="1">C39</f>
        <v>105105</v>
      </c>
      <c r="R69" s="1327" t="s">
        <v>818</v>
      </c>
    </row>
    <row r="70" spans="1:18" s="1292" customFormat="1" ht="13.8" thickBot="1">
      <c r="A70" s="900"/>
      <c r="B70" s="901"/>
      <c r="C70" s="302"/>
      <c r="D70" s="912"/>
      <c r="E70" s="896" t="s">
        <v>766</v>
      </c>
      <c r="F70" s="991"/>
      <c r="O70" s="1334" t="s">
        <v>412</v>
      </c>
      <c r="P70" s="1371" t="s">
        <v>873</v>
      </c>
      <c r="Q70" s="1327">
        <f ca="1">C13</f>
        <v>454601</v>
      </c>
      <c r="R70" s="1327" t="s">
        <v>818</v>
      </c>
    </row>
    <row r="71" spans="1:18" s="1292" customFormat="1" ht="13.8" thickBot="1">
      <c r="A71" s="917" t="s">
        <v>396</v>
      </c>
      <c r="B71" s="918" t="s">
        <v>776</v>
      </c>
      <c r="C71" s="327">
        <f ca="1">ROUND(C68/F71,0)</f>
        <v>-900</v>
      </c>
      <c r="D71" s="919" t="s">
        <v>777</v>
      </c>
      <c r="E71" s="920" t="s">
        <v>778</v>
      </c>
      <c r="F71" s="330">
        <f ca="1">F43</f>
        <v>105.08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31822</v>
      </c>
      <c r="D75" s="1292"/>
      <c r="E75" s="1292"/>
      <c r="F75" s="1292"/>
      <c r="K75" s="1309"/>
      <c r="L75" s="1292"/>
      <c r="O75" s="1325" t="s">
        <v>409</v>
      </c>
      <c r="P75" s="1326" t="s">
        <v>838</v>
      </c>
      <c r="Q75" s="1327">
        <f ca="1">Q65+Q66</f>
        <v>1874143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0.69700000000000006</v>
      </c>
    </row>
    <row r="80" spans="1:18">
      <c r="B80" s="331" t="s">
        <v>800</v>
      </c>
      <c r="C80" s="266">
        <f ca="1">ROUND(C75/C39,3)</f>
        <v>0.30299999999999999</v>
      </c>
    </row>
    <row r="81" spans="2:3">
      <c r="B81" s="262" t="s">
        <v>801</v>
      </c>
      <c r="C81" s="230"/>
    </row>
    <row r="82" spans="2:3">
      <c r="B82" s="265" t="s">
        <v>802</v>
      </c>
      <c r="C82" s="267">
        <f ca="1">1-C83</f>
        <v>0.75700000000000001</v>
      </c>
    </row>
    <row r="83" spans="2:3">
      <c r="B83" s="265" t="s">
        <v>803</v>
      </c>
      <c r="C83" s="266">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
      <formula>$J$51&gt;$L$48</formula>
    </cfRule>
  </conditionalFormatting>
  <conditionalFormatting sqref="J11">
    <cfRule type="expression" dxfId="8" priority="2">
      <formula>$M$10="自定义"</formula>
    </cfRule>
  </conditionalFormatting>
  <conditionalFormatting sqref="K55 K60">
    <cfRule type="expression" dxfId="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0(含)-100</v>
      </c>
      <c r="D2" s="623" t="str">
        <f t="shared" si="0"/>
        <v>100(含)-300</v>
      </c>
      <c r="E2" s="623" t="str">
        <f t="shared" si="0"/>
        <v>300(含)-500</v>
      </c>
      <c r="F2" s="623" t="str">
        <f t="shared" si="0"/>
        <v>500(含)-1000</v>
      </c>
      <c r="G2" s="623" t="str">
        <f t="shared" si="0"/>
        <v>1000(含)-1500</v>
      </c>
      <c r="H2" s="623" t="str">
        <f t="shared" si="0"/>
        <v>1500(含)-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300</v>
      </c>
      <c r="F3" s="627">
        <f>'比较法-办公'!F104</f>
        <v>500</v>
      </c>
      <c r="G3" s="627">
        <f>'比较法-办公'!G104</f>
        <v>1000</v>
      </c>
      <c r="H3" s="627">
        <f>'比较法-办公'!H104</f>
        <v>1500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506" t="s">
        <v>3469</v>
      </c>
      <c r="C5" s="3507" t="s">
        <v>3470</v>
      </c>
      <c r="D5" s="3508" t="s">
        <v>3471</v>
      </c>
      <c r="E5" s="3508" t="s">
        <v>3472</v>
      </c>
      <c r="F5" s="1227"/>
      <c r="G5" s="1227"/>
      <c r="H5" s="1227"/>
      <c r="I5" s="1227"/>
      <c r="J5" s="1227"/>
      <c r="K5" s="1227"/>
      <c r="L5" s="1228"/>
      <c r="M5" s="1229"/>
      <c r="N5" s="1229"/>
      <c r="O5" s="1227"/>
      <c r="P5" s="1227"/>
      <c r="Q5" s="1227"/>
      <c r="R5" s="1227"/>
      <c r="S5" s="1230"/>
      <c r="T5" s="943">
        <f>'比较法-办公'!K27</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627</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18646</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336.26</v>
      </c>
      <c r="C22" s="3432" t="s">
        <v>27</v>
      </c>
      <c r="D22" s="3433"/>
      <c r="E22" s="3433"/>
      <c r="F22" s="3433"/>
      <c r="G22" s="3433"/>
      <c r="H22" s="3433"/>
      <c r="I22" s="3433"/>
      <c r="J22" s="3433"/>
      <c r="K22" s="3433"/>
      <c r="L22" s="3433"/>
      <c r="M22" s="3433"/>
      <c r="N22" s="3433"/>
      <c r="O22" s="3433"/>
      <c r="P22" s="3433"/>
      <c r="Q22" s="3434"/>
      <c r="R22" s="21">
        <f ca="1">ROUND(S22*10000/B22,0)</f>
        <v>18646</v>
      </c>
      <c r="S22" s="21">
        <f ca="1">SUM(S24:S10000)</f>
        <v>627</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1605</v>
      </c>
      <c r="B24" s="633">
        <f>'数据-基础表'!G13</f>
        <v>105.08</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18609</v>
      </c>
      <c r="S24" s="634">
        <f t="shared" ref="S24:S54" ca="1" si="11">ROUND(R24*B24/10000,0)</f>
        <v>196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1606</v>
      </c>
      <c r="B25" s="633">
        <f>'数据-基础表'!G14</f>
        <v>105.08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18609</v>
      </c>
      <c r="S25" s="308">
        <f t="shared" ca="1" si="11"/>
        <v>196</v>
      </c>
    </row>
    <row r="26" spans="1:45">
      <c r="A26" s="142">
        <f>'数据-基础表'!C15</f>
        <v>1612</v>
      </c>
      <c r="B26" s="633">
        <f>'数据-基础表'!G15</f>
        <v>126.1</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18609</v>
      </c>
      <c r="S26" s="308">
        <f t="shared" ca="1" si="11"/>
        <v>235</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152</v>
      </c>
      <c r="C2" s="1984" t="s">
        <v>2074</v>
      </c>
      <c r="D2" s="1984" t="s">
        <v>2075</v>
      </c>
      <c r="E2" s="2397">
        <f ca="1">SUMIF(E6:E13,"&lt;&gt;#ref!",E6:E13)</f>
        <v>105.08</v>
      </c>
      <c r="F2" s="2543"/>
      <c r="G2" s="2543"/>
      <c r="H2" s="2543"/>
      <c r="I2" s="2543"/>
      <c r="J2" s="2543"/>
      <c r="K2" s="2543"/>
      <c r="L2" s="2543"/>
      <c r="M2" s="2543"/>
      <c r="N2" s="2543"/>
      <c r="O2" s="2543"/>
      <c r="P2" s="2543"/>
    </row>
    <row r="3" spans="1:16" ht="15.6">
      <c r="A3" s="1984" t="s">
        <v>2076</v>
      </c>
      <c r="B3" s="2387">
        <f ca="1">ROUND(B2*10000/E2,0)</f>
        <v>14465</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152</v>
      </c>
      <c r="C6" s="1984" t="s">
        <v>2074</v>
      </c>
      <c r="D6" s="2543"/>
      <c r="E6" s="2397">
        <f ca="1">SUMIF(INDIRECT("'"&amp;A6&amp;"'"&amp;"!C:C"),"建筑面积",INDIRECT("'"&amp;A6&amp;"'"&amp;"!D:D"))</f>
        <v>105.08</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1C483-A90B-43FE-B96E-357566034972}">
  <sheetPr>
    <tabColor rgb="FF7030A0"/>
  </sheetPr>
  <dimension ref="B31:C33"/>
  <sheetViews>
    <sheetView topLeftCell="A10" workbookViewId="0">
      <selection activeCell="B31" sqref="B31:C33"/>
    </sheetView>
  </sheetViews>
  <sheetFormatPr defaultRowHeight="14.4"/>
  <cols>
    <col min="2" max="2" width="14.88671875" customWidth="1"/>
  </cols>
  <sheetData>
    <row r="31" spans="2:3">
      <c r="B31" s="1405" t="s">
        <v>3474</v>
      </c>
      <c r="C31">
        <f>'数据-基础表'!H13+'数据-基础表'!H14</f>
        <v>210.16</v>
      </c>
    </row>
    <row r="32" spans="2:3">
      <c r="B32" s="1405" t="s">
        <v>3475</v>
      </c>
      <c r="C32">
        <v>330000</v>
      </c>
    </row>
    <row r="33" spans="2:3">
      <c r="B33" s="1405" t="s">
        <v>3476</v>
      </c>
      <c r="C33">
        <f>ROUND(C32/C31/365,2)</f>
        <v>4.3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32FEE-3866-4AD3-97F1-F829AC4E2B48}">
  <sheetPr>
    <tabColor rgb="FF7030A0"/>
  </sheetPr>
  <dimension ref="B2:P5"/>
  <sheetViews>
    <sheetView topLeftCell="A97" workbookViewId="0">
      <selection activeCell="B6" sqref="B6"/>
    </sheetView>
  </sheetViews>
  <sheetFormatPr defaultRowHeight="14.4"/>
  <sheetData>
    <row r="2" spans="2:16">
      <c r="B2" s="1405" t="s">
        <v>3415</v>
      </c>
      <c r="N2" s="1405" t="s">
        <v>3418</v>
      </c>
    </row>
    <row r="3" spans="2:16">
      <c r="B3" s="1405" t="s">
        <v>654</v>
      </c>
      <c r="C3" s="1405" t="s">
        <v>3416</v>
      </c>
      <c r="N3" s="1405" t="s">
        <v>654</v>
      </c>
      <c r="O3">
        <v>3.8</v>
      </c>
    </row>
    <row r="4" spans="2:16">
      <c r="C4" s="1405" t="s">
        <v>3417</v>
      </c>
      <c r="N4" s="1405" t="s">
        <v>3420</v>
      </c>
      <c r="O4">
        <v>19000</v>
      </c>
    </row>
    <row r="5" spans="2:16">
      <c r="B5" s="1405" t="s">
        <v>3473</v>
      </c>
      <c r="P5" s="1405" t="s">
        <v>3421</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1605</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257.65219999999999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24520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1584001</v>
      </c>
      <c r="D5" s="203" t="s">
        <v>1469</v>
      </c>
      <c r="E5" s="204" t="s">
        <v>1470</v>
      </c>
      <c r="F5" s="204" t="s">
        <v>1471</v>
      </c>
      <c r="G5" s="205"/>
    </row>
    <row r="6" spans="1:8" s="206" customFormat="1" ht="13.5" customHeight="1">
      <c r="A6" s="732" t="s">
        <v>1472</v>
      </c>
      <c r="B6" s="207" t="s">
        <v>1473</v>
      </c>
      <c r="C6" s="208">
        <f>ROUND(基准地价修正!D33*基准地价修正!C33,0)</f>
        <v>1516725</v>
      </c>
      <c r="D6" s="209"/>
      <c r="E6" s="210"/>
      <c r="F6" s="210"/>
      <c r="G6" s="211"/>
    </row>
    <row r="7" spans="1:8" s="206" customFormat="1" ht="13.5" customHeight="1">
      <c r="A7" s="732" t="s">
        <v>1474</v>
      </c>
      <c r="B7" s="207" t="s">
        <v>1475</v>
      </c>
      <c r="C7" s="212">
        <f>ROUND(C6*F7,0)</f>
        <v>46260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21016</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21016</v>
      </c>
      <c r="D10" s="795">
        <f ca="1">IF(B1="",'数据-汇总表'!E6,IF(INDIRECT("'数据-取费表'!c"&amp;$G$1)="住宅",INDIRECT("'数据-取费表'!s"&amp;$G$1),INDIRECT("'数据-取费表'!k"&amp;$G$1)+INDIRECT("'数据-取费表'!s"&amp;$G$1)))</f>
        <v>105.08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105.08</v>
      </c>
      <c r="E19" s="203">
        <f>'数据-取费表'!B31</f>
        <v>200</v>
      </c>
      <c r="F19" s="223"/>
      <c r="G19" s="1714" t="s">
        <v>3451</v>
      </c>
    </row>
    <row r="20" spans="1:7" s="206" customFormat="1" ht="13.5" customHeight="1">
      <c r="A20" s="247" t="s">
        <v>1574</v>
      </c>
      <c r="B20" s="202" t="s">
        <v>1575</v>
      </c>
      <c r="C20" s="224">
        <f ca="1">ROUND((C5+C19)*F20,0)</f>
        <v>31680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100712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99730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242352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242352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2121921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470758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420320</v>
      </c>
      <c r="D34" s="209"/>
      <c r="E34" s="212"/>
      <c r="F34" s="249"/>
      <c r="G34" s="211"/>
    </row>
    <row r="35" spans="1:7" ht="13.5" customHeight="1">
      <c r="A35" s="734" t="s">
        <v>351</v>
      </c>
      <c r="B35" s="207" t="s">
        <v>1527</v>
      </c>
      <c r="C35" s="212">
        <f ca="1">ROUND(C34*F35,0)</f>
        <v>21016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21016</v>
      </c>
      <c r="D37" s="209">
        <f ca="1">D19</f>
        <v>105.08</v>
      </c>
      <c r="E37" s="241">
        <f>'数据-取费表'!B35</f>
        <v>200</v>
      </c>
      <c r="F37" s="251"/>
      <c r="G37" s="253"/>
    </row>
    <row r="38" spans="1:7" ht="13.5" customHeight="1">
      <c r="A38" s="734" t="s">
        <v>354</v>
      </c>
      <c r="B38" s="207" t="s">
        <v>1533</v>
      </c>
      <c r="C38" s="212">
        <f ca="1">ROUND(C34*F38,0)</f>
        <v>8406</v>
      </c>
      <c r="D38" s="212"/>
      <c r="E38" s="212"/>
      <c r="F38" s="251">
        <f>'数据-取费表'!B36</f>
        <v>0.02</v>
      </c>
      <c r="G38" s="211" t="s">
        <v>1528</v>
      </c>
    </row>
    <row r="39" spans="1:7" s="206" customFormat="1" ht="13.5" customHeight="1">
      <c r="A39" s="247" t="s">
        <v>1534</v>
      </c>
      <c r="B39" s="202" t="s">
        <v>1535</v>
      </c>
      <c r="C39" s="224">
        <f ca="1">ROUND(C33*F20,0)</f>
        <v>9415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14593</v>
      </c>
      <c r="D42" s="230"/>
      <c r="E42" s="230"/>
      <c r="F42" s="231"/>
      <c r="G42" s="3334" t="s">
        <v>1591</v>
      </c>
    </row>
    <row r="43" spans="1:7" ht="13.5" customHeight="1">
      <c r="A43" s="734" t="s">
        <v>347</v>
      </c>
      <c r="B43" s="207" t="s">
        <v>1545</v>
      </c>
      <c r="C43" s="230">
        <f ca="1">ROUND(IF('数据-取费表'!B22&lt;=1,C39*F22*'数据-取费表'!B20/2,C39*(POWER((1+F22),'数据-取费表'!B20/2)-1)),0)</f>
        <v>292</v>
      </c>
      <c r="D43" s="230"/>
      <c r="E43" s="230"/>
      <c r="F43" s="231"/>
      <c r="G43" s="3335"/>
    </row>
    <row r="44" spans="1:7" ht="13.5" customHeight="1">
      <c r="A44" s="734" t="s">
        <v>348</v>
      </c>
      <c r="B44" s="207" t="s">
        <v>1546</v>
      </c>
      <c r="C44" s="230">
        <f ca="1">ROUND(IF('数据-取费表'!B22&lt;=1,C40*F22*'数据-取费表'!B20/2,C40*(POWER((1+F22),'数据-取费表'!B20/2)-1)),4)</f>
        <v>5.9999999999999995E-4</v>
      </c>
      <c r="D44" s="230"/>
      <c r="E44" s="230"/>
      <c r="F44" s="231"/>
      <c r="G44" s="3336"/>
    </row>
    <row r="45" spans="1:7" s="206" customFormat="1" ht="13.5" customHeight="1">
      <c r="A45" s="247" t="s">
        <v>1547</v>
      </c>
      <c r="B45" s="236" t="s">
        <v>1513</v>
      </c>
      <c r="C45" s="237">
        <f ca="1">C46</f>
        <v>72026</v>
      </c>
      <c r="D45" s="227">
        <f ca="1">C47</f>
        <v>3.0000000000000001E-3</v>
      </c>
      <c r="E45" s="228" t="s">
        <v>1539</v>
      </c>
      <c r="F45" s="238">
        <f ca="1">F27</f>
        <v>0.15</v>
      </c>
      <c r="G45" s="239" t="s">
        <v>1548</v>
      </c>
    </row>
    <row r="46" spans="1:7" s="206" customFormat="1" ht="13.5" customHeight="1">
      <c r="A46" s="734" t="s">
        <v>346</v>
      </c>
      <c r="B46" s="240" t="s">
        <v>1549</v>
      </c>
      <c r="C46" s="241">
        <f ca="1">ROUND((C33+C39)*F27,0)</f>
        <v>72026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614326</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454601</v>
      </c>
      <c r="D51" s="224"/>
      <c r="E51" s="224"/>
      <c r="F51" s="256"/>
      <c r="G51" s="226" t="s">
        <v>1560</v>
      </c>
    </row>
    <row r="52" spans="1:7" s="200" customFormat="1" ht="16.8" thickBot="1">
      <c r="A52" s="257" t="s">
        <v>1561</v>
      </c>
      <c r="B52" s="258"/>
      <c r="C52" s="259">
        <f ca="1">C31+C51</f>
        <v>2576522</v>
      </c>
      <c r="D52" s="258"/>
      <c r="E52" s="258"/>
      <c r="F52" s="258"/>
      <c r="G52" s="260"/>
    </row>
    <row r="55" spans="1:7" ht="15">
      <c r="B55" s="262" t="s">
        <v>1562</v>
      </c>
      <c r="C55" s="263"/>
    </row>
    <row r="56" spans="1:7">
      <c r="B56" s="265" t="s">
        <v>802</v>
      </c>
      <c r="C56" s="267">
        <f ca="1">1-C57</f>
        <v>0.82400000000000007</v>
      </c>
    </row>
    <row r="57" spans="1:7">
      <c r="B57" s="265" t="s">
        <v>803</v>
      </c>
      <c r="C57" s="266">
        <f ca="1">ROUND(C51/C52,3)</f>
        <v>0.17599999999999999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5"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105.08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152</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23965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14465</v>
      </c>
      <c r="C3" s="1846" t="s">
        <v>1941</v>
      </c>
      <c r="D3" s="162" t="s">
        <v>1942</v>
      </c>
      <c r="E3" s="3117" t="s">
        <v>3444</v>
      </c>
      <c r="F3" s="1848" t="s">
        <v>3445</v>
      </c>
      <c r="G3" s="708">
        <f>IF(F3="宗地容积率",'数据-汇总表'!I4,IF(F3="估价对象容积率",'数据-汇总表'!I6,'数据-汇总表'!I7))</f>
        <v>4.5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18889</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17520</v>
      </c>
      <c r="N4" s="813">
        <f>SUMPRODUCT((因素修正幅度!B55:B86=I2)*(因素修正幅度!C3:G3=E2)*(因素修正幅度!C55:G86))</f>
        <v>0.1</v>
      </c>
      <c r="O4" s="1056"/>
      <c r="P4" s="1056"/>
      <c r="Q4" s="1056"/>
      <c r="R4" s="1129">
        <v>3</v>
      </c>
      <c r="S4" s="3062">
        <f>ROUND(SUMPRODUCT((B106:B110=R4)*(C105:N105=G2)*(C106:N110)),4)</f>
        <v>1.0004999999999999</v>
      </c>
      <c r="T4" s="3062">
        <f t="shared" si="0"/>
        <v>15964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17870</v>
      </c>
      <c r="D5" s="1252">
        <f>ROUND(C6*C17+C20,0)</f>
        <v>17520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14080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17520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13531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4.5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3236</v>
      </c>
      <c r="B12" s="3012" t="s">
        <v>3237</v>
      </c>
      <c r="C12" s="3013">
        <v>1.02</v>
      </c>
      <c r="D12" s="3014" t="s">
        <v>3238</v>
      </c>
      <c r="E12" s="3015" t="s">
        <v>3239</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3240</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3246</v>
      </c>
      <c r="E18" s="2356"/>
      <c r="F18" s="3029" t="s">
        <v>3249</v>
      </c>
      <c r="G18" s="3033">
        <f>ROUND(1-(1/(POWER(1+G24,E18))),4)</f>
        <v>0</v>
      </c>
      <c r="H18" s="3029" t="s">
        <v>3251</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3247</v>
      </c>
      <c r="E19" s="3042"/>
      <c r="F19" s="3043" t="s">
        <v>3250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49" t="s">
        <v>3252</v>
      </c>
      <c r="B20" s="159" t="s">
        <v>1994</v>
      </c>
      <c r="C20" s="3030">
        <f>ROUND(IF(F21="与级别开发程度一致",0,(G21-E21)/C21),0)</f>
        <v>0</v>
      </c>
      <c r="D20" s="3045" t="s">
        <v>1998</v>
      </c>
      <c r="E20" s="3046"/>
      <c r="F20" s="3455" t="s">
        <v>1995</v>
      </c>
      <c r="G20" s="345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45714</v>
      </c>
      <c r="H23" s="3047" t="s">
        <v>3254</v>
      </c>
      <c r="I23" s="3048" t="str">
        <f>IF(H23="季度增幅（自定义）",SUMIF(N25:N28,E2,O25:O28),"")</f>
        <v/>
      </c>
      <c r="J23" s="3140" t="s">
        <v>3253</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3333</v>
      </c>
      <c r="C25" s="461">
        <f>IF(B25="容积率修正",IF(G3&lt;10,D26,J26),C27)</f>
        <v>0.90459999999999996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0.90459999999999996</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8">
        <f>ROUNDUP(G3,1)</f>
        <v>4.5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152</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14434</v>
      </c>
      <c r="D33" s="1940">
        <f>'数据-汇总表'!E19</f>
        <v>105.08</v>
      </c>
      <c r="E33" s="727">
        <f>ROUND(C33*D33/10000,0)</f>
        <v>152</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3609</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9386</v>
      </c>
      <c r="D37" s="1940"/>
      <c r="E37" s="163">
        <f>ROUND(C37*D37/10000,0)</f>
        <v>0</v>
      </c>
      <c r="F37" s="163">
        <f>SUMIF(修正!A57:A68,G2,修正!B57:B68)</f>
        <v>0.6</v>
      </c>
      <c r="G37" s="163">
        <f>ROUND(IF(E2="工业",C37*$M$42,C37*$M$41),0)</f>
        <v>2347</v>
      </c>
      <c r="H37" s="163">
        <f>D37</f>
        <v>0</v>
      </c>
      <c r="I37" s="163">
        <f>ROUND(G37*H37/10000,0)</f>
        <v>0</v>
      </c>
      <c r="J37" s="2753"/>
      <c r="K37" s="3060"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4693</v>
      </c>
      <c r="D38" s="1940"/>
      <c r="E38" s="163">
        <f t="shared" ref="E38:E42" si="4">ROUND(C38*D38/10000,0)</f>
        <v>0</v>
      </c>
      <c r="F38" s="163">
        <f>SUMIF(修正!A57:A68,G2,修正!C57:C68)</f>
        <v>0.3</v>
      </c>
      <c r="G38" s="163">
        <f>ROUND(IF(E2="工业",C38*$M$42,C38*$M$41),0)</f>
        <v>1173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3257</v>
      </c>
      <c r="C39" s="167">
        <f>ROUND(D5*C22*C23*C24*C28*F39,0)</f>
        <v>3911</v>
      </c>
      <c r="D39" s="1940"/>
      <c r="E39" s="163">
        <f t="shared" si="4"/>
        <v>0</v>
      </c>
      <c r="F39" s="163">
        <f>SUMIF(修正!A57:A68,G2,修正!D57:D68)</f>
        <v>0.25</v>
      </c>
      <c r="G39" s="163">
        <f>ROUND(IF(E2="工业",C39*$M$42,C39*$M$41),0)</f>
        <v>978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3911</v>
      </c>
      <c r="D40" s="1940"/>
      <c r="E40" s="163">
        <f t="shared" si="4"/>
        <v>0</v>
      </c>
      <c r="F40" s="167">
        <f>SUMIF(修正!A57:A68,G2,修正!E57:E68)</f>
        <v>0.25</v>
      </c>
      <c r="G40" s="163">
        <f>ROUND(IF(E2="工业",C40*$M$42,C40*$M$41),0)</f>
        <v>978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3448</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t="s">
        <v>3448</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3448</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3448</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3448</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3448</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3449</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3448</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2610</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1" t="s">
        <v>3292</v>
      </c>
      <c r="B103" s="3451"/>
      <c r="C103" s="3451"/>
      <c r="D103" s="3451"/>
      <c r="E103" s="3451"/>
      <c r="F103" s="3451"/>
      <c r="G103" s="3451"/>
      <c r="H103" s="3451"/>
      <c r="I103" s="3451"/>
      <c r="J103" s="3451"/>
      <c r="K103" s="1667"/>
      <c r="L103" s="1667"/>
      <c r="M103" s="1667"/>
      <c r="N103" s="1667"/>
    </row>
    <row r="104" spans="1:14">
      <c r="A104" s="3452" t="s">
        <v>3293</v>
      </c>
      <c r="B104" s="3452" t="s">
        <v>3294</v>
      </c>
      <c r="C104" s="3089" t="s">
        <v>3295</v>
      </c>
      <c r="D104" s="3090"/>
      <c r="E104" s="3090"/>
      <c r="F104" s="3090"/>
      <c r="G104" s="3090"/>
      <c r="H104" s="3090"/>
      <c r="I104" s="3090"/>
      <c r="J104" s="3091"/>
      <c r="K104" s="3092"/>
      <c r="L104" s="3092"/>
      <c r="M104" s="3092"/>
      <c r="N104" s="3092"/>
    </row>
    <row r="105" spans="1:14">
      <c r="A105" s="3452"/>
      <c r="B105" s="345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3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1" t="s">
        <v>3309</v>
      </c>
      <c r="B113" s="3441"/>
      <c r="C113" s="3441"/>
      <c r="D113" s="3441"/>
      <c r="E113" s="3441"/>
      <c r="F113" s="3441"/>
      <c r="G113" s="3441"/>
      <c r="H113" s="3441"/>
      <c r="I113" s="3441"/>
      <c r="J113" s="344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4.5</v>
      </c>
      <c r="C116" s="3098" t="s">
        <v>3311</v>
      </c>
      <c r="D116" s="3099">
        <f>SUMPRODUCT((A118:A122=F116)*(B117:M117=H116)*B118:M122)</f>
        <v>0.87760000000000005</v>
      </c>
      <c r="E116" s="162" t="s">
        <v>3312</v>
      </c>
      <c r="F116" s="3100" t="str">
        <f>E2</f>
        <v>办公</v>
      </c>
      <c r="G116" s="162" t="s">
        <v>3313</v>
      </c>
      <c r="H116" s="3100" t="str">
        <f>G2</f>
        <v>四级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0.94730000000000003</v>
      </c>
      <c r="C118" s="3088">
        <f>B118</f>
        <v>0.94730000000000003</v>
      </c>
      <c r="D118" s="3088">
        <f>ROUND(0.949-0.014*B116,4)</f>
        <v>0.88600000000000001</v>
      </c>
      <c r="E118" s="3088">
        <f>D118</f>
        <v>0.88600000000000001</v>
      </c>
      <c r="F118" s="3088">
        <f>E118</f>
        <v>0.88600000000000001</v>
      </c>
      <c r="G118" s="3088">
        <f>F118</f>
        <v>0.88600000000000001</v>
      </c>
      <c r="H118" s="3088">
        <f>G118</f>
        <v>0.88600000000000001</v>
      </c>
      <c r="I118" s="3088">
        <f>ROUND(0.8486-0.018*B116,4)</f>
        <v>0.76759999999999995</v>
      </c>
      <c r="J118" s="3088">
        <f t="shared" ref="J118:M122" si="35">I118</f>
        <v>0.76759999999999995</v>
      </c>
      <c r="K118" s="3088">
        <f t="shared" si="35"/>
        <v>0.76759999999999995</v>
      </c>
      <c r="L118" s="3088">
        <f t="shared" si="35"/>
        <v>0.76759999999999995</v>
      </c>
      <c r="M118" s="3108">
        <f t="shared" si="35"/>
        <v>0.76759999999999995</v>
      </c>
      <c r="N118" s="3096"/>
    </row>
    <row r="119" spans="1:14">
      <c r="A119" s="3056" t="s">
        <v>3327</v>
      </c>
      <c r="B119" s="3088">
        <f>ROUND(0.993-0.0112*B116,4)</f>
        <v>0.94259999999999999</v>
      </c>
      <c r="C119" s="3088">
        <f>B119</f>
        <v>0.94259999999999999</v>
      </c>
      <c r="D119" s="3088">
        <f>ROUND(0.9415-0.0142*B116,4)</f>
        <v>0.87760000000000005</v>
      </c>
      <c r="E119" s="3088">
        <f t="shared" ref="E119:H120" si="36">D119</f>
        <v>0.87760000000000005</v>
      </c>
      <c r="F119" s="3088">
        <f t="shared" si="36"/>
        <v>0.87760000000000005</v>
      </c>
      <c r="G119" s="3088">
        <f t="shared" si="36"/>
        <v>0.87760000000000005</v>
      </c>
      <c r="H119" s="3088">
        <f t="shared" si="36"/>
        <v>0.87760000000000005</v>
      </c>
      <c r="I119" s="3088">
        <f>ROUND(0.838-0.0182*B116,4)</f>
        <v>0.75609999999999999</v>
      </c>
      <c r="J119" s="3088">
        <f t="shared" si="35"/>
        <v>0.75609999999999999</v>
      </c>
      <c r="K119" s="3088">
        <f t="shared" si="35"/>
        <v>0.75609999999999999</v>
      </c>
      <c r="L119" s="3088">
        <f t="shared" si="35"/>
        <v>0.75609999999999999</v>
      </c>
      <c r="M119" s="3108">
        <f t="shared" si="35"/>
        <v>0.75609999999999999</v>
      </c>
      <c r="N119" s="3096"/>
    </row>
    <row r="120" spans="1:14">
      <c r="A120" s="3056" t="s">
        <v>3328</v>
      </c>
      <c r="B120" s="3088">
        <f>ROUND(0.9448-0.0115*B116,4)</f>
        <v>0.8931</v>
      </c>
      <c r="C120" s="3088">
        <f>B120</f>
        <v>0.8931</v>
      </c>
      <c r="D120" s="3088">
        <f>ROUND(0.937-0.0145*B116,4)</f>
        <v>0.87180000000000002</v>
      </c>
      <c r="E120" s="3088">
        <f t="shared" si="36"/>
        <v>0.87180000000000002</v>
      </c>
      <c r="F120" s="3088">
        <f t="shared" si="36"/>
        <v>0.87180000000000002</v>
      </c>
      <c r="G120" s="3088">
        <f t="shared" si="36"/>
        <v>0.87180000000000002</v>
      </c>
      <c r="H120" s="3088">
        <f t="shared" si="36"/>
        <v>0.87180000000000002</v>
      </c>
      <c r="I120" s="3088">
        <f>ROUND(0.7965-0.0185*B116,4)</f>
        <v>0.71330000000000005</v>
      </c>
      <c r="J120" s="3088">
        <f t="shared" si="35"/>
        <v>0.71330000000000005</v>
      </c>
      <c r="K120" s="3088">
        <f t="shared" si="35"/>
        <v>0.71330000000000005</v>
      </c>
      <c r="L120" s="3088">
        <f t="shared" si="35"/>
        <v>0.71330000000000005</v>
      </c>
      <c r="M120" s="3108">
        <f t="shared" si="35"/>
        <v>0.71330000000000005</v>
      </c>
      <c r="N120" s="3096"/>
    </row>
    <row r="121" spans="1:14" ht="13.8" thickBot="1">
      <c r="A121" s="3109" t="s">
        <v>3329</v>
      </c>
      <c r="B121" s="3110">
        <f>ROUND(0.7836-0.012*B116,4)</f>
        <v>0.72960000000000003</v>
      </c>
      <c r="C121" s="3110">
        <f>B121</f>
        <v>0.72960000000000003</v>
      </c>
      <c r="D121" s="3110">
        <f>ROUND(0.753-0.015*B116,4)</f>
        <v>0.6855</v>
      </c>
      <c r="E121" s="3110">
        <f>D121</f>
        <v>0.6855</v>
      </c>
      <c r="F121" s="3110">
        <f>E121</f>
        <v>0.6855</v>
      </c>
      <c r="G121" s="3110">
        <f>ROUND(0.6612-0.018*B116,4)</f>
        <v>0.58020000000000005</v>
      </c>
      <c r="H121" s="3110">
        <f>G121</f>
        <v>0.58020000000000005</v>
      </c>
      <c r="I121" s="3110">
        <f>ROUND(0.5905-0.019*B116,4)</f>
        <v>0.505</v>
      </c>
      <c r="J121" s="3110">
        <f t="shared" si="35"/>
        <v>0.505</v>
      </c>
      <c r="K121" s="3110">
        <f t="shared" si="35"/>
        <v>0.505</v>
      </c>
      <c r="L121" s="3110">
        <f t="shared" si="35"/>
        <v>0.505</v>
      </c>
      <c r="M121" s="3111">
        <f t="shared" si="35"/>
        <v>0.505</v>
      </c>
      <c r="N121" s="3096"/>
    </row>
    <row r="122" spans="1:14">
      <c r="A122" s="3112" t="s">
        <v>2610</v>
      </c>
      <c r="B122" s="3088">
        <f>ROUND(0.9404-0.0106*B116,4)</f>
        <v>0.89270000000000005</v>
      </c>
      <c r="C122" s="3088">
        <f>B122</f>
        <v>0.89270000000000005</v>
      </c>
      <c r="D122" s="3088">
        <f>ROUND(0.8955-0.0135*B116,4)</f>
        <v>0.83479999999999999</v>
      </c>
      <c r="E122" s="3088">
        <f t="shared" ref="E122:H122" si="37">D122</f>
        <v>0.83479999999999999</v>
      </c>
      <c r="F122" s="3088">
        <f t="shared" si="37"/>
        <v>0.83479999999999999</v>
      </c>
      <c r="G122" s="3088">
        <f t="shared" si="37"/>
        <v>0.83479999999999999</v>
      </c>
      <c r="H122" s="3088">
        <f t="shared" si="37"/>
        <v>0.83479999999999999</v>
      </c>
      <c r="I122" s="3088">
        <f>ROUND(0.7632-0.0166*B116,4)</f>
        <v>0.6885</v>
      </c>
      <c r="J122" s="3088">
        <f t="shared" si="35"/>
        <v>0.6885</v>
      </c>
      <c r="K122" s="3088">
        <f t="shared" si="35"/>
        <v>0.6885</v>
      </c>
      <c r="L122" s="3088">
        <f t="shared" si="35"/>
        <v>0.6885</v>
      </c>
      <c r="M122" s="3108">
        <f t="shared" si="35"/>
        <v>0.6885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66" t="s">
        <v>2605</v>
      </c>
      <c r="B20" s="3461" t="s">
        <v>2626</v>
      </c>
      <c r="C20" s="2841" t="s">
        <v>2437</v>
      </c>
      <c r="D20" s="2842"/>
      <c r="E20" s="2843">
        <v>1</v>
      </c>
      <c r="F20" s="2844" t="s">
        <v>2438</v>
      </c>
      <c r="G20" s="2844"/>
    </row>
    <row r="21" spans="1:13" ht="19.5" customHeight="1">
      <c r="A21" s="3467"/>
      <c r="B21" s="3460"/>
      <c r="C21" s="2845" t="s">
        <v>2439</v>
      </c>
      <c r="D21" s="2846"/>
      <c r="E21" s="2847">
        <v>1</v>
      </c>
      <c r="F21" s="2844" t="s">
        <v>2440</v>
      </c>
      <c r="G21" s="2844"/>
    </row>
    <row r="22" spans="1:13" ht="19.5" customHeight="1">
      <c r="A22" s="3467"/>
      <c r="B22" s="3460"/>
      <c r="C22" s="2845" t="s">
        <v>2441</v>
      </c>
      <c r="D22" s="2846"/>
      <c r="E22" s="2847">
        <v>0.9</v>
      </c>
      <c r="F22" s="2844" t="s">
        <v>2442</v>
      </c>
      <c r="G22" s="2844"/>
    </row>
    <row r="23" spans="1:13" ht="19.5" customHeight="1">
      <c r="A23" s="3467"/>
      <c r="B23" s="3460"/>
      <c r="C23" s="2845" t="s">
        <v>2443</v>
      </c>
      <c r="D23" s="2846"/>
      <c r="E23" s="2847">
        <v>0.9</v>
      </c>
      <c r="F23" s="2844" t="s">
        <v>2444</v>
      </c>
      <c r="G23" s="2844"/>
    </row>
    <row r="24" spans="1:13" ht="19.5" customHeight="1">
      <c r="A24" s="3467"/>
      <c r="B24" s="3460"/>
      <c r="C24" s="2845" t="s">
        <v>2445</v>
      </c>
      <c r="D24" s="2846"/>
      <c r="E24" s="2847">
        <v>0.8</v>
      </c>
      <c r="F24" s="2844" t="s">
        <v>2446</v>
      </c>
      <c r="G24" s="2844"/>
    </row>
    <row r="25" spans="1:13" ht="19.5" customHeight="1" thickBot="1">
      <c r="A25" s="3468"/>
      <c r="B25" s="3462"/>
      <c r="C25" s="2848" t="s">
        <v>2447</v>
      </c>
      <c r="D25" s="2849"/>
      <c r="E25" s="2850">
        <v>0.8</v>
      </c>
      <c r="F25" s="2844" t="s">
        <v>2448</v>
      </c>
      <c r="G25" s="2844"/>
    </row>
    <row r="26" spans="1:13" ht="19.5" customHeight="1" thickBot="1">
      <c r="A26" s="2851" t="s">
        <v>2627</v>
      </c>
      <c r="B26" s="2852" t="s">
        <v>2626</v>
      </c>
      <c r="C26" s="2853" t="s">
        <v>2628</v>
      </c>
      <c r="D26" s="2854"/>
      <c r="E26" s="2855">
        <v>1</v>
      </c>
      <c r="F26" s="2844" t="s">
        <v>2449</v>
      </c>
      <c r="G26" s="2844"/>
    </row>
    <row r="27" spans="1:13" ht="19.5" customHeight="1">
      <c r="A27" s="3463" t="s">
        <v>2629</v>
      </c>
      <c r="B27" s="3461" t="s">
        <v>2610</v>
      </c>
      <c r="C27" s="2841" t="s">
        <v>2450</v>
      </c>
      <c r="D27" s="2842"/>
      <c r="E27" s="2843">
        <v>1</v>
      </c>
      <c r="F27" s="2844" t="s">
        <v>2451</v>
      </c>
      <c r="G27" s="2844"/>
    </row>
    <row r="28" spans="1:13" ht="19.5" customHeight="1">
      <c r="A28" s="3464"/>
      <c r="B28" s="3460"/>
      <c r="C28" s="2845" t="s">
        <v>2452</v>
      </c>
      <c r="D28" s="2846"/>
      <c r="E28" s="2847">
        <v>1</v>
      </c>
      <c r="F28" s="2844" t="s">
        <v>2453</v>
      </c>
      <c r="G28" s="2844"/>
    </row>
    <row r="29" spans="1:13" ht="19.5" customHeight="1">
      <c r="A29" s="3464"/>
      <c r="B29" s="3460"/>
      <c r="C29" s="2845" t="s">
        <v>2454</v>
      </c>
      <c r="D29" s="2846"/>
      <c r="E29" s="2847">
        <v>0.8</v>
      </c>
      <c r="F29" s="2844" t="s">
        <v>2455</v>
      </c>
      <c r="G29" s="2844"/>
    </row>
    <row r="30" spans="1:13" ht="19.5" customHeight="1">
      <c r="A30" s="3464"/>
      <c r="B30" s="3460"/>
      <c r="C30" s="2845" t="s">
        <v>2456</v>
      </c>
      <c r="D30" s="2846"/>
      <c r="E30" s="2847">
        <v>0.8</v>
      </c>
      <c r="F30" s="2844" t="s">
        <v>2457</v>
      </c>
      <c r="G30" s="2844"/>
    </row>
    <row r="31" spans="1:13" ht="19.5" customHeight="1">
      <c r="A31" s="3464"/>
      <c r="B31" s="3460"/>
      <c r="C31" s="2845" t="s">
        <v>2458</v>
      </c>
      <c r="D31" s="2846"/>
      <c r="E31" s="2847">
        <v>0.8</v>
      </c>
      <c r="F31" s="2844" t="s">
        <v>2459</v>
      </c>
      <c r="G31" s="2844"/>
    </row>
    <row r="32" spans="1:13" ht="19.5" customHeight="1">
      <c r="A32" s="3464"/>
      <c r="B32" s="3460"/>
      <c r="C32" s="2845" t="s">
        <v>2460</v>
      </c>
      <c r="D32" s="2846"/>
      <c r="E32" s="2847">
        <v>0.7</v>
      </c>
      <c r="F32" s="2844" t="s">
        <v>2461</v>
      </c>
      <c r="G32" s="2844"/>
    </row>
    <row r="33" spans="1:7" ht="19.5" customHeight="1">
      <c r="A33" s="3464"/>
      <c r="B33" s="3460"/>
      <c r="C33" s="2845" t="s">
        <v>2462</v>
      </c>
      <c r="D33" s="2846"/>
      <c r="E33" s="2847">
        <v>0.8</v>
      </c>
      <c r="F33" s="2844" t="s">
        <v>2463</v>
      </c>
      <c r="G33" s="2844"/>
    </row>
    <row r="34" spans="1:7" ht="19.5" customHeight="1">
      <c r="A34" s="3464"/>
      <c r="B34" s="3460"/>
      <c r="C34" s="2845" t="s">
        <v>2464</v>
      </c>
      <c r="D34" s="2846"/>
      <c r="E34" s="2847">
        <v>0.6</v>
      </c>
      <c r="F34" s="2844" t="s">
        <v>2465</v>
      </c>
      <c r="G34" s="2844"/>
    </row>
    <row r="35" spans="1:7" ht="19.5" customHeight="1">
      <c r="A35" s="3464"/>
      <c r="B35" s="3460"/>
      <c r="C35" s="2845" t="s">
        <v>2466</v>
      </c>
      <c r="D35" s="2846"/>
      <c r="E35" s="2847">
        <v>0.2</v>
      </c>
      <c r="F35" s="2844" t="s">
        <v>2467</v>
      </c>
      <c r="G35" s="2844"/>
    </row>
    <row r="36" spans="1:7" ht="19.5" customHeight="1">
      <c r="A36" s="3464"/>
      <c r="B36" s="3460"/>
      <c r="C36" s="2845" t="s">
        <v>2468</v>
      </c>
      <c r="D36" s="2846"/>
      <c r="E36" s="2847">
        <v>0.2</v>
      </c>
      <c r="F36" s="2844" t="s">
        <v>2469</v>
      </c>
      <c r="G36" s="2844"/>
    </row>
    <row r="37" spans="1:7" ht="19.5" customHeight="1">
      <c r="A37" s="3464"/>
      <c r="B37" s="3458" t="s">
        <v>2630</v>
      </c>
      <c r="C37" s="2845" t="s">
        <v>2470</v>
      </c>
      <c r="D37" s="2846"/>
      <c r="E37" s="2847">
        <v>0.6</v>
      </c>
      <c r="F37" s="2844" t="s">
        <v>2471</v>
      </c>
      <c r="G37" s="2844"/>
    </row>
    <row r="38" spans="1:7" ht="19.5" customHeight="1">
      <c r="A38" s="3464"/>
      <c r="B38" s="3460"/>
      <c r="C38" s="2845" t="s">
        <v>2472</v>
      </c>
      <c r="D38" s="2846"/>
      <c r="E38" s="2847">
        <v>0.6</v>
      </c>
      <c r="F38" s="2844" t="s">
        <v>2473</v>
      </c>
      <c r="G38" s="2844"/>
    </row>
    <row r="39" spans="1:7" ht="19.5" customHeight="1" thickBot="1">
      <c r="A39" s="3465"/>
      <c r="B39" s="3462"/>
      <c r="C39" s="2848" t="s">
        <v>2474</v>
      </c>
      <c r="D39" s="2849"/>
      <c r="E39" s="2850">
        <v>0.6</v>
      </c>
      <c r="F39" s="2844" t="s">
        <v>2475</v>
      </c>
      <c r="G39" s="2844"/>
    </row>
    <row r="40" spans="1:7" ht="19.5" customHeight="1" thickBot="1">
      <c r="A40" s="2851" t="s">
        <v>2607</v>
      </c>
      <c r="B40" s="2852" t="s">
        <v>2607</v>
      </c>
      <c r="C40" s="2853" t="s">
        <v>2631</v>
      </c>
      <c r="D40" s="2854"/>
      <c r="E40" s="2855">
        <v>1</v>
      </c>
      <c r="F40" s="2844" t="s">
        <v>2476</v>
      </c>
      <c r="G40" s="2844"/>
    </row>
    <row r="41" spans="1:7" ht="19.5" customHeight="1">
      <c r="A41" s="3466" t="s">
        <v>2608</v>
      </c>
      <c r="B41" s="3461" t="s">
        <v>2632</v>
      </c>
      <c r="C41" s="2841" t="s">
        <v>2477</v>
      </c>
      <c r="D41" s="2842"/>
      <c r="E41" s="2843">
        <v>1</v>
      </c>
      <c r="F41" s="2844" t="s">
        <v>2478</v>
      </c>
      <c r="G41" s="2844"/>
    </row>
    <row r="42" spans="1:7" ht="19.5" customHeight="1">
      <c r="A42" s="3467"/>
      <c r="B42" s="3460"/>
      <c r="C42" s="2845" t="s">
        <v>2479</v>
      </c>
      <c r="D42" s="2846"/>
      <c r="E42" s="2847">
        <v>1</v>
      </c>
      <c r="F42" s="2844" t="s">
        <v>2480</v>
      </c>
      <c r="G42" s="2844"/>
    </row>
    <row r="43" spans="1:7" ht="19.5" customHeight="1">
      <c r="A43" s="3467"/>
      <c r="B43" s="3459"/>
      <c r="C43" s="2845" t="s">
        <v>2481</v>
      </c>
      <c r="D43" s="2846"/>
      <c r="E43" s="2847">
        <v>1.5</v>
      </c>
      <c r="F43" s="2844" t="s">
        <v>2482</v>
      </c>
      <c r="G43" s="2844"/>
    </row>
    <row r="44" spans="1:7" ht="19.5" customHeight="1">
      <c r="A44" s="3467"/>
      <c r="B44" s="2856" t="s">
        <v>2633</v>
      </c>
      <c r="C44" s="2845" t="s">
        <v>2634</v>
      </c>
      <c r="D44" s="2846"/>
      <c r="E44" s="2847">
        <v>2</v>
      </c>
      <c r="F44" s="2844" t="s">
        <v>2483</v>
      </c>
      <c r="G44" s="2844"/>
    </row>
    <row r="45" spans="1:7" ht="19.5" customHeight="1">
      <c r="A45" s="3467"/>
      <c r="B45" s="3458" t="s">
        <v>2635</v>
      </c>
      <c r="C45" s="2845" t="s">
        <v>2484</v>
      </c>
      <c r="D45" s="2846"/>
      <c r="E45" s="2847">
        <v>1</v>
      </c>
      <c r="F45" s="2844" t="s">
        <v>2485</v>
      </c>
      <c r="G45" s="2844"/>
    </row>
    <row r="46" spans="1:7" ht="19.5" customHeight="1">
      <c r="A46" s="3467"/>
      <c r="B46" s="3460"/>
      <c r="C46" s="2845" t="s">
        <v>2486</v>
      </c>
      <c r="D46" s="2846"/>
      <c r="E46" s="2847">
        <v>1</v>
      </c>
      <c r="F46" s="2844" t="s">
        <v>2487</v>
      </c>
      <c r="G46" s="2844"/>
    </row>
    <row r="47" spans="1:7" ht="19.5" customHeight="1">
      <c r="A47" s="3467"/>
      <c r="B47" s="3460"/>
      <c r="C47" s="2845" t="s">
        <v>2488</v>
      </c>
      <c r="D47" s="2846"/>
      <c r="E47" s="2847">
        <v>1</v>
      </c>
      <c r="F47" s="2844" t="s">
        <v>2489</v>
      </c>
      <c r="G47" s="2844"/>
    </row>
    <row r="48" spans="1:7" ht="19.5" customHeight="1">
      <c r="A48" s="3467"/>
      <c r="B48" s="3460"/>
      <c r="C48" s="2845" t="s">
        <v>2490</v>
      </c>
      <c r="D48" s="2846"/>
      <c r="E48" s="2847">
        <v>1</v>
      </c>
      <c r="F48" s="2844" t="s">
        <v>2491</v>
      </c>
      <c r="G48" s="2844"/>
    </row>
    <row r="49" spans="1:7" ht="19.5" customHeight="1">
      <c r="A49" s="3467"/>
      <c r="B49" s="3460"/>
      <c r="C49" s="2845" t="s">
        <v>2492</v>
      </c>
      <c r="D49" s="2846"/>
      <c r="E49" s="2847">
        <v>1</v>
      </c>
      <c r="F49" s="2844" t="s">
        <v>2493</v>
      </c>
      <c r="G49" s="2844"/>
    </row>
    <row r="50" spans="1:7" ht="19.5" customHeight="1">
      <c r="A50" s="3467"/>
      <c r="B50" s="3460"/>
      <c r="C50" s="2845" t="s">
        <v>2494</v>
      </c>
      <c r="D50" s="2846"/>
      <c r="E50" s="2847">
        <v>1</v>
      </c>
      <c r="F50" s="2844" t="s">
        <v>2495</v>
      </c>
      <c r="G50" s="2844"/>
    </row>
    <row r="51" spans="1:7" ht="19.5" customHeight="1" thickBot="1">
      <c r="A51" s="3468"/>
      <c r="B51" s="3462"/>
      <c r="C51" s="2848" t="s">
        <v>2496</v>
      </c>
      <c r="D51" s="2849"/>
      <c r="E51" s="2850">
        <v>1</v>
      </c>
      <c r="F51" s="2844" t="s">
        <v>2497</v>
      </c>
      <c r="G51" s="2844"/>
    </row>
    <row r="52" spans="1:7" ht="19.5" customHeight="1">
      <c r="A52" s="2857"/>
      <c r="B52" s="2857"/>
      <c r="C52" s="2857"/>
      <c r="D52" s="2857"/>
      <c r="E52" s="2857"/>
      <c r="F52" s="2857"/>
      <c r="G52" s="2857"/>
    </row>
    <row r="54" spans="1:7" ht="19.5" customHeight="1">
      <c r="A54" s="2858"/>
      <c r="B54" s="2830" t="s">
        <v>2636</v>
      </c>
      <c r="C54" s="2830" t="s">
        <v>2636</v>
      </c>
      <c r="D54" s="2830" t="s">
        <v>2636</v>
      </c>
      <c r="E54" s="2833" t="s">
        <v>2636</v>
      </c>
      <c r="F54" s="2833" t="s">
        <v>2637</v>
      </c>
      <c r="G54" s="2833" t="s">
        <v>2638</v>
      </c>
    </row>
    <row r="55" spans="1:7" ht="19.5" customHeight="1">
      <c r="A55" s="2859"/>
      <c r="B55" s="2833" t="s">
        <v>2605</v>
      </c>
      <c r="C55" s="2833" t="s">
        <v>2605</v>
      </c>
      <c r="D55" s="2833" t="s">
        <v>2605</v>
      </c>
      <c r="E55" s="2830" t="s">
        <v>2606</v>
      </c>
      <c r="F55" s="2830" t="s">
        <v>2608</v>
      </c>
      <c r="G55" s="2830" t="s">
        <v>2639</v>
      </c>
    </row>
    <row r="56" spans="1:7" ht="19.5" customHeight="1">
      <c r="A56" s="2860"/>
      <c r="B56" s="2830">
        <v>1</v>
      </c>
      <c r="C56" s="2830">
        <v>2</v>
      </c>
      <c r="D56" s="2830">
        <v>3</v>
      </c>
      <c r="E56" s="2861" t="s">
        <v>2640</v>
      </c>
      <c r="F56" s="2861" t="s">
        <v>2640</v>
      </c>
      <c r="G56" s="2861" t="s">
        <v>2640</v>
      </c>
    </row>
    <row r="57" spans="1:7" ht="19.5" customHeight="1">
      <c r="A57" s="2862" t="s">
        <v>2593</v>
      </c>
      <c r="B57" s="2830">
        <v>0.7</v>
      </c>
      <c r="C57" s="2830">
        <v>0.4</v>
      </c>
      <c r="D57" s="2830">
        <v>0.3</v>
      </c>
      <c r="E57" s="2861">
        <v>0.3</v>
      </c>
      <c r="F57" s="2830">
        <v>0.3</v>
      </c>
      <c r="G57" s="2830">
        <v>0.2</v>
      </c>
    </row>
    <row r="58" spans="1:7" ht="19.5" customHeight="1">
      <c r="A58" s="2862" t="s">
        <v>2594</v>
      </c>
      <c r="B58" s="2830">
        <v>0.7</v>
      </c>
      <c r="C58" s="2830">
        <v>0.4</v>
      </c>
      <c r="D58" s="2830">
        <v>0.3</v>
      </c>
      <c r="E58" s="2830">
        <v>0.3</v>
      </c>
      <c r="F58" s="2830">
        <v>0.3</v>
      </c>
      <c r="G58" s="2830">
        <v>0.2</v>
      </c>
    </row>
    <row r="59" spans="1:7" ht="19.5" customHeight="1">
      <c r="A59" s="2862" t="s">
        <v>2595</v>
      </c>
      <c r="B59" s="2830">
        <v>0.6</v>
      </c>
      <c r="C59" s="2830">
        <v>0.3</v>
      </c>
      <c r="D59" s="2830">
        <v>0.25</v>
      </c>
      <c r="E59" s="2830">
        <v>0.25</v>
      </c>
      <c r="F59" s="2830">
        <v>0.25</v>
      </c>
      <c r="G59" s="2830">
        <v>0.15</v>
      </c>
    </row>
    <row r="60" spans="1:7" ht="19.5" customHeight="1">
      <c r="A60" s="2862" t="s">
        <v>2596</v>
      </c>
      <c r="B60" s="2830">
        <v>0.6</v>
      </c>
      <c r="C60" s="2830">
        <v>0.3</v>
      </c>
      <c r="D60" s="2830">
        <v>0.25</v>
      </c>
      <c r="E60" s="2830">
        <v>0.25</v>
      </c>
      <c r="F60" s="2830">
        <v>0.25</v>
      </c>
      <c r="G60" s="2830">
        <v>0.15</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0.5</v>
      </c>
      <c r="C64" s="2830">
        <v>0.2</v>
      </c>
      <c r="D64" s="2830">
        <v>0.2</v>
      </c>
      <c r="E64" s="2830">
        <v>0.2</v>
      </c>
      <c r="F64" s="2830">
        <v>0.2</v>
      </c>
      <c r="G64" s="2830">
        <v>0.1</v>
      </c>
    </row>
    <row r="65" spans="1:7" ht="19.5" customHeight="1">
      <c r="A65" s="2862" t="s">
        <v>2601</v>
      </c>
      <c r="B65" s="2830">
        <v>0.5</v>
      </c>
      <c r="C65" s="2830">
        <v>0.2</v>
      </c>
      <c r="D65" s="2830">
        <v>0.2</v>
      </c>
      <c r="E65" s="2830">
        <v>0.2</v>
      </c>
      <c r="F65" s="2830">
        <v>0.2</v>
      </c>
      <c r="G65" s="2830">
        <v>0.1</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70" spans="1:7" ht="19.5" customHeight="1">
      <c r="A70" s="2844"/>
      <c r="B70" s="2863"/>
      <c r="C70" s="2863"/>
      <c r="D70" s="2863" t="s">
        <v>2641</v>
      </c>
      <c r="E70" s="2863"/>
      <c r="F70" s="2863"/>
    </row>
    <row r="71" spans="1:7" ht="19.5" customHeight="1">
      <c r="A71" s="2856" t="s">
        <v>2642</v>
      </c>
      <c r="B71" s="2856" t="s">
        <v>2643</v>
      </c>
      <c r="C71" s="2856" t="s">
        <v>2644</v>
      </c>
      <c r="D71" s="2856" t="s">
        <v>2645</v>
      </c>
      <c r="E71" s="2856" t="s">
        <v>2646</v>
      </c>
      <c r="F71" s="2856" t="s">
        <v>2647</v>
      </c>
    </row>
    <row r="72" spans="1:7" ht="14.4">
      <c r="A72" s="2856"/>
      <c r="B72" s="2856"/>
      <c r="C72" s="2856" t="s">
        <v>2648</v>
      </c>
      <c r="D72" s="2856"/>
      <c r="E72" s="2856" t="s">
        <v>2619</v>
      </c>
      <c r="F72" s="2856" t="s">
        <v>2619</v>
      </c>
    </row>
    <row r="73" spans="1:7" ht="14.4">
      <c r="A73" s="2856">
        <v>1</v>
      </c>
      <c r="B73" s="3458" t="s">
        <v>2649</v>
      </c>
      <c r="C73" s="2830" t="s">
        <v>2650</v>
      </c>
      <c r="D73" s="2830" t="s">
        <v>2651</v>
      </c>
      <c r="E73" s="2856">
        <v>0.2</v>
      </c>
      <c r="F73" s="2856">
        <v>25</v>
      </c>
    </row>
    <row r="74" spans="1:7" ht="24">
      <c r="A74" s="2856">
        <v>2</v>
      </c>
      <c r="B74" s="3460"/>
      <c r="C74" s="2830" t="s">
        <v>2652</v>
      </c>
      <c r="D74" s="2830" t="s">
        <v>2653</v>
      </c>
      <c r="E74" s="2856">
        <v>0.2</v>
      </c>
      <c r="F74" s="2856">
        <v>25</v>
      </c>
    </row>
    <row r="75" spans="1:7" ht="24">
      <c r="A75" s="2856">
        <v>3</v>
      </c>
      <c r="B75" s="3460"/>
      <c r="C75" s="2830" t="s">
        <v>2654</v>
      </c>
      <c r="D75" s="2830" t="s">
        <v>2655</v>
      </c>
      <c r="E75" s="2856">
        <v>0.2</v>
      </c>
      <c r="F75" s="2856">
        <v>25</v>
      </c>
    </row>
    <row r="76" spans="1:7" ht="14.4">
      <c r="A76" s="2856">
        <v>4</v>
      </c>
      <c r="B76" s="3460"/>
      <c r="C76" s="2830" t="s">
        <v>2656</v>
      </c>
      <c r="D76" s="2830" t="s">
        <v>2657</v>
      </c>
      <c r="E76" s="2856">
        <v>0.15</v>
      </c>
      <c r="F76" s="2856">
        <v>20</v>
      </c>
    </row>
    <row r="77" spans="1:7" ht="24">
      <c r="A77" s="2856">
        <v>5</v>
      </c>
      <c r="B77" s="3460"/>
      <c r="C77" s="2830" t="s">
        <v>2658</v>
      </c>
      <c r="D77" s="2830" t="s">
        <v>2659</v>
      </c>
      <c r="E77" s="2856">
        <v>0.15</v>
      </c>
      <c r="F77" s="2856">
        <v>20</v>
      </c>
    </row>
    <row r="78" spans="1:7" ht="24">
      <c r="A78" s="2856">
        <v>6</v>
      </c>
      <c r="B78" s="3460"/>
      <c r="C78" s="2830" t="s">
        <v>2660</v>
      </c>
      <c r="D78" s="2830" t="s">
        <v>2661</v>
      </c>
      <c r="E78" s="2856">
        <v>0.15</v>
      </c>
      <c r="F78" s="2856">
        <v>20</v>
      </c>
    </row>
    <row r="79" spans="1:7" ht="24">
      <c r="A79" s="2856">
        <v>7</v>
      </c>
      <c r="B79" s="3460"/>
      <c r="C79" s="2830" t="s">
        <v>2662</v>
      </c>
      <c r="D79" s="2830" t="s">
        <v>2663</v>
      </c>
      <c r="E79" s="2856">
        <v>0.15</v>
      </c>
      <c r="F79" s="2856">
        <v>20</v>
      </c>
    </row>
    <row r="80" spans="1:7" ht="24">
      <c r="A80" s="2856">
        <v>8</v>
      </c>
      <c r="B80" s="3460"/>
      <c r="C80" s="2830" t="s">
        <v>2664</v>
      </c>
      <c r="D80" s="2830" t="s">
        <v>2665</v>
      </c>
      <c r="E80" s="2856">
        <v>0.1</v>
      </c>
      <c r="F80" s="2856">
        <v>15</v>
      </c>
    </row>
    <row r="81" spans="1:6" ht="24">
      <c r="A81" s="2856">
        <v>9</v>
      </c>
      <c r="B81" s="3460"/>
      <c r="C81" s="2830" t="s">
        <v>2666</v>
      </c>
      <c r="D81" s="2830" t="s">
        <v>2667</v>
      </c>
      <c r="E81" s="2856">
        <v>0.1</v>
      </c>
      <c r="F81" s="2856">
        <v>15</v>
      </c>
    </row>
    <row r="82" spans="1:6" ht="24">
      <c r="A82" s="2856">
        <v>10</v>
      </c>
      <c r="B82" s="3460"/>
      <c r="C82" s="2830" t="s">
        <v>2668</v>
      </c>
      <c r="D82" s="2830" t="s">
        <v>2669</v>
      </c>
      <c r="E82" s="2856">
        <v>0.1</v>
      </c>
      <c r="F82" s="2856">
        <v>15</v>
      </c>
    </row>
    <row r="83" spans="1:6" ht="24">
      <c r="A83" s="2856">
        <v>11</v>
      </c>
      <c r="B83" s="3460"/>
      <c r="C83" s="2830" t="s">
        <v>2670</v>
      </c>
      <c r="D83" s="2830" t="s">
        <v>2671</v>
      </c>
      <c r="E83" s="2856">
        <v>0.1</v>
      </c>
      <c r="F83" s="2856">
        <v>15</v>
      </c>
    </row>
    <row r="84" spans="1:6" ht="24">
      <c r="A84" s="2856">
        <v>12</v>
      </c>
      <c r="B84" s="3460"/>
      <c r="C84" s="2830" t="s">
        <v>2672</v>
      </c>
      <c r="D84" s="2830" t="s">
        <v>2673</v>
      </c>
      <c r="E84" s="2856">
        <v>0.1</v>
      </c>
      <c r="F84" s="2856">
        <v>15</v>
      </c>
    </row>
    <row r="85" spans="1:6" ht="24">
      <c r="A85" s="2856">
        <v>13</v>
      </c>
      <c r="B85" s="3460"/>
      <c r="C85" s="2830" t="s">
        <v>2674</v>
      </c>
      <c r="D85" s="2830" t="s">
        <v>2675</v>
      </c>
      <c r="E85" s="2856">
        <v>0.1</v>
      </c>
      <c r="F85" s="2856">
        <v>15</v>
      </c>
    </row>
    <row r="86" spans="1:6" ht="24">
      <c r="A86" s="2856">
        <v>14</v>
      </c>
      <c r="B86" s="3460"/>
      <c r="C86" s="2830" t="s">
        <v>2676</v>
      </c>
      <c r="D86" s="2830" t="s">
        <v>2677</v>
      </c>
      <c r="E86" s="2856">
        <v>0.1</v>
      </c>
      <c r="F86" s="2856">
        <v>15</v>
      </c>
    </row>
    <row r="87" spans="1:6" ht="24">
      <c r="A87" s="2856">
        <v>15</v>
      </c>
      <c r="B87" s="3460"/>
      <c r="C87" s="2830" t="s">
        <v>2678</v>
      </c>
      <c r="D87" s="2830" t="s">
        <v>2679</v>
      </c>
      <c r="E87" s="2856">
        <v>0.1</v>
      </c>
      <c r="F87" s="2856">
        <v>15</v>
      </c>
    </row>
    <row r="88" spans="1:6" ht="24">
      <c r="A88" s="2856">
        <v>16</v>
      </c>
      <c r="B88" s="3460"/>
      <c r="C88" s="2830" t="s">
        <v>2680</v>
      </c>
      <c r="D88" s="2830" t="s">
        <v>2681</v>
      </c>
      <c r="E88" s="2856">
        <v>0.1</v>
      </c>
      <c r="F88" s="2856">
        <v>15</v>
      </c>
    </row>
    <row r="89" spans="1:6" ht="24">
      <c r="A89" s="2856">
        <v>17</v>
      </c>
      <c r="B89" s="3459"/>
      <c r="C89" s="2830" t="s">
        <v>2682</v>
      </c>
      <c r="D89" s="2830" t="s">
        <v>2683</v>
      </c>
      <c r="E89" s="2856">
        <v>0.1</v>
      </c>
      <c r="F89" s="2856">
        <v>15</v>
      </c>
    </row>
    <row r="90" spans="1:6" ht="14.4">
      <c r="A90" s="2856">
        <v>18</v>
      </c>
      <c r="B90" s="3458" t="s">
        <v>2684</v>
      </c>
      <c r="C90" s="2830" t="s">
        <v>2685</v>
      </c>
      <c r="D90" s="2830" t="s">
        <v>2686</v>
      </c>
      <c r="E90" s="2856">
        <v>0.2</v>
      </c>
      <c r="F90" s="2856">
        <v>25</v>
      </c>
    </row>
    <row r="91" spans="1:6" ht="24">
      <c r="A91" s="2856">
        <v>19</v>
      </c>
      <c r="B91" s="3460"/>
      <c r="C91" s="2830" t="s">
        <v>2687</v>
      </c>
      <c r="D91" s="2830" t="s">
        <v>2688</v>
      </c>
      <c r="E91" s="2856">
        <v>0.2</v>
      </c>
      <c r="F91" s="2856">
        <v>25</v>
      </c>
    </row>
    <row r="92" spans="1:6" ht="14.4">
      <c r="A92" s="2856">
        <v>20</v>
      </c>
      <c r="B92" s="3460"/>
      <c r="C92" s="2830" t="s">
        <v>2689</v>
      </c>
      <c r="D92" s="2830" t="s">
        <v>2690</v>
      </c>
      <c r="E92" s="2856">
        <v>0.15</v>
      </c>
      <c r="F92" s="2856">
        <v>20</v>
      </c>
    </row>
    <row r="93" spans="1:6" ht="24">
      <c r="A93" s="2856">
        <v>21</v>
      </c>
      <c r="B93" s="3460"/>
      <c r="C93" s="2830" t="s">
        <v>2691</v>
      </c>
      <c r="D93" s="2830" t="s">
        <v>2692</v>
      </c>
      <c r="E93" s="2856">
        <v>0.15</v>
      </c>
      <c r="F93" s="2856">
        <v>20</v>
      </c>
    </row>
    <row r="94" spans="1:6" ht="24">
      <c r="A94" s="2856">
        <v>22</v>
      </c>
      <c r="B94" s="3460"/>
      <c r="C94" s="2830" t="s">
        <v>2693</v>
      </c>
      <c r="D94" s="2830" t="s">
        <v>2694</v>
      </c>
      <c r="E94" s="2856">
        <v>0.15</v>
      </c>
      <c r="F94" s="2856">
        <v>20</v>
      </c>
    </row>
    <row r="95" spans="1:6" ht="36">
      <c r="A95" s="2856">
        <v>23</v>
      </c>
      <c r="B95" s="3460"/>
      <c r="C95" s="2830" t="s">
        <v>2695</v>
      </c>
      <c r="D95" s="2830" t="s">
        <v>2696</v>
      </c>
      <c r="E95" s="2856">
        <v>0.15</v>
      </c>
      <c r="F95" s="2856">
        <v>20</v>
      </c>
    </row>
    <row r="96" spans="1:6" ht="24">
      <c r="A96" s="2856">
        <v>24</v>
      </c>
      <c r="B96" s="3460"/>
      <c r="C96" s="2830" t="s">
        <v>2697</v>
      </c>
      <c r="D96" s="2830" t="s">
        <v>2698</v>
      </c>
      <c r="E96" s="2856">
        <v>0.1</v>
      </c>
      <c r="F96" s="2856">
        <v>15</v>
      </c>
    </row>
    <row r="97" spans="1:6" ht="24">
      <c r="A97" s="2856">
        <v>25</v>
      </c>
      <c r="B97" s="3460"/>
      <c r="C97" s="2830" t="s">
        <v>2699</v>
      </c>
      <c r="D97" s="2830" t="s">
        <v>2700</v>
      </c>
      <c r="E97" s="2856">
        <v>0.1</v>
      </c>
      <c r="F97" s="2856">
        <v>15</v>
      </c>
    </row>
    <row r="98" spans="1:6" ht="24">
      <c r="A98" s="2856">
        <v>26</v>
      </c>
      <c r="B98" s="3460"/>
      <c r="C98" s="2830" t="s">
        <v>2701</v>
      </c>
      <c r="D98" s="2830" t="s">
        <v>2702</v>
      </c>
      <c r="E98" s="2856">
        <v>0.1</v>
      </c>
      <c r="F98" s="2856">
        <v>15</v>
      </c>
    </row>
    <row r="99" spans="1:6" ht="24">
      <c r="A99" s="2856">
        <v>27</v>
      </c>
      <c r="B99" s="3460"/>
      <c r="C99" s="2830" t="s">
        <v>2703</v>
      </c>
      <c r="D99" s="2830" t="s">
        <v>2704</v>
      </c>
      <c r="E99" s="2856">
        <v>0.1</v>
      </c>
      <c r="F99" s="2856">
        <v>15</v>
      </c>
    </row>
    <row r="100" spans="1:6" ht="24">
      <c r="A100" s="2856">
        <v>28</v>
      </c>
      <c r="B100" s="3460"/>
      <c r="C100" s="2830" t="s">
        <v>2705</v>
      </c>
      <c r="D100" s="2830" t="s">
        <v>2706</v>
      </c>
      <c r="E100" s="2856">
        <v>0.1</v>
      </c>
      <c r="F100" s="2856">
        <v>15</v>
      </c>
    </row>
    <row r="101" spans="1:6" ht="24">
      <c r="A101" s="2856">
        <v>29</v>
      </c>
      <c r="B101" s="3460"/>
      <c r="C101" s="2830" t="s">
        <v>2707</v>
      </c>
      <c r="D101" s="2830" t="s">
        <v>2708</v>
      </c>
      <c r="E101" s="2856">
        <v>0.1</v>
      </c>
      <c r="F101" s="2856">
        <v>15</v>
      </c>
    </row>
    <row r="102" spans="1:6" ht="24">
      <c r="A102" s="2856">
        <v>30</v>
      </c>
      <c r="B102" s="3460"/>
      <c r="C102" s="2830" t="s">
        <v>2709</v>
      </c>
      <c r="D102" s="2830" t="s">
        <v>2710</v>
      </c>
      <c r="E102" s="2856">
        <v>0.1</v>
      </c>
      <c r="F102" s="2856">
        <v>15</v>
      </c>
    </row>
    <row r="103" spans="1:6" ht="24">
      <c r="A103" s="2856">
        <v>31</v>
      </c>
      <c r="B103" s="3460"/>
      <c r="C103" s="2830" t="s">
        <v>2711</v>
      </c>
      <c r="D103" s="2830" t="s">
        <v>2712</v>
      </c>
      <c r="E103" s="2856">
        <v>0.1</v>
      </c>
      <c r="F103" s="2856">
        <v>15</v>
      </c>
    </row>
    <row r="104" spans="1:6" ht="24">
      <c r="A104" s="2856">
        <v>32</v>
      </c>
      <c r="B104" s="3460"/>
      <c r="C104" s="2830" t="s">
        <v>2713</v>
      </c>
      <c r="D104" s="2830" t="s">
        <v>2714</v>
      </c>
      <c r="E104" s="2856">
        <v>0.1</v>
      </c>
      <c r="F104" s="2856">
        <v>15</v>
      </c>
    </row>
    <row r="105" spans="1:6" ht="24">
      <c r="A105" s="2856">
        <v>33</v>
      </c>
      <c r="B105" s="3460"/>
      <c r="C105" s="2830" t="s">
        <v>2715</v>
      </c>
      <c r="D105" s="2830" t="s">
        <v>2716</v>
      </c>
      <c r="E105" s="2856">
        <v>0.1</v>
      </c>
      <c r="F105" s="2856">
        <v>15</v>
      </c>
    </row>
    <row r="106" spans="1:6" ht="24">
      <c r="A106" s="2856">
        <v>34</v>
      </c>
      <c r="B106" s="3459"/>
      <c r="C106" s="2830" t="s">
        <v>2717</v>
      </c>
      <c r="D106" s="2830" t="s">
        <v>2718</v>
      </c>
      <c r="E106" s="2856">
        <v>0.1</v>
      </c>
      <c r="F106" s="2856">
        <v>15</v>
      </c>
    </row>
    <row r="107" spans="1:6" ht="36">
      <c r="A107" s="2856">
        <v>35</v>
      </c>
      <c r="B107" s="3458" t="s">
        <v>2719</v>
      </c>
      <c r="C107" s="2856" t="s">
        <v>2720</v>
      </c>
      <c r="D107" s="2830" t="s">
        <v>2721</v>
      </c>
      <c r="E107" s="2856">
        <v>0.15</v>
      </c>
      <c r="F107" s="2856">
        <v>20</v>
      </c>
    </row>
    <row r="108" spans="1:6" ht="24">
      <c r="A108" s="2856">
        <v>36</v>
      </c>
      <c r="B108" s="3460"/>
      <c r="C108" s="2856" t="s">
        <v>2722</v>
      </c>
      <c r="D108" s="2830" t="s">
        <v>2723</v>
      </c>
      <c r="E108" s="2856">
        <v>0.15</v>
      </c>
      <c r="F108" s="2856">
        <v>20</v>
      </c>
    </row>
    <row r="109" spans="1:6" ht="24">
      <c r="A109" s="2856">
        <v>37</v>
      </c>
      <c r="B109" s="3460"/>
      <c r="C109" s="2856" t="s">
        <v>2724</v>
      </c>
      <c r="D109" s="2830" t="s">
        <v>2725</v>
      </c>
      <c r="E109" s="2856">
        <v>0.15</v>
      </c>
      <c r="F109" s="2856">
        <v>20</v>
      </c>
    </row>
    <row r="110" spans="1:6" ht="24">
      <c r="A110" s="2856">
        <v>38</v>
      </c>
      <c r="B110" s="3460"/>
      <c r="C110" s="2856" t="s">
        <v>2726</v>
      </c>
      <c r="D110" s="2830" t="s">
        <v>2727</v>
      </c>
      <c r="E110" s="2856">
        <v>0.1</v>
      </c>
      <c r="F110" s="2856">
        <v>15</v>
      </c>
    </row>
    <row r="111" spans="1:6" ht="24">
      <c r="A111" s="2856">
        <v>39</v>
      </c>
      <c r="B111" s="3460"/>
      <c r="C111" s="2856" t="s">
        <v>2728</v>
      </c>
      <c r="D111" s="2830" t="s">
        <v>2729</v>
      </c>
      <c r="E111" s="2856">
        <v>0.1</v>
      </c>
      <c r="F111" s="2856">
        <v>15</v>
      </c>
    </row>
    <row r="112" spans="1:6" ht="24">
      <c r="A112" s="2856">
        <v>40</v>
      </c>
      <c r="B112" s="3459"/>
      <c r="C112" s="2856" t="s">
        <v>2730</v>
      </c>
      <c r="D112" s="2830" t="s">
        <v>2731</v>
      </c>
      <c r="E112" s="2856">
        <v>0.1</v>
      </c>
      <c r="F112" s="2856">
        <v>15</v>
      </c>
    </row>
    <row r="113" spans="1:6" ht="24">
      <c r="A113" s="2856">
        <v>41</v>
      </c>
      <c r="B113" s="3457" t="s">
        <v>2732</v>
      </c>
      <c r="C113" s="2856" t="s">
        <v>2733</v>
      </c>
      <c r="D113" s="2830" t="s">
        <v>2734</v>
      </c>
      <c r="E113" s="2856">
        <v>0.1</v>
      </c>
      <c r="F113" s="2856">
        <v>15</v>
      </c>
    </row>
    <row r="114" spans="1:6" ht="24">
      <c r="A114" s="2856">
        <v>42</v>
      </c>
      <c r="B114" s="3457"/>
      <c r="C114" s="2856" t="s">
        <v>2735</v>
      </c>
      <c r="D114" s="2830" t="s">
        <v>2736</v>
      </c>
      <c r="E114" s="2856">
        <v>0.1</v>
      </c>
      <c r="F114" s="2856">
        <v>15</v>
      </c>
    </row>
    <row r="115" spans="1:6" ht="24">
      <c r="A115" s="2856">
        <v>43</v>
      </c>
      <c r="B115" s="3457"/>
      <c r="C115" s="2856" t="s">
        <v>2737</v>
      </c>
      <c r="D115" s="2830" t="s">
        <v>2738</v>
      </c>
      <c r="E115" s="2856">
        <v>0.1</v>
      </c>
      <c r="F115" s="2856">
        <v>15</v>
      </c>
    </row>
    <row r="116" spans="1:6" ht="24">
      <c r="A116" s="2856">
        <v>44</v>
      </c>
      <c r="B116" s="3458" t="s">
        <v>2739</v>
      </c>
      <c r="C116" s="2856" t="s">
        <v>2740</v>
      </c>
      <c r="D116" s="2830" t="s">
        <v>2741</v>
      </c>
      <c r="E116" s="2856">
        <v>0.1</v>
      </c>
      <c r="F116" s="2856">
        <v>15</v>
      </c>
    </row>
    <row r="117" spans="1:6" ht="24">
      <c r="A117" s="2856">
        <v>45</v>
      </c>
      <c r="B117" s="3459"/>
      <c r="C117" s="2830" t="s">
        <v>2742</v>
      </c>
      <c r="D117" s="2830" t="s">
        <v>2743</v>
      </c>
      <c r="E117" s="2856">
        <v>0.1</v>
      </c>
      <c r="F117" s="2856">
        <v>15</v>
      </c>
    </row>
    <row r="118" spans="1:6" ht="24">
      <c r="A118" s="2856">
        <v>46</v>
      </c>
      <c r="B118" s="3458" t="s">
        <v>2744</v>
      </c>
      <c r="C118" s="2856" t="s">
        <v>2745</v>
      </c>
      <c r="D118" s="2830" t="s">
        <v>2746</v>
      </c>
      <c r="E118" s="2856">
        <v>0.1</v>
      </c>
      <c r="F118" s="2856">
        <v>15</v>
      </c>
    </row>
    <row r="119" spans="1:6" ht="24">
      <c r="A119" s="2856">
        <v>47</v>
      </c>
      <c r="B119" s="3459"/>
      <c r="C119" s="2856" t="s">
        <v>2747</v>
      </c>
      <c r="D119" s="2830" t="s">
        <v>2748</v>
      </c>
      <c r="E119" s="2856">
        <v>0.1</v>
      </c>
      <c r="F119" s="2856">
        <v>15</v>
      </c>
    </row>
    <row r="120" spans="1:6" ht="24">
      <c r="A120" s="2856">
        <v>48</v>
      </c>
      <c r="B120" s="3458" t="s">
        <v>2749</v>
      </c>
      <c r="C120" s="2856" t="s">
        <v>2750</v>
      </c>
      <c r="D120" s="2830" t="s">
        <v>2751</v>
      </c>
      <c r="E120" s="2856">
        <v>0.1</v>
      </c>
      <c r="F120" s="2856">
        <v>15</v>
      </c>
    </row>
    <row r="121" spans="1:6" ht="24">
      <c r="A121" s="2856">
        <v>49</v>
      </c>
      <c r="B121" s="3459"/>
      <c r="C121" s="2856" t="s">
        <v>2752</v>
      </c>
      <c r="D121" s="2830" t="s">
        <v>2753</v>
      </c>
      <c r="E121" s="2856">
        <v>0.1</v>
      </c>
      <c r="F121" s="2856">
        <v>15</v>
      </c>
    </row>
    <row r="122" spans="1:6" ht="24">
      <c r="A122" s="2856">
        <v>50</v>
      </c>
      <c r="B122" s="3457" t="s">
        <v>2754</v>
      </c>
      <c r="C122" s="2856" t="s">
        <v>2755</v>
      </c>
      <c r="D122" s="2830" t="s">
        <v>2756</v>
      </c>
      <c r="E122" s="2856">
        <v>0.1</v>
      </c>
      <c r="F122" s="2856">
        <v>15</v>
      </c>
    </row>
    <row r="123" spans="1:6" ht="24">
      <c r="A123" s="2856">
        <v>51</v>
      </c>
      <c r="B123" s="3457"/>
      <c r="C123" s="2856" t="s">
        <v>2757</v>
      </c>
      <c r="D123" s="2830" t="s">
        <v>2758</v>
      </c>
      <c r="E123" s="2856">
        <v>0.1</v>
      </c>
      <c r="F123" s="2856">
        <v>15</v>
      </c>
    </row>
    <row r="124" spans="1:6" ht="24">
      <c r="A124" s="2856">
        <v>52</v>
      </c>
      <c r="B124" s="3457" t="s">
        <v>2759</v>
      </c>
      <c r="C124" s="2856" t="s">
        <v>2760</v>
      </c>
      <c r="D124" s="2830" t="s">
        <v>2761</v>
      </c>
      <c r="E124" s="2856">
        <v>0.1</v>
      </c>
      <c r="F124" s="2856">
        <v>15</v>
      </c>
    </row>
    <row r="125" spans="1:6" ht="24">
      <c r="A125" s="2856">
        <v>53</v>
      </c>
      <c r="B125" s="3457"/>
      <c r="C125" s="2856" t="s">
        <v>2762</v>
      </c>
      <c r="D125" s="2830" t="s">
        <v>2763</v>
      </c>
      <c r="E125" s="2856">
        <v>0.1</v>
      </c>
      <c r="F125" s="2856">
        <v>15</v>
      </c>
    </row>
    <row r="126" spans="1:6" ht="24">
      <c r="A126" s="2856">
        <v>54</v>
      </c>
      <c r="B126" s="2856" t="s">
        <v>2764</v>
      </c>
      <c r="C126" s="2856" t="s">
        <v>2765</v>
      </c>
      <c r="D126" s="2830" t="s">
        <v>2766</v>
      </c>
      <c r="E126" s="2856">
        <v>0.1</v>
      </c>
      <c r="F126" s="2856">
        <v>15</v>
      </c>
    </row>
    <row r="127" spans="1:6" ht="24">
      <c r="A127" s="2856">
        <v>55</v>
      </c>
      <c r="B127" s="3457" t="s">
        <v>2767</v>
      </c>
      <c r="C127" s="2856" t="s">
        <v>2768</v>
      </c>
      <c r="D127" s="2830" t="s">
        <v>2769</v>
      </c>
      <c r="E127" s="2856">
        <v>0.1</v>
      </c>
      <c r="F127" s="2856">
        <v>15</v>
      </c>
    </row>
    <row r="128" spans="1:6" ht="24">
      <c r="A128" s="2856">
        <v>56</v>
      </c>
      <c r="B128" s="3457"/>
      <c r="C128" s="2856" t="s">
        <v>2770</v>
      </c>
      <c r="D128" s="2830" t="s">
        <v>2771</v>
      </c>
      <c r="E128" s="2856">
        <v>0.1</v>
      </c>
      <c r="F128" s="2856">
        <v>15</v>
      </c>
    </row>
    <row r="129" spans="1:6" ht="24">
      <c r="A129" s="2856">
        <v>57</v>
      </c>
      <c r="B129" s="3457"/>
      <c r="C129" s="2856" t="s">
        <v>2772</v>
      </c>
      <c r="D129" s="2830" t="s">
        <v>2773</v>
      </c>
      <c r="E129" s="2856">
        <v>0.1</v>
      </c>
      <c r="F129" s="2856">
        <v>15</v>
      </c>
    </row>
    <row r="130" spans="1:6" ht="24">
      <c r="A130" s="2856">
        <v>58</v>
      </c>
      <c r="B130" s="3457" t="s">
        <v>2774</v>
      </c>
      <c r="C130" s="2856" t="s">
        <v>2775</v>
      </c>
      <c r="D130" s="2830" t="s">
        <v>2776</v>
      </c>
      <c r="E130" s="2856">
        <v>0.1</v>
      </c>
      <c r="F130" s="2856">
        <v>15</v>
      </c>
    </row>
    <row r="131" spans="1:6" ht="24">
      <c r="A131" s="2856">
        <v>59</v>
      </c>
      <c r="B131" s="3457"/>
      <c r="C131" s="2856" t="s">
        <v>2777</v>
      </c>
      <c r="D131" s="2830" t="s">
        <v>2778</v>
      </c>
      <c r="E131" s="2856">
        <v>0.1</v>
      </c>
      <c r="F131" s="2856">
        <v>15</v>
      </c>
    </row>
    <row r="132" spans="1:6" ht="24">
      <c r="A132" s="2856">
        <v>60</v>
      </c>
      <c r="B132" s="3458" t="s">
        <v>2779</v>
      </c>
      <c r="C132" s="2856" t="s">
        <v>2780</v>
      </c>
      <c r="D132" s="2830" t="s">
        <v>2781</v>
      </c>
      <c r="E132" s="2856">
        <v>0.1</v>
      </c>
      <c r="F132" s="2856">
        <v>15</v>
      </c>
    </row>
    <row r="133" spans="1:6" ht="24">
      <c r="A133" s="2856">
        <v>61</v>
      </c>
      <c r="B133" s="3459"/>
      <c r="C133" s="2856" t="s">
        <v>2782</v>
      </c>
      <c r="D133" s="2830" t="s">
        <v>2783</v>
      </c>
      <c r="E133" s="2856">
        <v>0.1</v>
      </c>
      <c r="F133" s="2856">
        <v>15</v>
      </c>
    </row>
    <row r="134" spans="1:6" ht="24">
      <c r="A134" s="2856">
        <v>62</v>
      </c>
      <c r="B134" s="2856" t="s">
        <v>2784</v>
      </c>
      <c r="C134" s="2856" t="s">
        <v>2785</v>
      </c>
      <c r="D134" s="2830" t="s">
        <v>2786</v>
      </c>
      <c r="E134" s="2856">
        <v>0.1</v>
      </c>
      <c r="F134" s="2856">
        <v>15</v>
      </c>
    </row>
    <row r="135" spans="1:6" ht="24">
      <c r="A135" s="2856">
        <v>63</v>
      </c>
      <c r="B135" s="3457" t="s">
        <v>2787</v>
      </c>
      <c r="C135" s="2856" t="s">
        <v>2788</v>
      </c>
      <c r="D135" s="2830" t="s">
        <v>2789</v>
      </c>
      <c r="E135" s="2856">
        <v>0.1</v>
      </c>
      <c r="F135" s="2856">
        <v>15</v>
      </c>
    </row>
    <row r="136" spans="1:6" ht="24">
      <c r="A136" s="2856">
        <v>64</v>
      </c>
      <c r="B136" s="3457"/>
      <c r="C136" s="2856" t="s">
        <v>2790</v>
      </c>
      <c r="D136" s="2830" t="s">
        <v>2791</v>
      </c>
      <c r="E136" s="2856">
        <v>0.1</v>
      </c>
      <c r="F136" s="2856">
        <v>15</v>
      </c>
    </row>
    <row r="137" spans="1:6" ht="24">
      <c r="A137" s="2856">
        <v>65</v>
      </c>
      <c r="B137" s="2856" t="s">
        <v>2792</v>
      </c>
      <c r="C137" s="2856" t="s">
        <v>2793</v>
      </c>
      <c r="D137" s="2830" t="s">
        <v>2794</v>
      </c>
      <c r="E137" s="2856">
        <v>0.1</v>
      </c>
      <c r="F137" s="2856">
        <v>15</v>
      </c>
    </row>
    <row r="138" spans="1:6" ht="14.4">
      <c r="A138" s="2856"/>
      <c r="B138" s="2856"/>
      <c r="C138" s="2856"/>
      <c r="D138" s="2856"/>
      <c r="E138" s="2856" t="s">
        <v>2795</v>
      </c>
      <c r="F138" s="285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v>
      </c>
      <c r="B3" s="3158"/>
      <c r="C3" s="3158"/>
      <c r="D3" s="3158"/>
      <c r="E3" s="3158"/>
    </row>
    <row r="4" spans="1:5" ht="18" thickBot="1">
      <c r="A4" s="1391"/>
      <c r="B4" s="3156" t="s">
        <v>917</v>
      </c>
      <c r="C4" s="3156"/>
      <c r="D4" s="3156"/>
      <c r="E4" s="1391"/>
    </row>
    <row r="5" spans="1:5" ht="16.2" thickTop="1">
      <c r="B5" s="3154" t="s">
        <v>909</v>
      </c>
      <c r="C5" s="1392" t="s">
        <v>910</v>
      </c>
      <c r="D5" s="797">
        <f ca="1">结果表!H101</f>
        <v>196</v>
      </c>
    </row>
    <row r="6" spans="1:5" ht="15.6">
      <c r="B6" s="3154"/>
      <c r="C6" s="1392" t="s">
        <v>911</v>
      </c>
      <c r="D6" s="797" t="str">
        <f ca="1">NUMBERSTRING(INT(D5*10000),2)&amp;"元整"</f>
        <v>壹佰玖拾陆万元整</v>
      </c>
    </row>
    <row r="7" spans="1:5" ht="15.6">
      <c r="B7" s="3159"/>
      <c r="C7" s="1393" t="s">
        <v>912</v>
      </c>
      <c r="D7" s="798">
        <f ca="1">结果表!H102</f>
        <v>18609</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f ca="1">结果表!H107</f>
        <v>196</v>
      </c>
    </row>
    <row r="14" spans="1:5" ht="15.6">
      <c r="B14" s="3154"/>
      <c r="C14" s="1392" t="s">
        <v>911</v>
      </c>
      <c r="D14" s="797" t="str">
        <f ca="1">NUMBERSTRING(INT(D13*10000),2)&amp;"元整"</f>
        <v>壹佰玖拾陆万元整</v>
      </c>
    </row>
    <row r="15" spans="1:5" ht="15.6">
      <c r="B15" s="3159"/>
      <c r="C15" s="1393" t="s">
        <v>921</v>
      </c>
      <c r="D15" s="806">
        <f ca="1">结果表!H108</f>
        <v>18609</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0.90459999999999996</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0.86050000000000004</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27658</v>
      </c>
      <c r="C2" s="2" t="s">
        <v>106</v>
      </c>
      <c r="D2" s="191"/>
      <c r="E2" s="191"/>
      <c r="F2" s="191"/>
      <c r="G2" s="191"/>
    </row>
    <row r="3" spans="1:7" s="192" customFormat="1" ht="18" customHeight="1" thickBot="1">
      <c r="A3" s="195" t="s">
        <v>58</v>
      </c>
      <c r="B3" s="196">
        <f ca="1">ROUND(B2*10000/'数据-汇总表'!E3,0)</f>
        <v>2632090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105.08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45</v>
      </c>
      <c r="D51" s="224"/>
      <c r="E51" s="224"/>
      <c r="F51" s="256"/>
      <c r="G51" s="226" t="s">
        <v>37</v>
      </c>
    </row>
    <row r="52" spans="1:7" s="200" customFormat="1" ht="16.8" thickBot="1">
      <c r="A52" s="257" t="s">
        <v>38</v>
      </c>
      <c r="B52" s="258"/>
      <c r="C52" s="259">
        <f ca="1">C31+C51</f>
        <v>27658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1" t="s">
        <v>2837</v>
      </c>
      <c r="B1" s="3471"/>
      <c r="C1" s="3471"/>
      <c r="D1" s="3471"/>
      <c r="E1" s="3471"/>
      <c r="F1" s="3471"/>
      <c r="G1" s="3472"/>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1.4"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469"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1.4" thickBot="1">
      <c r="A4" s="3470"/>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1.4"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1.4"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1.4"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1.4"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3" t="s">
        <v>3179</v>
      </c>
      <c r="B1" s="3473"/>
    </row>
    <row r="2" spans="1:7" ht="15" thickBot="1">
      <c r="A2" s="2967"/>
      <c r="B2" s="2967"/>
    </row>
    <row r="3" spans="1:7" ht="15" thickBot="1">
      <c r="A3" s="2967"/>
      <c r="B3" s="2967"/>
      <c r="C3" s="2968" t="s">
        <v>2809</v>
      </c>
      <c r="D3" s="2968" t="s">
        <v>2865</v>
      </c>
      <c r="E3" s="2968" t="s">
        <v>2811</v>
      </c>
      <c r="F3" s="2968" t="s">
        <v>2866</v>
      </c>
      <c r="G3" s="2968" t="s">
        <v>2629</v>
      </c>
    </row>
    <row r="4" spans="1:7" ht="1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4" t="s">
        <v>3230</v>
      </c>
      <c r="B1" s="3474"/>
      <c r="C1" s="3474"/>
      <c r="D1" s="3474"/>
      <c r="E1" s="3474"/>
      <c r="F1" s="3475"/>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45714</v>
      </c>
      <c r="B1" s="2928" t="s">
        <v>3378</v>
      </c>
      <c r="C1" s="2929"/>
      <c r="D1" s="2929"/>
      <c r="E1" s="2929"/>
      <c r="F1" s="2929"/>
      <c r="G1" s="2929"/>
      <c r="H1" s="2929"/>
      <c r="I1" s="2929"/>
      <c r="J1" s="2895"/>
      <c r="K1" s="2929" t="s">
        <v>454</v>
      </c>
      <c r="L1" s="2929"/>
      <c r="M1" s="2929"/>
      <c r="N1" s="2929"/>
      <c r="O1" s="2929"/>
      <c r="P1" s="2929"/>
      <c r="Q1" s="2895"/>
      <c r="R1" s="3476" t="s">
        <v>456</v>
      </c>
      <c r="S1" s="3477"/>
      <c r="T1" s="3477"/>
      <c r="U1" s="3477"/>
      <c r="V1" s="3477"/>
      <c r="W1" s="3477"/>
      <c r="X1" s="2895"/>
      <c r="Y1" s="3476" t="s">
        <v>457</v>
      </c>
      <c r="Z1" s="3477"/>
      <c r="AA1" s="3477"/>
      <c r="AB1" s="3477"/>
      <c r="AC1" s="3477"/>
      <c r="AD1" s="3477"/>
    </row>
    <row r="2" spans="1:30" s="2010" customFormat="1" ht="1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row>
    <row r="3" spans="1:30" s="2885" customFormat="1" ht="13.2">
      <c r="A3" s="2883" t="s">
        <v>2817</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3383</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3375</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3373</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3369</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3368</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3366</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3365</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3364</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3362</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3353</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2818</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2819</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2820</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2821</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2822</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3381</v>
      </c>
    </row>
    <row r="24" spans="1:30">
      <c r="I24" s="1405" t="s">
        <v>2823</v>
      </c>
    </row>
    <row r="26" spans="1:30" s="2009" customFormat="1" ht="13.2">
      <c r="B26" s="2928" t="s">
        <v>3379</v>
      </c>
      <c r="C26" s="2929"/>
      <c r="D26" s="2929"/>
      <c r="E26" s="2929"/>
      <c r="F26" s="2929"/>
      <c r="G26" s="2929"/>
      <c r="H26" s="2929"/>
      <c r="I26" s="2929"/>
      <c r="J26" s="2895"/>
      <c r="K26" s="2929" t="s">
        <v>2824</v>
      </c>
      <c r="L26" s="2929"/>
      <c r="M26" s="2929"/>
      <c r="N26" s="2929"/>
      <c r="O26" s="2929"/>
      <c r="P26" s="2929"/>
      <c r="Q26" s="2895"/>
      <c r="R26" s="3476" t="s">
        <v>2825</v>
      </c>
      <c r="S26" s="3477"/>
      <c r="T26" s="3477"/>
      <c r="U26" s="3477"/>
      <c r="V26" s="3477"/>
      <c r="W26" s="3477"/>
      <c r="X26" s="2895"/>
      <c r="Y26" s="3476" t="s">
        <v>2826</v>
      </c>
      <c r="Z26" s="3477"/>
      <c r="AA26" s="3477"/>
      <c r="AB26" s="3477"/>
      <c r="AC26" s="3477"/>
      <c r="AD26" s="3477"/>
    </row>
    <row r="27" spans="1:30" s="2010" customFormat="1" ht="15" thickBot="1">
      <c r="B27" s="2880"/>
      <c r="C27" s="2881"/>
      <c r="D27" s="2011" t="s">
        <v>2827</v>
      </c>
      <c r="E27" s="2012" t="s">
        <v>2828</v>
      </c>
      <c r="F27" s="2012" t="s">
        <v>2829</v>
      </c>
      <c r="G27" s="2012" t="s">
        <v>2830</v>
      </c>
      <c r="H27" s="2012"/>
      <c r="I27" s="2012" t="s">
        <v>2831</v>
      </c>
      <c r="J27" s="2882"/>
      <c r="K27" s="2011" t="s">
        <v>2827</v>
      </c>
      <c r="L27" s="2012" t="s">
        <v>2828</v>
      </c>
      <c r="M27" s="2012" t="s">
        <v>2829</v>
      </c>
      <c r="N27" s="2012" t="s">
        <v>2830</v>
      </c>
      <c r="O27" s="2012"/>
      <c r="P27" s="2012" t="s">
        <v>2831</v>
      </c>
      <c r="Q27" s="2882"/>
      <c r="R27" s="2011" t="s">
        <v>2827</v>
      </c>
      <c r="S27" s="2012" t="s">
        <v>2828</v>
      </c>
      <c r="T27" s="2012" t="s">
        <v>2829</v>
      </c>
      <c r="U27" s="2012" t="s">
        <v>2830</v>
      </c>
      <c r="V27" s="2012"/>
      <c r="W27" s="2012" t="s">
        <v>2831</v>
      </c>
      <c r="X27" s="2882"/>
      <c r="Y27" s="2011" t="s">
        <v>2827</v>
      </c>
      <c r="Z27" s="2012" t="s">
        <v>2828</v>
      </c>
      <c r="AA27" s="2012" t="s">
        <v>2829</v>
      </c>
      <c r="AB27" s="2012" t="s">
        <v>2830</v>
      </c>
      <c r="AC27" s="2012"/>
      <c r="AD27" s="2012" t="s">
        <v>2831</v>
      </c>
    </row>
    <row r="28" spans="1:30" s="2885" customFormat="1" ht="13.2">
      <c r="A28" s="2883" t="s">
        <v>2832</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3374</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3376</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3377</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3372</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3370</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3368</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3367</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3365</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3364</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3363</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3353</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2833</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2834</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2835</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2836</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2822</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北京市朝阳区百子湾西里403号楼16层1605、1606、1612房地产</v>
      </c>
      <c r="B4" s="801">
        <f>项目基本情况!C17</f>
        <v>105.08</v>
      </c>
      <c r="C4" s="801">
        <f>项目基本情况!C18</f>
        <v>0</v>
      </c>
      <c r="D4" s="801">
        <f>结果表!D118</f>
        <v>0</v>
      </c>
      <c r="E4" s="801">
        <f>结果表!E118</f>
        <v>0</v>
      </c>
      <c r="F4" s="801">
        <f>结果表!F118</f>
        <v>0</v>
      </c>
      <c r="G4" s="801">
        <f>结果表!G118</f>
        <v>0</v>
      </c>
      <c r="H4" s="801">
        <f ca="1">结果表!H118</f>
        <v>196</v>
      </c>
      <c r="I4" s="801">
        <f ca="1">结果表!I118</f>
        <v>18609</v>
      </c>
    </row>
    <row r="5" spans="1:9" ht="30" customHeight="1">
      <c r="A5" s="3166" t="s">
        <v>927</v>
      </c>
      <c r="B5" s="3166"/>
      <c r="C5" s="3166"/>
      <c r="D5" s="3166" t="str">
        <f>结果表!D119</f>
        <v>零元整</v>
      </c>
      <c r="E5" s="3166"/>
      <c r="F5" s="3166" t="str">
        <f>结果表!F119</f>
        <v>零元整</v>
      </c>
      <c r="G5" s="3166"/>
      <c r="H5" s="3166" t="str">
        <f ca="1">结果表!H119</f>
        <v>壹佰玖拾陆万元整</v>
      </c>
      <c r="I5" s="3166"/>
    </row>
    <row r="6" spans="1:9" ht="15.6">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房地产抵押价值</v>
      </c>
      <c r="B8" s="3165"/>
      <c r="C8" s="3165"/>
      <c r="D8" s="3165">
        <f ca="1">结果表!D122</f>
        <v>196</v>
      </c>
      <c r="E8" s="3165"/>
      <c r="F8" s="3165"/>
      <c r="G8" s="3165"/>
      <c r="H8" s="3165"/>
      <c r="I8" s="3165"/>
    </row>
    <row r="9" spans="1:9" ht="15">
      <c r="A9" s="3166" t="s">
        <v>927</v>
      </c>
      <c r="B9" s="3166"/>
      <c r="C9" s="3166"/>
      <c r="D9" s="3166" t="str">
        <f ca="1">结果表!D123</f>
        <v>壹佰玖拾陆万元整</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45714</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2158</v>
      </c>
      <c r="B17" s="3189"/>
      <c r="C17" s="3189"/>
      <c r="D17" s="3189"/>
      <c r="E17" s="3189"/>
      <c r="F17" s="3189"/>
      <c r="G17" s="3189"/>
      <c r="H17" s="3189"/>
    </row>
    <row r="18" spans="1:8" ht="24" customHeight="1">
      <c r="A18" s="3190" t="s">
        <v>2159</v>
      </c>
      <c r="B18" s="3190"/>
      <c r="C18" s="3190"/>
      <c r="D18" s="2160"/>
      <c r="E18" s="3191" t="s">
        <v>2160</v>
      </c>
      <c r="F18" s="3190"/>
      <c r="G18" s="319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信息</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2025-02-26T02:42:24Z</dcterms:modified>
</cp:coreProperties>
</file>