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比较法-租金商业" sheetId="82"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租赁合同" sheetId="80" r:id="rId47"/>
    <sheet name="市调" sheetId="81" r:id="rId48"/>
    <sheet name="Sheet4" sheetId="83"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23" hidden="1">'比较法-租金商业'!$A$1:$L$49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23">'比较法-租金商业'!$A$1:$K$54,'比较法-租金商业'!$A$57:$M$131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3">'比较法-租金商业'!$B$116:$M$116</definedName>
    <definedName name="商业层高">'比较法-商业'!$B$116:$M$116</definedName>
    <definedName name="商业成新度" localSheetId="23">'比较法-租金商业'!$B$109:$M$109</definedName>
    <definedName name="商业成新度">'比较法-商业'!$B$109:$M$109</definedName>
    <definedName name="商业繁华度">定义!$L$1:$L$6</definedName>
    <definedName name="商业公共部分装修" localSheetId="23">'比较法-租金商业'!$B$107:$M$107</definedName>
    <definedName name="商业公共部分装修">'比较法-商业'!$B$107:$M$107</definedName>
    <definedName name="商业基础设施水平" localSheetId="23">'比较法-租金商业'!$B$112:$M$112</definedName>
    <definedName name="商业基础设施水平">'比较法-商业'!$B$112:$M$112</definedName>
    <definedName name="商业建筑结构" localSheetId="23">'比较法-租金商业'!$B$105:$M$105</definedName>
    <definedName name="商业建筑结构">'比较法-商业'!$B$105:$M$105</definedName>
    <definedName name="商业交易情况" localSheetId="23">'比较法-租金商业'!$A$61:$M$61</definedName>
    <definedName name="商业交易情况">'比较法-商业'!$A$61:$M$61</definedName>
    <definedName name="商业街名称">修正!$C$71:$C$138</definedName>
    <definedName name="商业进深比" localSheetId="23">'比较法-租金商业'!$B$120:$M$120</definedName>
    <definedName name="商业进深比">'比较法-商业'!$B$120:$M$120</definedName>
    <definedName name="商业类型" localSheetId="23">'比较法-租金商业'!$B$100:$M$100</definedName>
    <definedName name="商业类型">'比较法-商业'!$B$100:$M$100</definedName>
    <definedName name="商业临街状况" localSheetId="23">'比较法-租金商业'!$B$86:$M$86</definedName>
    <definedName name="商业临街状况">'比较法-商业'!$B$86:$M$86</definedName>
    <definedName name="商业楼层" localSheetId="23">'比较法-租金商业'!$B$92:$M$92</definedName>
    <definedName name="商业楼层">'比较法-商业'!$B$92:$M$92</definedName>
    <definedName name="商业内部装修" localSheetId="23">'比较法-租金商业'!$B$122:$M$122</definedName>
    <definedName name="商业内部装修">'比较法-商业'!$B$122:$M$122</definedName>
    <definedName name="商业人流量" localSheetId="23">'比较法-租金商业'!$B$90:$M$90</definedName>
    <definedName name="商业人流量">'比较法-商业'!$B$90:$M$90</definedName>
    <definedName name="商业业态" localSheetId="23">'比较法-租金商业'!$B$114:$M$114</definedName>
    <definedName name="商业业态">'比较法-商业'!$B$114:$M$114</definedName>
    <definedName name="商业用途" localSheetId="23">'比较法-租金商业'!$B$63:$M$63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8" i="80" l="1"/>
  <c r="G47" i="82"/>
  <c r="I47" i="82"/>
  <c r="I10" i="33" l="1"/>
  <c r="G10" i="33"/>
  <c r="H45" i="82"/>
  <c r="AB45" i="82" s="1"/>
  <c r="G4" i="80"/>
  <c r="H4" i="80" s="1"/>
  <c r="I4" i="80" s="1"/>
  <c r="J4" i="80" s="1"/>
  <c r="C10" i="33"/>
  <c r="E10" i="33"/>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F108" i="82"/>
  <c r="G108" i="82" s="1"/>
  <c r="H108" i="82" s="1"/>
  <c r="I108" i="82" s="1"/>
  <c r="J108" i="82" s="1"/>
  <c r="K108" i="82" s="1"/>
  <c r="L108" i="82" s="1"/>
  <c r="M108" i="82" s="1"/>
  <c r="E108" i="82"/>
  <c r="D108" i="82"/>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G101" i="82" s="1"/>
  <c r="H101" i="82" s="1"/>
  <c r="I101" i="82" s="1"/>
  <c r="J101" i="82" s="1"/>
  <c r="K101" i="82" s="1"/>
  <c r="L101" i="82" s="1"/>
  <c r="M101" i="82" s="1"/>
  <c r="D101" i="82"/>
  <c r="B98" i="82"/>
  <c r="B96" i="82"/>
  <c r="D95" i="82"/>
  <c r="B94" i="82"/>
  <c r="B92" i="82"/>
  <c r="D91" i="82"/>
  <c r="E91" i="82" s="1"/>
  <c r="B90" i="82"/>
  <c r="D89" i="82"/>
  <c r="E89" i="82" s="1"/>
  <c r="F89" i="82" s="1"/>
  <c r="G89" i="82" s="1"/>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E66" i="82"/>
  <c r="F66" i="82" s="1"/>
  <c r="D66"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Q27" i="82"/>
  <c r="Z27" i="82" s="1"/>
  <c r="Q26" i="82"/>
  <c r="Z26" i="82" s="1"/>
  <c r="J26" i="82"/>
  <c r="AC26" i="82" s="1"/>
  <c r="H26" i="82"/>
  <c r="AB26" i="82" s="1"/>
  <c r="F26" i="82"/>
  <c r="AA26" i="82" s="1"/>
  <c r="Z25" i="82"/>
  <c r="Q25" i="82"/>
  <c r="J25" i="82"/>
  <c r="AC25" i="82" s="1"/>
  <c r="H25" i="82"/>
  <c r="AB25" i="82" s="1"/>
  <c r="F25" i="82"/>
  <c r="AA25" i="82" s="1"/>
  <c r="Q23" i="82"/>
  <c r="Z23" i="82" s="1"/>
  <c r="J23" i="82"/>
  <c r="AC23" i="82" s="1"/>
  <c r="H23" i="82"/>
  <c r="AB23" i="82" s="1"/>
  <c r="F23" i="82"/>
  <c r="S23" i="82" s="1"/>
  <c r="C23" i="82"/>
  <c r="AC21" i="82"/>
  <c r="Q21" i="82"/>
  <c r="Z21" i="82" s="1"/>
  <c r="J21" i="82"/>
  <c r="W21" i="82" s="1"/>
  <c r="H21" i="82"/>
  <c r="U21" i="82" s="1"/>
  <c r="F21" i="82"/>
  <c r="AA21" i="82" s="1"/>
  <c r="C21" i="82"/>
  <c r="AB19" i="82"/>
  <c r="Q19" i="82"/>
  <c r="Z19" i="82" s="1"/>
  <c r="J19" i="82"/>
  <c r="W19" i="82" s="1"/>
  <c r="H19" i="82"/>
  <c r="U19" i="82" s="1"/>
  <c r="F19" i="82"/>
  <c r="S19" i="82" s="1"/>
  <c r="C19" i="82"/>
  <c r="AA17" i="82"/>
  <c r="Q17" i="82"/>
  <c r="Z17" i="82" s="1"/>
  <c r="J17" i="82"/>
  <c r="AC17" i="82" s="1"/>
  <c r="H17" i="82"/>
  <c r="U17" i="82" s="1"/>
  <c r="F17" i="82"/>
  <c r="S17" i="82" s="1"/>
  <c r="C17" i="82"/>
  <c r="Q15" i="82"/>
  <c r="Z15" i="82" s="1"/>
  <c r="J15" i="82"/>
  <c r="W15" i="82" s="1"/>
  <c r="H15" i="82"/>
  <c r="AB15" i="82" s="1"/>
  <c r="F15" i="82"/>
  <c r="S15" i="82" s="1"/>
  <c r="C15" i="82"/>
  <c r="AC14" i="82"/>
  <c r="AA14" i="82"/>
  <c r="Q14" i="82"/>
  <c r="Z14" i="82" s="1"/>
  <c r="J14" i="82"/>
  <c r="W14" i="82" s="1"/>
  <c r="H14" i="82"/>
  <c r="U14" i="82" s="1"/>
  <c r="F14" i="82"/>
  <c r="S14" i="82" s="1"/>
  <c r="Z13" i="82"/>
  <c r="Q13" i="82"/>
  <c r="J13" i="82"/>
  <c r="H13" i="82"/>
  <c r="AB13" i="82" s="1"/>
  <c r="F13" i="82"/>
  <c r="S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U8" i="82" s="1"/>
  <c r="F8" i="82"/>
  <c r="S8" i="82" s="1"/>
  <c r="G7" i="82"/>
  <c r="H7" i="82" s="1"/>
  <c r="C7" i="82"/>
  <c r="C58" i="82" s="1"/>
  <c r="D58" i="82" s="1"/>
  <c r="E58" i="82" s="1"/>
  <c r="F58" i="82" s="1"/>
  <c r="G58" i="82" s="1"/>
  <c r="H58" i="82" s="1"/>
  <c r="I58" i="82" s="1"/>
  <c r="J58" i="82" s="1"/>
  <c r="K58" i="82" s="1"/>
  <c r="L58" i="82" s="1"/>
  <c r="M58" i="82" s="1"/>
  <c r="N58" i="82" s="1"/>
  <c r="O58" i="82" s="1"/>
  <c r="D3" i="82"/>
  <c r="W21" i="1"/>
  <c r="W23" i="1" s="1"/>
  <c r="V23" i="1" s="1"/>
  <c r="V22" i="1"/>
  <c r="W22" i="1" s="1"/>
  <c r="D95" i="33"/>
  <c r="T23" i="1"/>
  <c r="T22" i="1"/>
  <c r="T21" i="1"/>
  <c r="C5" i="80"/>
  <c r="B4" i="80"/>
  <c r="C4" i="80"/>
  <c r="B14" i="74"/>
  <c r="D2" i="82"/>
  <c r="AA8" i="82" l="1"/>
  <c r="U7" i="82"/>
  <c r="AB7" i="82"/>
  <c r="U9" i="82"/>
  <c r="W10" i="82"/>
  <c r="S12" i="82"/>
  <c r="U13" i="82"/>
  <c r="AB14" i="82"/>
  <c r="U15" i="82"/>
  <c r="AC15" i="82"/>
  <c r="W17" i="82"/>
  <c r="AA19" i="82"/>
  <c r="S21" i="82"/>
  <c r="AB21" i="82"/>
  <c r="U23" i="82"/>
  <c r="U25" i="82"/>
  <c r="W9" i="82"/>
  <c r="S11" i="82"/>
  <c r="U12" i="82"/>
  <c r="AC13" i="82"/>
  <c r="W13" i="82"/>
  <c r="W23" i="82"/>
  <c r="AB8" i="82"/>
  <c r="E7" i="82"/>
  <c r="F7" i="82" s="1"/>
  <c r="I7" i="82"/>
  <c r="J7" i="82" s="1"/>
  <c r="AC8" i="82"/>
  <c r="S10" i="82"/>
  <c r="U11" i="82"/>
  <c r="W12" i="82"/>
  <c r="AA13" i="82"/>
  <c r="AA15" i="82"/>
  <c r="AB17" i="82"/>
  <c r="AC19" i="82"/>
  <c r="AA23" i="82"/>
  <c r="F27" i="82"/>
  <c r="F91" i="82"/>
  <c r="G91" i="82" s="1"/>
  <c r="H91" i="82" s="1"/>
  <c r="I91" i="82" s="1"/>
  <c r="J91" i="82" s="1"/>
  <c r="K91" i="82" s="1"/>
  <c r="L91" i="82" s="1"/>
  <c r="M91" i="82" s="1"/>
  <c r="J27" i="82"/>
  <c r="H27" i="82"/>
  <c r="S9" i="82"/>
  <c r="U10" i="82"/>
  <c r="W11" i="82"/>
  <c r="S26" i="82"/>
  <c r="S30" i="82"/>
  <c r="U31" i="82"/>
  <c r="W32" i="82"/>
  <c r="S34" i="82"/>
  <c r="U35" i="82"/>
  <c r="W37" i="82"/>
  <c r="S39" i="82"/>
  <c r="U40" i="82"/>
  <c r="W41" i="82"/>
  <c r="S43" i="82"/>
  <c r="U44" i="82"/>
  <c r="W45" i="82"/>
  <c r="S25" i="82"/>
  <c r="U26" i="82"/>
  <c r="S29" i="82"/>
  <c r="U30" i="82"/>
  <c r="W31" i="82"/>
  <c r="S33" i="82"/>
  <c r="U34" i="82"/>
  <c r="W35" i="82"/>
  <c r="S38" i="82"/>
  <c r="U39" i="82"/>
  <c r="W40" i="82"/>
  <c r="S42" i="82"/>
  <c r="U43" i="82"/>
  <c r="W44" i="82"/>
  <c r="S46" i="82"/>
  <c r="W26" i="82"/>
  <c r="U29" i="82"/>
  <c r="W30" i="82"/>
  <c r="S32" i="82"/>
  <c r="U33" i="82"/>
  <c r="W34" i="82"/>
  <c r="S37" i="82"/>
  <c r="U38" i="82"/>
  <c r="W39" i="82"/>
  <c r="S41" i="82"/>
  <c r="U42" i="82"/>
  <c r="W43" i="82"/>
  <c r="S45" i="82"/>
  <c r="U46" i="82"/>
  <c r="E95" i="82"/>
  <c r="C93" i="82" s="1"/>
  <c r="W25" i="82"/>
  <c r="W29" i="82"/>
  <c r="S31" i="82"/>
  <c r="U32" i="82"/>
  <c r="W33" i="82"/>
  <c r="S35" i="82"/>
  <c r="U37" i="82"/>
  <c r="W38" i="82"/>
  <c r="S40" i="82"/>
  <c r="U41" i="82"/>
  <c r="W42" i="82"/>
  <c r="S44" i="82"/>
  <c r="U45" i="82"/>
  <c r="W46" i="82"/>
  <c r="E95" i="33"/>
  <c r="E89" i="33"/>
  <c r="F89" i="33"/>
  <c r="G89" i="33"/>
  <c r="D89" i="33"/>
  <c r="E66" i="33"/>
  <c r="F66" i="33"/>
  <c r="D66" i="33"/>
  <c r="I7" i="33"/>
  <c r="G7" i="33"/>
  <c r="E7" i="33"/>
  <c r="C66" i="9"/>
  <c r="J49" i="67"/>
  <c r="Q18" i="1"/>
  <c r="F19" i="6"/>
  <c r="N19" i="1"/>
  <c r="N21" i="1" s="1"/>
  <c r="N6" i="1" s="1"/>
  <c r="D3" i="4"/>
  <c r="C36" i="33" l="1"/>
  <c r="C36" i="82"/>
  <c r="Y6" i="1"/>
  <c r="AA27" i="82"/>
  <c r="S27" i="82"/>
  <c r="AA7" i="82"/>
  <c r="S7" i="82"/>
  <c r="AB27" i="82"/>
  <c r="U27" i="82"/>
  <c r="H28" i="82"/>
  <c r="F28" i="82"/>
  <c r="J28" i="82"/>
  <c r="AC27" i="82"/>
  <c r="W27" i="82"/>
  <c r="D93" i="82"/>
  <c r="W7" i="82"/>
  <c r="AC7" i="82"/>
  <c r="D93" i="33"/>
  <c r="C93" i="33"/>
  <c r="I12" i="79"/>
  <c r="F36" i="82" l="1"/>
  <c r="H36" i="82"/>
  <c r="J36" i="82"/>
  <c r="AB28" i="82"/>
  <c r="U28" i="82"/>
  <c r="AA28" i="82"/>
  <c r="S28" i="82"/>
  <c r="AC28" i="82"/>
  <c r="W28" i="82"/>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W36" i="82" l="1"/>
  <c r="AC36" i="82"/>
  <c r="V48" i="82" s="1"/>
  <c r="I48" i="82" s="1"/>
  <c r="I52" i="82" s="1"/>
  <c r="J52" i="82" s="1"/>
  <c r="AB36" i="82"/>
  <c r="T48" i="82" s="1"/>
  <c r="G48" i="82" s="1"/>
  <c r="U36" i="82"/>
  <c r="S36" i="82"/>
  <c r="AA36" i="82"/>
  <c r="R48" i="82"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G53" i="82" l="1"/>
  <c r="H53" i="82" s="1"/>
  <c r="R49" i="82"/>
  <c r="C49" i="82" s="1"/>
  <c r="U6" i="1" s="1"/>
  <c r="E48" i="82"/>
  <c r="I53" i="82" s="1"/>
  <c r="J53" i="82" s="1"/>
  <c r="G52" i="82"/>
  <c r="H52" i="82" s="1"/>
  <c r="AD33" i="79"/>
  <c r="AR34" i="79"/>
  <c r="AR35" i="79" s="1"/>
  <c r="AR8" i="79"/>
  <c r="AD35" i="79"/>
  <c r="AR36" i="79"/>
  <c r="C60" i="78"/>
  <c r="D60" i="78" s="1"/>
  <c r="B55" i="78"/>
  <c r="D55" i="78" s="1"/>
  <c r="D53" i="78"/>
  <c r="D52" i="78"/>
  <c r="B51" i="78"/>
  <c r="B56" i="78" s="1"/>
  <c r="E52" i="82" l="1"/>
  <c r="F52" i="82" s="1"/>
  <c r="E53" i="82"/>
  <c r="F53" i="82" s="1"/>
  <c r="C48" i="82"/>
  <c r="B3" i="82"/>
  <c r="B2" i="82"/>
  <c r="D51" i="78"/>
  <c r="C51" i="78" s="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7" i="79"/>
  <c r="AD36" i="79"/>
  <c r="AD38" i="79"/>
  <c r="AR40" i="79"/>
  <c r="AR41" i="79" s="1"/>
  <c r="AR42" i="79" s="1"/>
  <c r="AR43" i="79" s="1"/>
  <c r="AR44" i="79" s="1"/>
  <c r="AR45" i="79" s="1"/>
  <c r="AR46" i="79" s="1"/>
  <c r="AR47" i="79" s="1"/>
  <c r="AR48" i="79" s="1"/>
  <c r="AR49" i="79" s="1"/>
  <c r="AR50" i="79" s="1"/>
  <c r="AR51" i="79" s="1"/>
  <c r="AR52" i="79" s="1"/>
  <c r="S34" i="79"/>
  <c r="AG34" i="79" s="1"/>
  <c r="S35" i="79"/>
  <c r="AG35" i="79" s="1"/>
  <c r="S33" i="79"/>
  <c r="AG33" i="79" s="1"/>
  <c r="T40" i="79"/>
  <c r="U46" i="79"/>
  <c r="AI46" i="79" s="1"/>
  <c r="AD47" i="79"/>
  <c r="S48" i="79"/>
  <c r="AG48" i="79" s="1"/>
  <c r="T33" i="79"/>
  <c r="T35" i="79"/>
  <c r="T34" i="79"/>
  <c r="AR18" i="79"/>
  <c r="AR19" i="79" s="1"/>
  <c r="AR20" i="79" s="1"/>
  <c r="AR21" i="79" s="1"/>
  <c r="AR22" i="79" s="1"/>
  <c r="AR23" i="79" s="1"/>
  <c r="AR24"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AH35" i="79"/>
  <c r="W35" i="79"/>
  <c r="AK35" i="79" s="1"/>
  <c r="W23" i="79"/>
  <c r="AK23" i="79" s="1"/>
  <c r="AH23" i="79"/>
  <c r="W12" i="79"/>
  <c r="AK12" i="79" s="1"/>
  <c r="AH12" i="79"/>
  <c r="W21" i="79"/>
  <c r="AK21" i="79" s="1"/>
  <c r="AH21" i="79"/>
  <c r="W47" i="79"/>
  <c r="AK47" i="79" s="1"/>
  <c r="AH47" i="79"/>
  <c r="W45" i="79"/>
  <c r="AK45" i="79" s="1"/>
  <c r="AH45" i="79"/>
  <c r="W33" i="79"/>
  <c r="AK33" i="79" s="1"/>
  <c r="AH33" i="79"/>
  <c r="W40" i="79"/>
  <c r="AK40" i="79" s="1"/>
  <c r="AH40" i="79"/>
  <c r="W22" i="79"/>
  <c r="AK22" i="79" s="1"/>
  <c r="AH22"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S18" i="35" s="1"/>
  <c r="C18" i="35"/>
  <c r="Z21" i="37"/>
  <c r="Q21" i="37"/>
  <c r="D77" i="37"/>
  <c r="E77" i="37" s="1"/>
  <c r="F77" i="37" s="1"/>
  <c r="G77" i="37" s="1"/>
  <c r="C21" i="37"/>
  <c r="Q21" i="34"/>
  <c r="Z21" i="34" s="1"/>
  <c r="D84" i="34"/>
  <c r="E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J18" i="36"/>
  <c r="AC18" i="36" s="1"/>
  <c r="H18" i="35"/>
  <c r="AB18" i="35" s="1"/>
  <c r="G68" i="35"/>
  <c r="J18" i="35"/>
  <c r="H21" i="37"/>
  <c r="F21" i="37"/>
  <c r="AA21" i="37" s="1"/>
  <c r="F84" i="34"/>
  <c r="G84" i="34"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J21" i="21"/>
  <c r="C40" i="69"/>
  <c r="F38" i="68"/>
  <c r="E37" i="68"/>
  <c r="F36" i="68"/>
  <c r="F35" i="68"/>
  <c r="F21" i="68"/>
  <c r="C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AA40" i="33" s="1"/>
  <c r="J41" i="33"/>
  <c r="AC41" i="33" s="1"/>
  <c r="D113" i="33"/>
  <c r="F37" i="33"/>
  <c r="D111" i="33"/>
  <c r="E111" i="33"/>
  <c r="F36"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U40" i="33" s="1"/>
  <c r="Q39" i="33"/>
  <c r="Z39" i="33"/>
  <c r="J39" i="33"/>
  <c r="AC39" i="33" s="1"/>
  <c r="Q38" i="33"/>
  <c r="Z38" i="33"/>
  <c r="J38" i="33"/>
  <c r="AC38" i="33" s="1"/>
  <c r="H38" i="33"/>
  <c r="AB38" i="33" s="1"/>
  <c r="F38" i="33"/>
  <c r="AA38" i="33" s="1"/>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U33" i="33"/>
  <c r="S40" i="33"/>
  <c r="W33" i="33"/>
  <c r="H39" i="37"/>
  <c r="AB39" i="37" s="1"/>
  <c r="S27" i="35"/>
  <c r="F11" i="40"/>
  <c r="AA11" i="40" s="1"/>
  <c r="H11" i="40"/>
  <c r="AB11" i="40"/>
  <c r="W8" i="40"/>
  <c r="AB39" i="40"/>
  <c r="AA9" i="40"/>
  <c r="U9" i="40"/>
  <c r="S34" i="40"/>
  <c r="U38"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E113" i="33"/>
  <c r="F32" i="33"/>
  <c r="AA32" i="33" s="1"/>
  <c r="J19" i="33"/>
  <c r="AC19" i="33" s="1"/>
  <c r="F11" i="33"/>
  <c r="AA11" i="33" s="1"/>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J42" i="21"/>
  <c r="AC42" i="21"/>
  <c r="H42" i="21"/>
  <c r="U42" i="21"/>
  <c r="J44" i="34"/>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J13" i="33"/>
  <c r="H13" i="33"/>
  <c r="U13" i="33" s="1"/>
  <c r="F13" i="33"/>
  <c r="S13" i="33" s="1"/>
  <c r="J29" i="33"/>
  <c r="H29" i="33"/>
  <c r="U29" i="33" s="1"/>
  <c r="F29" i="33"/>
  <c r="S29" i="33" s="1"/>
  <c r="J31" i="33"/>
  <c r="W31" i="33" s="1"/>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s="1"/>
  <c r="F30" i="33"/>
  <c r="J30" i="33"/>
  <c r="H44" i="33"/>
  <c r="AB44" i="33" s="1"/>
  <c r="J44" i="33"/>
  <c r="W44" i="33" s="1"/>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U46" i="33"/>
  <c r="AA14" i="33"/>
  <c r="J36" i="37"/>
  <c r="AC36" i="37" s="1"/>
  <c r="J10" i="36"/>
  <c r="AC10" i="36" s="1"/>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F31" i="40"/>
  <c r="AA31" i="40" s="1"/>
  <c r="H31" i="40"/>
  <c r="U31" i="40" s="1"/>
  <c r="F32" i="40"/>
  <c r="S32" i="40" s="1"/>
  <c r="H32" i="40"/>
  <c r="AB32" i="40" s="1"/>
  <c r="J36" i="40"/>
  <c r="W36" i="40"/>
  <c r="H19" i="37"/>
  <c r="AB19" i="37" s="1"/>
  <c r="H42" i="33"/>
  <c r="AB42" i="33" s="1"/>
  <c r="J43" i="33"/>
  <c r="AC43" i="33" s="1"/>
  <c r="S28" i="31"/>
  <c r="S27" i="31"/>
  <c r="S26" i="31"/>
  <c r="U14" i="40"/>
  <c r="W23" i="35"/>
  <c r="U39" i="37"/>
  <c r="U26" i="37"/>
  <c r="W47" i="34"/>
  <c r="AA13" i="33"/>
  <c r="AC31"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c r="F11" i="39"/>
  <c r="S11" i="39" s="1"/>
  <c r="G4" i="4"/>
  <c r="I4" i="4"/>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AZ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55" i="3"/>
  <c r="AZ168"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66" i="3"/>
  <c r="AZ186" i="3"/>
  <c r="AZ500"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AZ214" i="3"/>
  <c r="G342" i="3"/>
  <c r="BL345" i="3"/>
  <c r="AZ345" i="3" s="1"/>
  <c r="G346" i="3"/>
  <c r="BL349" i="3"/>
  <c r="AZ349" i="3" s="1"/>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41" i="3"/>
  <c r="BA379" i="3"/>
  <c r="AZ379" i="3" s="1"/>
  <c r="BL380" i="3"/>
  <c r="AZ380" i="3" s="1"/>
  <c r="G381" i="3"/>
  <c r="BA383" i="3"/>
  <c r="AZ383" i="3" s="1"/>
  <c r="BL384" i="3"/>
  <c r="G385" i="3"/>
  <c r="BA387" i="3"/>
  <c r="AZ387" i="3" s="1"/>
  <c r="BL388" i="3"/>
  <c r="G389" i="3"/>
  <c r="BA391" i="3"/>
  <c r="AZ391" i="3" s="1"/>
  <c r="BL392" i="3"/>
  <c r="G393" i="3"/>
  <c r="AZ291" i="3"/>
  <c r="BO5" i="3"/>
  <c r="BM5" i="3"/>
  <c r="F29" i="6" s="1"/>
  <c r="BJ5" i="3"/>
  <c r="BH5" i="3"/>
  <c r="BF5" i="3"/>
  <c r="BD5" i="3"/>
  <c r="AZ325" i="3"/>
  <c r="AC5" i="3"/>
  <c r="AZ506" i="3"/>
  <c r="AZ496" i="3"/>
  <c r="G548" i="3"/>
  <c r="G538" i="3"/>
  <c r="G520" i="3"/>
  <c r="G502" i="3"/>
  <c r="BS5" i="3"/>
  <c r="BP5" i="3"/>
  <c r="BN5" i="3"/>
  <c r="BK5" i="3"/>
  <c r="BI5" i="3"/>
  <c r="BG5" i="3"/>
  <c r="BE5" i="3"/>
  <c r="BC5" i="3"/>
  <c r="G17" i="3"/>
  <c r="BA17" i="3"/>
  <c r="BT5" i="3"/>
  <c r="AZ356" i="3"/>
  <c r="BA15" i="3"/>
  <c r="BB5" i="3"/>
  <c r="BR5"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7"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K9" i="1"/>
  <c r="M9" i="1" s="1"/>
  <c r="D93" i="9"/>
  <c r="K6" i="1"/>
  <c r="AP6" i="1" s="1"/>
  <c r="G29" i="6"/>
  <c r="W27" i="34"/>
  <c r="AC27" i="34"/>
  <c r="AB34" i="36"/>
  <c r="U34" i="36"/>
  <c r="AB33" i="36"/>
  <c r="U33" i="36"/>
  <c r="AC12" i="39"/>
  <c r="W12" i="39"/>
  <c r="AC39" i="40"/>
  <c r="W39" i="40"/>
  <c r="W12" i="33"/>
  <c r="AC12" i="33"/>
  <c r="AA32" i="36"/>
  <c r="S32" i="36"/>
  <c r="AZ473" i="3"/>
  <c r="BL14" i="3"/>
  <c r="U30" i="33"/>
  <c r="AC13" i="34"/>
  <c r="AA47" i="34"/>
  <c r="W28" i="37"/>
  <c r="S19" i="39"/>
  <c r="F12" i="33"/>
  <c r="H12" i="39"/>
  <c r="AB12" i="39"/>
  <c r="F39" i="40"/>
  <c r="BA14" i="3"/>
  <c r="AZ254" i="3"/>
  <c r="AZ297" i="3"/>
  <c r="AZ157"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F121" i="33"/>
  <c r="G121" i="33" s="1"/>
  <c r="H121" i="33" s="1"/>
  <c r="I121" i="33" s="1"/>
  <c r="J121" i="33" s="1"/>
  <c r="K121" i="33" s="1"/>
  <c r="L121" i="33" s="1"/>
  <c r="M121" i="33" s="1"/>
  <c r="G108" i="33"/>
  <c r="H108" i="33" s="1"/>
  <c r="I108" i="33" s="1"/>
  <c r="J108" i="33" s="1"/>
  <c r="K108" i="33" s="1"/>
  <c r="L108" i="33" s="1"/>
  <c r="M108" i="33" s="1"/>
  <c r="J35" i="33"/>
  <c r="W35" i="33" s="1"/>
  <c r="S37" i="33"/>
  <c r="AA37" i="33"/>
  <c r="F101" i="33"/>
  <c r="G101" i="33"/>
  <c r="H101" i="33" s="1"/>
  <c r="I101" i="33" s="1"/>
  <c r="J101" i="33" s="1"/>
  <c r="K101" i="33" s="1"/>
  <c r="L101" i="33" s="1"/>
  <c r="M101" i="33" s="1"/>
  <c r="J32" i="33"/>
  <c r="AC32" i="33" s="1"/>
  <c r="S46" i="33"/>
  <c r="H25" i="33"/>
  <c r="AB25" i="33" s="1"/>
  <c r="F25" i="33"/>
  <c r="S25" i="33" s="1"/>
  <c r="J23" i="33"/>
  <c r="AC23" i="33" s="1"/>
  <c r="F85" i="33"/>
  <c r="H23" i="33"/>
  <c r="AB23" i="33" s="1"/>
  <c r="F81" i="33"/>
  <c r="F19" i="33"/>
  <c r="S19" i="33" s="1"/>
  <c r="J17" i="33"/>
  <c r="AC17" i="33" s="1"/>
  <c r="F79" i="33"/>
  <c r="G79" i="33" s="1"/>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U44" i="33"/>
  <c r="S30" i="33"/>
  <c r="AA30" i="33"/>
  <c r="AC14" i="33"/>
  <c r="W14" i="33"/>
  <c r="AC30" i="33"/>
  <c r="W30" i="33"/>
  <c r="S31" i="33"/>
  <c r="AA31" i="33"/>
  <c r="W13" i="33"/>
  <c r="AC13" i="33"/>
  <c r="U15"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H36" i="33"/>
  <c r="U36" i="33" s="1"/>
  <c r="J25" i="33"/>
  <c r="AC25" i="33" s="1"/>
  <c r="F23" i="33"/>
  <c r="G85" i="33"/>
  <c r="H19" i="33"/>
  <c r="U19" i="33" s="1"/>
  <c r="G81" i="33"/>
  <c r="H17" i="33"/>
  <c r="U17" i="33" s="1"/>
  <c r="F17" i="33"/>
  <c r="S17" i="33" s="1"/>
  <c r="S37" i="21"/>
  <c r="AA23" i="21"/>
  <c r="AB15" i="21"/>
  <c r="J23" i="21"/>
  <c r="F85" i="21"/>
  <c r="G85" i="21" s="1"/>
  <c r="H23" i="21"/>
  <c r="S13" i="21"/>
  <c r="D6" i="52"/>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6" i="67"/>
  <c r="F9" i="15"/>
  <c r="M6" i="15"/>
  <c r="E12" i="76"/>
  <c r="F26" i="67"/>
  <c r="F38" i="67"/>
  <c r="F26" i="15"/>
  <c r="F42" i="15"/>
  <c r="B8" i="76"/>
  <c r="F8" i="15"/>
  <c r="B13" i="76"/>
  <c r="B11" i="76"/>
  <c r="B12" i="76"/>
  <c r="L47" i="67"/>
  <c r="F6" i="15"/>
  <c r="F42" i="67"/>
  <c r="L48" i="15"/>
  <c r="M24" i="67"/>
  <c r="M8" i="67"/>
  <c r="F4" i="73"/>
  <c r="F7" i="73"/>
  <c r="F13" i="67"/>
  <c r="M26" i="67"/>
  <c r="M22" i="15"/>
  <c r="E2" i="69"/>
  <c r="M22" i="67"/>
  <c r="F3" i="73"/>
  <c r="M9" i="15"/>
  <c r="C76" i="15"/>
  <c r="F40" i="67"/>
  <c r="F7" i="67"/>
  <c r="L47" i="15"/>
  <c r="M26" i="15"/>
  <c r="F13" i="15"/>
  <c r="E13" i="76"/>
  <c r="M29" i="15"/>
  <c r="F43" i="15"/>
  <c r="F38" i="15"/>
  <c r="M23" i="15"/>
  <c r="F6" i="73"/>
  <c r="F36" i="67"/>
  <c r="F20" i="31"/>
  <c r="B10" i="76"/>
  <c r="M24" i="15"/>
  <c r="F9" i="67"/>
  <c r="J15" i="67"/>
  <c r="F37" i="67"/>
  <c r="E8" i="76"/>
  <c r="E9" i="76"/>
  <c r="AO13" i="1"/>
  <c r="J15" i="15"/>
  <c r="E11" i="76"/>
  <c r="L48" i="67"/>
  <c r="M29" i="67"/>
  <c r="B7" i="76"/>
  <c r="E2" i="68"/>
  <c r="F36" i="15"/>
  <c r="M8" i="15"/>
  <c r="E10" i="76"/>
  <c r="M28" i="67"/>
  <c r="M9" i="67"/>
  <c r="F40" i="15"/>
  <c r="F8" i="67"/>
  <c r="F43" i="67"/>
  <c r="F5" i="73"/>
  <c r="F16" i="67"/>
  <c r="M23" i="67"/>
  <c r="F16" i="15"/>
  <c r="C76" i="67"/>
  <c r="B9" i="76"/>
  <c r="F37" i="15"/>
  <c r="F7" i="15"/>
  <c r="F6" i="67"/>
  <c r="E7" i="76"/>
  <c r="M28" i="15"/>
  <c r="D6" i="73"/>
  <c r="W8" i="33" l="1"/>
  <c r="H39" i="33"/>
  <c r="AB39" i="33" s="1"/>
  <c r="AA44" i="33"/>
  <c r="AC44" i="33"/>
  <c r="A2" i="9"/>
  <c r="A4" i="52"/>
  <c r="B41" i="72" s="1"/>
  <c r="W43" i="33"/>
  <c r="AA36" i="33"/>
  <c r="S36" i="33"/>
  <c r="F111" i="33"/>
  <c r="G111" i="33" s="1"/>
  <c r="H111" i="33" s="1"/>
  <c r="I111" i="33" s="1"/>
  <c r="J111" i="33" s="1"/>
  <c r="K111" i="33" s="1"/>
  <c r="L111" i="33" s="1"/>
  <c r="M111" i="33" s="1"/>
  <c r="J36" i="33"/>
  <c r="W36" i="33" s="1"/>
  <c r="F91" i="33"/>
  <c r="G91" i="33" s="1"/>
  <c r="H91" i="33" s="1"/>
  <c r="I91" i="33" s="1"/>
  <c r="J91" i="33" s="1"/>
  <c r="K91" i="33" s="1"/>
  <c r="L91" i="33" s="1"/>
  <c r="M91" i="33" s="1"/>
  <c r="J27" i="33"/>
  <c r="AC27" i="33" s="1"/>
  <c r="H27" i="33"/>
  <c r="AB27" i="33" s="1"/>
  <c r="F27" i="33"/>
  <c r="AA27" i="33" s="1"/>
  <c r="U25" i="33"/>
  <c r="J15" i="33"/>
  <c r="AC15" i="33" s="1"/>
  <c r="F15" i="33"/>
  <c r="AA15" i="33" s="1"/>
  <c r="W19" i="33"/>
  <c r="W17" i="33"/>
  <c r="S15" i="33"/>
  <c r="U9" i="33"/>
  <c r="W39" i="33"/>
  <c r="S38" i="33"/>
  <c r="S43" i="33"/>
  <c r="AB40" i="33"/>
  <c r="S39" i="33"/>
  <c r="S32" i="33"/>
  <c r="AA25" i="33"/>
  <c r="U23" i="33"/>
  <c r="AC21" i="33"/>
  <c r="AA19" i="33"/>
  <c r="AA17" i="33"/>
  <c r="W15" i="33"/>
  <c r="W38" i="33"/>
  <c r="U37" i="33"/>
  <c r="U42" i="33"/>
  <c r="S42" i="33"/>
  <c r="W42" i="33"/>
  <c r="AC35" i="33"/>
  <c r="U35" i="33"/>
  <c r="AA35" i="33"/>
  <c r="AB34" i="33"/>
  <c r="AA34" i="33"/>
  <c r="AC34" i="33"/>
  <c r="S33" i="33"/>
  <c r="U32" i="33"/>
  <c r="W32" i="33"/>
  <c r="S28" i="33"/>
  <c r="AC28" i="33"/>
  <c r="S27" i="33"/>
  <c r="AC26" i="33"/>
  <c r="U26" i="33"/>
  <c r="W25" i="33"/>
  <c r="AB19" i="33"/>
  <c r="W23" i="37"/>
  <c r="AB36" i="33"/>
  <c r="AC15" i="21"/>
  <c r="S25" i="21"/>
  <c r="AA25" i="21"/>
  <c r="AZ527" i="3"/>
  <c r="AZ571" i="3"/>
  <c r="AZ579" i="3"/>
  <c r="AZ510" i="3"/>
  <c r="AZ552" i="3"/>
  <c r="U45" i="33"/>
  <c r="AB45" i="33"/>
  <c r="AA44" i="34"/>
  <c r="S44" i="34"/>
  <c r="AZ322" i="3"/>
  <c r="AZ520" i="3"/>
  <c r="S14" i="37"/>
  <c r="AA14" i="37"/>
  <c r="W36" i="34"/>
  <c r="AC36" i="34"/>
  <c r="S29" i="35"/>
  <c r="AA29" i="35"/>
  <c r="AZ14" i="3"/>
  <c r="AZ334" i="3"/>
  <c r="AZ347" i="3"/>
  <c r="AZ503" i="3"/>
  <c r="AZ513" i="3"/>
  <c r="AZ575" i="3"/>
  <c r="U30" i="21"/>
  <c r="AB30" i="21"/>
  <c r="AZ390" i="3"/>
  <c r="AZ351" i="3"/>
  <c r="AZ306" i="3"/>
  <c r="AA11" i="39"/>
  <c r="AZ540" i="3"/>
  <c r="U46" i="34"/>
  <c r="AB46" i="34"/>
  <c r="AC31" i="40"/>
  <c r="W31" i="40"/>
  <c r="AZ313" i="3"/>
  <c r="AZ394" i="3"/>
  <c r="S14" i="40"/>
  <c r="AZ519" i="3"/>
  <c r="AZ531" i="3"/>
  <c r="AZ573" i="3"/>
  <c r="AZ583" i="3"/>
  <c r="AZ568" i="3"/>
  <c r="AZ576" i="3"/>
  <c r="AA14" i="34"/>
  <c r="F26" i="33"/>
  <c r="G587" i="3"/>
  <c r="F9" i="33"/>
  <c r="AA9" i="33" s="1"/>
  <c r="J12" i="35"/>
  <c r="H12" i="36"/>
  <c r="AZ406" i="3"/>
  <c r="S41" i="33"/>
  <c r="AB23" i="34"/>
  <c r="BL585" i="3"/>
  <c r="AZ585" i="3" s="1"/>
  <c r="B75" i="43"/>
  <c r="H36" i="35"/>
  <c r="H24" i="36"/>
  <c r="AZ400" i="3"/>
  <c r="AZ539" i="3"/>
  <c r="AZ529" i="3"/>
  <c r="AZ537" i="3"/>
  <c r="AZ518" i="3"/>
  <c r="AZ546" i="3"/>
  <c r="AB17" i="34"/>
  <c r="BL550" i="3"/>
  <c r="AZ487" i="3"/>
  <c r="BL587" i="3"/>
  <c r="AZ587" i="3" s="1"/>
  <c r="BL586" i="3"/>
  <c r="AZ586" i="3" s="1"/>
  <c r="G552" i="3"/>
  <c r="AZ451" i="3"/>
  <c r="BA551" i="3"/>
  <c r="AZ551" i="3" s="1"/>
  <c r="BA550" i="3"/>
  <c r="AZ550" i="3" s="1"/>
  <c r="BL548" i="3"/>
  <c r="AZ548" i="3" s="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G558" i="3"/>
  <c r="BL398" i="3"/>
  <c r="G402" i="3"/>
  <c r="BL403" i="3"/>
  <c r="G406" i="3"/>
  <c r="BA408" i="3"/>
  <c r="BA409" i="3"/>
  <c r="AZ409" i="3" s="1"/>
  <c r="BA411" i="3"/>
  <c r="BL414" i="3"/>
  <c r="BL415" i="3"/>
  <c r="BA417" i="3"/>
  <c r="BL421" i="3"/>
  <c r="BL422" i="3"/>
  <c r="AZ422" i="3" s="1"/>
  <c r="BL425" i="3"/>
  <c r="BL426" i="3"/>
  <c r="BA428" i="3"/>
  <c r="BA429" i="3"/>
  <c r="AZ429" i="3" s="1"/>
  <c r="BA430" i="3"/>
  <c r="AZ430" i="3" s="1"/>
  <c r="BA432" i="3"/>
  <c r="BA434" i="3"/>
  <c r="BA436" i="3"/>
  <c r="BA438" i="3"/>
  <c r="G442" i="3"/>
  <c r="G443" i="3"/>
  <c r="BA446" i="3"/>
  <c r="BA450" i="3"/>
  <c r="BA453" i="3"/>
  <c r="AZ453" i="3" s="1"/>
  <c r="BA455" i="3"/>
  <c r="AZ455" i="3" s="1"/>
  <c r="BL457" i="3"/>
  <c r="BL460" i="3"/>
  <c r="BL461" i="3"/>
  <c r="BL463" i="3"/>
  <c r="G465" i="3"/>
  <c r="BA471" i="3"/>
  <c r="BL317" i="3"/>
  <c r="BA353" i="3"/>
  <c r="BL353" i="3"/>
  <c r="BL15" i="3"/>
  <c r="AZ15" i="3" s="1"/>
  <c r="BA398" i="3"/>
  <c r="AZ398" i="3" s="1"/>
  <c r="BA399" i="3"/>
  <c r="AZ399" i="3" s="1"/>
  <c r="BL401" i="3"/>
  <c r="AZ401" i="3" s="1"/>
  <c r="BL404" i="3"/>
  <c r="BL405" i="3"/>
  <c r="BL407" i="3"/>
  <c r="BA412" i="3"/>
  <c r="AZ412" i="3" s="1"/>
  <c r="BA414" i="3"/>
  <c r="BA415" i="3"/>
  <c r="AZ415" i="3" s="1"/>
  <c r="BA416" i="3"/>
  <c r="AZ416" i="3" s="1"/>
  <c r="BA418" i="3"/>
  <c r="AZ418" i="3" s="1"/>
  <c r="BA421" i="3"/>
  <c r="AZ421" i="3" s="1"/>
  <c r="BA423" i="3"/>
  <c r="AZ423" i="3" s="1"/>
  <c r="BA425" i="3"/>
  <c r="BA426" i="3"/>
  <c r="BA427" i="3"/>
  <c r="AZ427" i="3" s="1"/>
  <c r="BA433" i="3"/>
  <c r="AZ433" i="3" s="1"/>
  <c r="BA435" i="3"/>
  <c r="AZ435" i="3" s="1"/>
  <c r="BL437" i="3"/>
  <c r="AZ437" i="3" s="1"/>
  <c r="G439" i="3"/>
  <c r="BL441" i="3"/>
  <c r="AZ441" i="3" s="1"/>
  <c r="BL442" i="3"/>
  <c r="BL444" i="3"/>
  <c r="AZ444" i="3" s="1"/>
  <c r="G446" i="3"/>
  <c r="BL448" i="3"/>
  <c r="AZ448" i="3" s="1"/>
  <c r="G450" i="3"/>
  <c r="BA454" i="3"/>
  <c r="AZ454" i="3" s="1"/>
  <c r="BA457" i="3"/>
  <c r="BA459" i="3"/>
  <c r="BA460" i="3"/>
  <c r="BA461" i="3"/>
  <c r="AZ461" i="3" s="1"/>
  <c r="BL464" i="3"/>
  <c r="BL466" i="3"/>
  <c r="AZ466" i="3" s="1"/>
  <c r="G468" i="3"/>
  <c r="G469" i="3"/>
  <c r="BL476" i="3"/>
  <c r="BL477" i="3"/>
  <c r="BL478" i="3"/>
  <c r="G479" i="3"/>
  <c r="G480" i="3"/>
  <c r="BL480" i="3"/>
  <c r="AZ480" i="3" s="1"/>
  <c r="G482" i="3"/>
  <c r="BA483" i="3"/>
  <c r="BL483" i="3"/>
  <c r="BA486" i="3"/>
  <c r="BL489" i="3"/>
  <c r="BL491" i="3"/>
  <c r="BL492" i="3"/>
  <c r="G307" i="3"/>
  <c r="BA315" i="3"/>
  <c r="AZ315" i="3" s="1"/>
  <c r="BA333" i="3"/>
  <c r="BL346" i="3"/>
  <c r="AZ346" i="3" s="1"/>
  <c r="AZ403" i="3"/>
  <c r="AZ404" i="3"/>
  <c r="AZ405" i="3"/>
  <c r="AZ407" i="3"/>
  <c r="AZ419" i="3"/>
  <c r="AZ464" i="3"/>
  <c r="AZ476" i="3"/>
  <c r="BA482" i="3"/>
  <c r="BA332" i="3"/>
  <c r="BL332" i="3"/>
  <c r="BA239" i="3"/>
  <c r="AZ239" i="3" s="1"/>
  <c r="BL239" i="3"/>
  <c r="AZ270" i="3"/>
  <c r="AZ302" i="3"/>
  <c r="BL155" i="3"/>
  <c r="AZ155" i="3" s="1"/>
  <c r="BA358" i="3"/>
  <c r="AZ358" i="3" s="1"/>
  <c r="BL365" i="3"/>
  <c r="AZ365" i="3" s="1"/>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BL286" i="3"/>
  <c r="AZ286" i="3" s="1"/>
  <c r="G291" i="3"/>
  <c r="BA296" i="3"/>
  <c r="BA116" i="3"/>
  <c r="AZ116" i="3" s="1"/>
  <c r="BA121" i="3"/>
  <c r="AZ121" i="3" s="1"/>
  <c r="BL121" i="3"/>
  <c r="BA124" i="3"/>
  <c r="AZ124" i="3" s="1"/>
  <c r="BA126" i="3"/>
  <c r="BA129" i="3"/>
  <c r="BL133" i="3"/>
  <c r="AZ133" i="3" s="1"/>
  <c r="BL139" i="3"/>
  <c r="AZ139" i="3" s="1"/>
  <c r="G140" i="3"/>
  <c r="BL141" i="3"/>
  <c r="BL143" i="3"/>
  <c r="AZ143" i="3" s="1"/>
  <c r="G146" i="3"/>
  <c r="BA153" i="3"/>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G288" i="3"/>
  <c r="BL292" i="3"/>
  <c r="BA294" i="3"/>
  <c r="AZ294" i="3" s="1"/>
  <c r="BL295" i="3"/>
  <c r="BA298" i="3"/>
  <c r="AZ298" i="3" s="1"/>
  <c r="BL301" i="3"/>
  <c r="AZ301" i="3" s="1"/>
  <c r="BL302" i="3"/>
  <c r="BA114" i="3"/>
  <c r="BL123" i="3"/>
  <c r="AZ123" i="3" s="1"/>
  <c r="BA128" i="3"/>
  <c r="AZ128" i="3" s="1"/>
  <c r="BL134" i="3"/>
  <c r="BL137" i="3"/>
  <c r="AZ137" i="3" s="1"/>
  <c r="BA146" i="3"/>
  <c r="AZ146" i="3" s="1"/>
  <c r="BA164" i="3"/>
  <c r="AZ164" i="3" s="1"/>
  <c r="BA177" i="3"/>
  <c r="AZ177" i="3" s="1"/>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0" i="3"/>
  <c r="G154" i="3"/>
  <c r="BL173" i="3"/>
  <c r="BA37" i="3"/>
  <c r="BL39" i="3"/>
  <c r="BA45" i="3"/>
  <c r="BA46" i="3"/>
  <c r="BL49" i="3"/>
  <c r="BL50" i="3"/>
  <c r="AZ50" i="3" s="1"/>
  <c r="BL51" i="3"/>
  <c r="BL53" i="3"/>
  <c r="BA56" i="3"/>
  <c r="BA57" i="3"/>
  <c r="BL58" i="3"/>
  <c r="BA60" i="3"/>
  <c r="BA63" i="3"/>
  <c r="BA66" i="3"/>
  <c r="AZ66" i="3" s="1"/>
  <c r="AC29" i="39"/>
  <c r="W29" i="39"/>
  <c r="C52" i="71"/>
  <c r="D51" i="71"/>
  <c r="V24" i="71"/>
  <c r="E23" i="71"/>
  <c r="E22" i="71" s="1"/>
  <c r="E21" i="71" s="1"/>
  <c r="E20" i="71"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AZ38" i="3" s="1"/>
  <c r="BA39" i="3"/>
  <c r="AZ39" i="3" s="1"/>
  <c r="BL47" i="3"/>
  <c r="AZ47" i="3" s="1"/>
  <c r="G49" i="3"/>
  <c r="G50" i="3"/>
  <c r="G52" i="3"/>
  <c r="BA52" i="3"/>
  <c r="AZ52" i="3" s="1"/>
  <c r="BA53" i="3"/>
  <c r="AZ53" i="3" s="1"/>
  <c r="BA54" i="3"/>
  <c r="BL57" i="3"/>
  <c r="G59" i="3"/>
  <c r="G62" i="3"/>
  <c r="BL62" i="3"/>
  <c r="BL63" i="3"/>
  <c r="G65" i="3"/>
  <c r="BL65" i="3"/>
  <c r="BL66" i="3"/>
  <c r="BL67" i="3"/>
  <c r="AZ67" i="3" s="1"/>
  <c r="G69" i="3"/>
  <c r="G70" i="3"/>
  <c r="BA72" i="3"/>
  <c r="BA73" i="3"/>
  <c r="BA79" i="3"/>
  <c r="AZ79" i="3" s="1"/>
  <c r="G82" i="3"/>
  <c r="G83" i="3"/>
  <c r="BA84" i="3"/>
  <c r="AZ84" i="3" s="1"/>
  <c r="BL88" i="3"/>
  <c r="AZ88" i="3" s="1"/>
  <c r="BL90" i="3"/>
  <c r="G98" i="3"/>
  <c r="G99" i="3"/>
  <c r="BA105" i="3"/>
  <c r="C44" i="71"/>
  <c r="D43" i="7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AZ27" i="3" s="1"/>
  <c r="BA28" i="3"/>
  <c r="BA31" i="3"/>
  <c r="AZ31" i="3" s="1"/>
  <c r="BA32" i="3"/>
  <c r="AZ62" i="3"/>
  <c r="AZ64" i="3"/>
  <c r="AZ65" i="3"/>
  <c r="BL68" i="3"/>
  <c r="BA69" i="3"/>
  <c r="AZ69" i="3" s="1"/>
  <c r="BA70" i="3"/>
  <c r="AZ70" i="3" s="1"/>
  <c r="BL81" i="3"/>
  <c r="BA82" i="3"/>
  <c r="AZ82" i="3" s="1"/>
  <c r="BL83" i="3"/>
  <c r="BA90" i="3"/>
  <c r="BA94" i="3"/>
  <c r="AZ94" i="3" s="1"/>
  <c r="C47" i="71"/>
  <c r="D47" i="71" s="1"/>
  <c r="D46" i="71"/>
  <c r="C55" i="71"/>
  <c r="D54" i="71"/>
  <c r="N67" i="71"/>
  <c r="B66" i="71"/>
  <c r="F66" i="71"/>
  <c r="Q67" i="71"/>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AZ41" i="3" s="1"/>
  <c r="G45" i="3"/>
  <c r="BL45" i="3"/>
  <c r="BA48" i="3"/>
  <c r="BA49" i="3"/>
  <c r="AZ49" i="3" s="1"/>
  <c r="BA51" i="3"/>
  <c r="AZ51" i="3" s="1"/>
  <c r="G54" i="3"/>
  <c r="G55" i="3"/>
  <c r="BL56" i="3"/>
  <c r="BA58" i="3"/>
  <c r="AZ58" i="3" s="1"/>
  <c r="BL59" i="3"/>
  <c r="AZ59" i="3" s="1"/>
  <c r="BL60" i="3"/>
  <c r="BA61" i="3"/>
  <c r="AZ61" i="3" s="1"/>
  <c r="BA68" i="3"/>
  <c r="BA71" i="3"/>
  <c r="AZ71" i="3" s="1"/>
  <c r="BL72" i="3"/>
  <c r="BL75" i="3"/>
  <c r="BL91" i="3"/>
  <c r="BL100" i="3"/>
  <c r="AZ100" i="3" s="1"/>
  <c r="BL105" i="3"/>
  <c r="F40" i="68"/>
  <c r="C21" i="68"/>
  <c r="D31" i="71"/>
  <c r="C32" i="71"/>
  <c r="G72" i="3"/>
  <c r="BL73" i="3"/>
  <c r="BA74" i="3"/>
  <c r="AZ74" i="3" s="1"/>
  <c r="BA75" i="3"/>
  <c r="AZ75" i="3" s="1"/>
  <c r="G81" i="3"/>
  <c r="G85" i="3"/>
  <c r="BL85" i="3"/>
  <c r="BA86" i="3"/>
  <c r="AZ86" i="3" s="1"/>
  <c r="BA87" i="3"/>
  <c r="BA91" i="3"/>
  <c r="AZ91" i="3" s="1"/>
  <c r="G96" i="3"/>
  <c r="BL97" i="3"/>
  <c r="AZ97" i="3" s="1"/>
  <c r="BL101" i="3"/>
  <c r="AZ101" i="3" s="1"/>
  <c r="BL102" i="3"/>
  <c r="AZ102" i="3" s="1"/>
  <c r="G104" i="3"/>
  <c r="G105" i="3"/>
  <c r="BL106" i="3"/>
  <c r="BA108" i="3"/>
  <c r="BA110" i="3"/>
  <c r="AZ110" i="3" s="1"/>
  <c r="F3" i="35"/>
  <c r="S21" i="33"/>
  <c r="S21" i="37"/>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BL108" i="3"/>
  <c r="G110" i="3"/>
  <c r="BL111" i="3"/>
  <c r="C5" i="68"/>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107" i="3"/>
  <c r="BA111" i="3"/>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5" i="73"/>
  <c r="C16" i="67"/>
  <c r="C16" i="15"/>
  <c r="D3" i="73"/>
  <c r="D4" i="73"/>
  <c r="D7" i="73"/>
  <c r="U39" i="33" l="1"/>
  <c r="W27" i="33"/>
  <c r="U27" i="33"/>
  <c r="K16" i="1"/>
  <c r="T28" i="71"/>
  <c r="D28" i="71"/>
  <c r="U28" i="71" s="1"/>
  <c r="C27" i="71"/>
  <c r="D79" i="71"/>
  <c r="C78" i="71"/>
  <c r="D78" i="71" s="1"/>
  <c r="T32" i="71"/>
  <c r="D32" i="71"/>
  <c r="C56" i="71"/>
  <c r="D55" i="71"/>
  <c r="D44" i="71"/>
  <c r="T44" i="71"/>
  <c r="AZ243" i="3"/>
  <c r="AZ459" i="3"/>
  <c r="AZ432" i="3"/>
  <c r="AZ417" i="3"/>
  <c r="G5" i="3"/>
  <c r="B3" i="3" s="1"/>
  <c r="E539" i="3" s="1"/>
  <c r="AZ111" i="3"/>
  <c r="D83" i="71"/>
  <c r="C82" i="71"/>
  <c r="D82" i="71" s="1"/>
  <c r="O65" i="71"/>
  <c r="D66" i="71"/>
  <c r="O66" i="71"/>
  <c r="N65" i="71"/>
  <c r="N66" i="71"/>
  <c r="AZ28" i="3"/>
  <c r="AZ105" i="3"/>
  <c r="AZ45" i="3"/>
  <c r="AZ118" i="3"/>
  <c r="AZ229" i="3"/>
  <c r="AZ218" i="3"/>
  <c r="AZ271" i="3"/>
  <c r="AZ332" i="3"/>
  <c r="AZ483" i="3"/>
  <c r="AZ457" i="3"/>
  <c r="AZ414" i="3"/>
  <c r="AZ471" i="3"/>
  <c r="AZ408" i="3"/>
  <c r="AZ491" i="3"/>
  <c r="G16" i="1"/>
  <c r="F10" i="39" s="1"/>
  <c r="S10" i="39" s="1"/>
  <c r="C40" i="71"/>
  <c r="D39" i="71"/>
  <c r="AZ108" i="3"/>
  <c r="AZ57" i="3"/>
  <c r="AB24" i="36"/>
  <c r="U24" i="36"/>
  <c r="U12" i="36"/>
  <c r="AB12" i="36"/>
  <c r="AA26" i="33"/>
  <c r="S26" i="33"/>
  <c r="C70" i="71"/>
  <c r="D70" i="71" s="1"/>
  <c r="D71" i="71"/>
  <c r="C36" i="71"/>
  <c r="D35" i="71"/>
  <c r="AZ72" i="3"/>
  <c r="T52" i="71"/>
  <c r="D52" i="71"/>
  <c r="AZ63" i="3"/>
  <c r="AZ126" i="3"/>
  <c r="AZ274" i="3"/>
  <c r="AZ223" i="3"/>
  <c r="AZ460" i="3"/>
  <c r="AZ425" i="3"/>
  <c r="AZ353" i="3"/>
  <c r="AZ428" i="3"/>
  <c r="AZ411" i="3"/>
  <c r="AB36" i="35"/>
  <c r="U36" i="35"/>
  <c r="W12" i="35"/>
  <c r="AC12" i="35"/>
  <c r="J7" i="37"/>
  <c r="K1" i="73"/>
  <c r="E510" i="3"/>
  <c r="I3" i="6"/>
  <c r="E363" i="3"/>
  <c r="E300" i="3"/>
  <c r="E264" i="3"/>
  <c r="E129" i="3"/>
  <c r="E140" i="3"/>
  <c r="E452" i="3"/>
  <c r="E342" i="3"/>
  <c r="E493" i="3"/>
  <c r="E40" i="3"/>
  <c r="E455" i="3"/>
  <c r="E147" i="3"/>
  <c r="E398" i="3"/>
  <c r="E421" i="3"/>
  <c r="E582" i="3"/>
  <c r="Y6" i="3"/>
  <c r="E122" i="3"/>
  <c r="E475" i="3"/>
  <c r="E432" i="3"/>
  <c r="E153" i="3"/>
  <c r="E169" i="3"/>
  <c r="E156" i="3"/>
  <c r="E55" i="3"/>
  <c r="E443" i="3"/>
  <c r="E282" i="3"/>
  <c r="E130" i="3"/>
  <c r="E253" i="3"/>
  <c r="E433" i="3"/>
  <c r="E414" i="3"/>
  <c r="E343" i="3"/>
  <c r="E380" i="3"/>
  <c r="E503" i="3"/>
  <c r="E301" i="3"/>
  <c r="E124" i="3"/>
  <c r="E568"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H10" i="39"/>
  <c r="U10" i="39" s="1"/>
  <c r="D26" i="43"/>
  <c r="C25" i="43" s="1"/>
  <c r="C7" i="43"/>
  <c r="C5" i="43" s="1"/>
  <c r="D10" i="52"/>
  <c r="D125" i="9"/>
  <c r="D11" i="52" s="1"/>
  <c r="B7" i="74"/>
  <c r="C7" i="74" s="1"/>
  <c r="F67" i="39"/>
  <c r="F59" i="67"/>
  <c r="H7" i="37"/>
  <c r="AB7" i="37" s="1"/>
  <c r="T42" i="37" s="1"/>
  <c r="G42" i="37" s="1"/>
  <c r="H7" i="33"/>
  <c r="J7" i="33"/>
  <c r="D65" i="40"/>
  <c r="E63" i="40"/>
  <c r="F48" i="35"/>
  <c r="AC7" i="37"/>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AA10" i="39" l="1"/>
  <c r="J10" i="39"/>
  <c r="W10" i="39" s="1"/>
  <c r="F10" i="40"/>
  <c r="S10" i="40" s="1"/>
  <c r="AK6" i="3"/>
  <c r="E77" i="3"/>
  <c r="E495" i="3"/>
  <c r="E134" i="3"/>
  <c r="E183" i="3"/>
  <c r="E538" i="3"/>
  <c r="E44" i="3"/>
  <c r="E107" i="3"/>
  <c r="E457" i="3"/>
  <c r="E518" i="3"/>
  <c r="E407" i="3"/>
  <c r="E480" i="3"/>
  <c r="E576" i="3"/>
  <c r="E344" i="3"/>
  <c r="AN6" i="3"/>
  <c r="E418" i="3"/>
  <c r="E29" i="3"/>
  <c r="E379" i="3"/>
  <c r="E288" i="3"/>
  <c r="E98" i="3"/>
  <c r="E259" i="3"/>
  <c r="E19" i="3"/>
  <c r="E51" i="3"/>
  <c r="E101" i="3"/>
  <c r="E52" i="3"/>
  <c r="E43" i="3"/>
  <c r="E498" i="3"/>
  <c r="E223" i="3"/>
  <c r="E78" i="3"/>
  <c r="E360" i="3"/>
  <c r="E287" i="3"/>
  <c r="E75" i="3"/>
  <c r="E381" i="3"/>
  <c r="E103" i="3"/>
  <c r="E192" i="3"/>
  <c r="E541" i="3"/>
  <c r="E545" i="3"/>
  <c r="E347" i="3"/>
  <c r="E586" i="3"/>
  <c r="E91" i="3"/>
  <c r="E261" i="3"/>
  <c r="E270" i="3"/>
  <c r="E186" i="3"/>
  <c r="E567" i="3"/>
  <c r="E519" i="3"/>
  <c r="E61" i="3"/>
  <c r="E358" i="3"/>
  <c r="E295" i="3"/>
  <c r="I6" i="3"/>
  <c r="Q6" i="3"/>
  <c r="E254" i="3"/>
  <c r="E390" i="3"/>
  <c r="E272" i="3"/>
  <c r="E397" i="3"/>
  <c r="E532" i="3"/>
  <c r="E167" i="3"/>
  <c r="E373" i="3"/>
  <c r="E209" i="3"/>
  <c r="E65" i="3"/>
  <c r="E218" i="3"/>
  <c r="E339" i="3"/>
  <c r="E333" i="3"/>
  <c r="E490" i="3"/>
  <c r="E83" i="3"/>
  <c r="E243" i="3"/>
  <c r="E469" i="3"/>
  <c r="E251" i="3"/>
  <c r="E332" i="3"/>
  <c r="E144" i="3"/>
  <c r="E425" i="3"/>
  <c r="E56" i="3"/>
  <c r="R6" i="3"/>
  <c r="E181" i="3"/>
  <c r="E399" i="3"/>
  <c r="E350" i="3"/>
  <c r="E180" i="3"/>
  <c r="E216" i="3"/>
  <c r="E555" i="3"/>
  <c r="E476" i="3"/>
  <c r="E279" i="3"/>
  <c r="E511" i="3"/>
  <c r="E260" i="3"/>
  <c r="E569" i="3"/>
  <c r="E404" i="3"/>
  <c r="E274" i="3"/>
  <c r="E262" i="3"/>
  <c r="E213" i="3"/>
  <c r="E574" i="3"/>
  <c r="E546" i="3"/>
  <c r="E257" i="3"/>
  <c r="E306" i="3"/>
  <c r="E488" i="3"/>
  <c r="E47" i="3"/>
  <c r="E57" i="3"/>
  <c r="E155" i="3"/>
  <c r="E50" i="3"/>
  <c r="E137" i="3"/>
  <c r="E202" i="3"/>
  <c r="E486" i="3"/>
  <c r="E370" i="3"/>
  <c r="E104" i="3"/>
  <c r="E534" i="3"/>
  <c r="E522" i="3"/>
  <c r="E21" i="3"/>
  <c r="E23" i="3"/>
  <c r="E76" i="3"/>
  <c r="E435" i="3"/>
  <c r="E199" i="3"/>
  <c r="E3" i="6"/>
  <c r="AB7" i="36"/>
  <c r="T36" i="36" s="1"/>
  <c r="G36" i="36" s="1"/>
  <c r="S7" i="36"/>
  <c r="H10" i="40"/>
  <c r="AB10" i="40" s="1"/>
  <c r="J10" i="40"/>
  <c r="AC10" i="40" s="1"/>
  <c r="D36" i="71"/>
  <c r="T36" i="71"/>
  <c r="T40" i="71"/>
  <c r="D40" i="71"/>
  <c r="D56" i="71"/>
  <c r="T56" i="71"/>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6" i="71"/>
  <c r="D26" i="71" s="1"/>
  <c r="D27" i="71"/>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M27" i="67"/>
  <c r="AC6" i="3" l="1"/>
  <c r="H6" i="3"/>
  <c r="E6" i="3" s="1"/>
  <c r="F22" i="68"/>
  <c r="C23" i="68" s="1"/>
  <c r="D116" i="43"/>
  <c r="F25" i="12"/>
  <c r="C26" i="12" s="1"/>
  <c r="D25" i="12" s="1"/>
  <c r="W10" i="40"/>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C44" i="11" l="1"/>
  <c r="D41" i="11" s="1"/>
  <c r="C44" i="68"/>
  <c r="D41" i="68" s="1"/>
  <c r="C26" i="68"/>
  <c r="D22" i="68" s="1"/>
  <c r="F41"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U18" i="1" s="1"/>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L51" i="15"/>
  <c r="D2" i="34"/>
  <c r="D2" i="37"/>
  <c r="D2" i="35"/>
  <c r="D2" i="36"/>
  <c r="C102" i="9" l="1"/>
  <c r="C21" i="9"/>
  <c r="B3" i="33"/>
  <c r="D102" i="9"/>
  <c r="D22" i="9"/>
  <c r="G19"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35" i="9"/>
  <c r="D34" i="9"/>
  <c r="D20" i="9"/>
  <c r="AO6" i="1"/>
  <c r="AO12" i="1"/>
  <c r="AO11" i="1"/>
  <c r="AO9" i="1"/>
  <c r="AO10" i="1"/>
  <c r="AO8" i="1"/>
  <c r="AO7" i="1"/>
  <c r="G21" i="9" l="1"/>
  <c r="D14" i="74"/>
  <c r="G14" i="74" s="1"/>
  <c r="C103" i="9"/>
  <c r="D103" i="9"/>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I118" i="9" l="1"/>
  <c r="H102" i="9" s="1"/>
  <c r="G118" i="9"/>
  <c r="G4" i="52" s="1"/>
  <c r="B52" i="72" s="1"/>
  <c r="F118" i="9" l="1"/>
  <c r="F119" i="9" s="1"/>
  <c r="F5" i="52" s="1"/>
  <c r="B53" i="72" s="1"/>
  <c r="C5" i="74"/>
  <c r="D7" i="53"/>
  <c r="B21" i="72" s="1"/>
  <c r="I4" i="52"/>
  <c r="E118" i="9"/>
  <c r="C105" i="9"/>
  <c r="H118" i="9"/>
  <c r="F4" i="52" l="1"/>
  <c r="B51" i="72" s="1"/>
  <c r="H119" i="9"/>
  <c r="H5" i="52" s="1"/>
  <c r="H101" i="9"/>
  <c r="H4" i="52"/>
  <c r="C104" i="9"/>
  <c r="E4" i="52"/>
  <c r="B48" i="72" s="1"/>
  <c r="D118" i="9"/>
  <c r="D119" i="9" l="1"/>
  <c r="D5" i="52" s="1"/>
  <c r="B49" i="72" s="1"/>
  <c r="D4" i="52"/>
  <c r="B47" i="72" s="1"/>
  <c r="D5" i="53"/>
  <c r="M48" i="9"/>
  <c r="H107" i="9"/>
  <c r="D45" i="9"/>
  <c r="H108" i="9" l="1"/>
  <c r="D13" i="53"/>
  <c r="M49" i="9"/>
  <c r="D122" i="9"/>
  <c r="D6" i="53"/>
  <c r="B22" i="72" s="1"/>
  <c r="B20" i="72"/>
  <c r="D52" i="9"/>
  <c r="C78" i="9"/>
  <c r="C73" i="9" s="1"/>
  <c r="C64" i="9"/>
  <c r="C63" i="9" s="1"/>
  <c r="C67" i="9" s="1"/>
  <c r="D53" i="9"/>
  <c r="C93" i="9"/>
  <c r="C86" i="9" s="1"/>
  <c r="C85" i="9"/>
  <c r="C72" i="9"/>
  <c r="D55" i="9"/>
  <c r="M53" i="9" s="1"/>
  <c r="C79" i="9" l="1"/>
  <c r="D59" i="9"/>
  <c r="M55" i="9" s="1"/>
  <c r="C68" i="9"/>
  <c r="D54" i="9" s="1"/>
  <c r="D48" i="9" s="1"/>
  <c r="M52" i="9" s="1"/>
  <c r="C6" i="74"/>
  <c r="D15" i="53"/>
  <c r="B31" i="72" s="1"/>
  <c r="C95" i="9"/>
  <c r="D8" i="52"/>
  <c r="D123" i="9"/>
  <c r="D9" i="52" s="1"/>
  <c r="L67" i="9"/>
  <c r="M67" i="9" s="1"/>
  <c r="L65" i="9"/>
  <c r="M65" i="9" s="1"/>
  <c r="L68" i="9"/>
  <c r="M68" i="9" s="1"/>
  <c r="L64" i="9"/>
  <c r="M64" i="9" s="1"/>
  <c r="L66" i="9"/>
  <c r="M66" i="9" s="1"/>
  <c r="L63" i="9"/>
  <c r="M63" i="9" s="1"/>
  <c r="D14" i="53"/>
  <c r="B32" i="72" s="1"/>
  <c r="B30" i="72"/>
  <c r="M69" i="9" l="1"/>
  <c r="N69" i="9" s="1"/>
  <c r="C80" i="9"/>
  <c r="E80" i="9" s="1"/>
  <c r="E81" i="9" s="1"/>
  <c r="C96" i="9"/>
  <c r="E96" i="9" s="1"/>
  <c r="E97" i="9" s="1"/>
  <c r="C81" i="9" l="1"/>
  <c r="C97" i="9"/>
  <c r="D58" i="9" l="1"/>
  <c r="D56" i="9" s="1"/>
  <c r="M54" i="9" s="1"/>
  <c r="N57" i="9" s="1"/>
  <c r="N58" i="9" s="1"/>
  <c r="P57" i="9" l="1"/>
  <c r="N59" i="9"/>
  <c r="N60" i="9" l="1"/>
  <c r="I14" i="74"/>
  <c r="B8" i="74" s="1"/>
  <c r="N61" i="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<sst xmlns="http://schemas.openxmlformats.org/spreadsheetml/2006/main" count="8356" uniqueCount="3533">
  <si>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</si>
  <si>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</si>
  <si>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</si>
  <si>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</si>
  <si>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</si>
  <si>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</si>
  <si>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</si>
  <si>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</si>
  <si>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</si>
  <si>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</si>
  <si>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</si>
  <si>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</si>
  <si>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</si>
  <si>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</si>
  <si>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</si>
  <si>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</si>
  <si>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</si>
  <si>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</si>
  <si>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</si>
  <si>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</si>
  <si>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</si>
  <si>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</si>
  <si>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</si>
  <si>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</si>
  <si>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</si>
  <si>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</si>
  <si>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</si>
  <si>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</si>
  <si>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</si>
  <si>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</si>
  <si>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</si>
  <si>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</si>
  <si>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</si>
  <si>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</si>
  <si>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</si>
  <si>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</si>
  <si>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</si>
  <si>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</si>
  <si>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</si>
  <si>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</si>
  <si>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</si>
  <si>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</si>
  <si>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</si>
  <si>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</si>
  <si>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</si>
  <si>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</si>
  <si>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</si>
  <si>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</si>
  <si>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</si>
  <si>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</si>
  <si>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</si>
  <si>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</si>
  <si>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</si>
  <si>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</si>
  <si>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</si>
  <si>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</si>
  <si>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</si>
  <si>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</si>
  <si>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</si>
  <si>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</si>
  <si>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</si>
  <si>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</si>
  <si>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</si>
  <si>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</si>
  <si>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</si>
  <si>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</si>
  <si>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</si>
  <si>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</si>
  <si>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</si>
  <si>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</si>
  <si>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</si>
  <si>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</si>
  <si>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</si>
  <si>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</si>
  <si>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</si>
  <si>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</si>
  <si>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</si>
  <si>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</si>
  <si>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</si>
  <si>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</si>
  <si>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</si>
  <si>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</si>
  <si>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</si>
  <si>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</si>
  <si>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</si>
  <si>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</si>
  <si>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</si>
  <si>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</si>
  <si>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</si>
  <si>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</si>
  <si>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</si>
  <si>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</si>
  <si>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</si>
  <si>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</si>
  <si>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</si>
  <si>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</si>
  <si>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</si>
  <si>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</si>
  <si>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</si>
  <si>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</si>
  <si>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</si>
  <si>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</si>
  <si>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</si>
  <si>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</si>
  <si>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</si>
  <si>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</si>
  <si>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</si>
  <si>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</si>
  <si>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</si>
  <si>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</si>
  <si>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</si>
  <si>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</si>
  <si>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</si>
  <si>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</si>
  <si>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</si>
  <si>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</si>
  <si>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</si>
  <si>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</si>
  <si>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</si>
  <si>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</si>
  <si>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</si>
  <si>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</si>
  <si>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</si>
  <si>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</si>
  <si>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</si>
  <si>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</si>
  <si>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</si>
  <si>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</si>
  <si>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</si>
  <si>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</si>
  <si>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</si>
  <si>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</si>
  <si>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</si>
  <si>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</si>
  <si>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</si>
  <si>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</si>
  <si>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</si>
  <si>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</si>
  <si>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</si>
  <si>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</si>
  <si>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</si>
  <si>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</si>
  <si>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</si>
  <si>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</si>
  <si>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</si>
  <si>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</si>
  <si>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</si>
  <si>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</si>
  <si>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</si>
  <si>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</si>
  <si>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</si>
  <si>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</si>
  <si>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</si>
  <si>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</si>
  <si>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</si>
  <si>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</si>
  <si>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</si>
  <si>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</si>
  <si>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</si>
  <si>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</si>
  <si>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</si>
  <si>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</si>
  <si>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</si>
  <si>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</si>
  <si>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</si>
  <si>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</si>
  <si>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</si>
  <si>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</si>
  <si>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</si>
  <si>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</si>
  <si>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</si>
  <si>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</si>
  <si>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</si>
  <si>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</si>
  <si>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</si>
  <si>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</si>
  <si>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</si>
  <si>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</si>
  <si>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</si>
  <si>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</si>
  <si>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</si>
  <si>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</si>
  <si>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</si>
  <si>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</si>
  <si>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</si>
  <si>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</si>
  <si>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</si>
  <si>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</si>
  <si>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</si>
  <si>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</si>
  <si>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</si>
  <si>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</si>
  <si>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</si>
  <si>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</si>
  <si>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</si>
  <si>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</si>
  <si>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</si>
  <si>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</si>
  <si>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</si>
  <si>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</si>
  <si>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</si>
  <si>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</si>
  <si>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</si>
  <si>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</si>
  <si>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</si>
  <si>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</si>
  <si>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</si>
  <si>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</si>
  <si>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</si>
  <si>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</si>
  <si>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</si>
  <si>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</si>
  <si>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</si>
  <si>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</si>
  <si>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</si>
  <si>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</si>
  <si>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</si>
  <si>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</si>
  <si>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</si>
  <si>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</si>
  <si>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</si>
  <si>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</si>
  <si>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</si>
  <si>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</si>
  <si>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</si>
  <si>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</si>
  <si>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</si>
  <si>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</si>
  <si>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</si>
  <si>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</si>
  <si>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</si>
  <si>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</si>
  <si>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</si>
  <si>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</si>
  <si>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</si>
  <si>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</si>
  <si>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</si>
  <si>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</si>
  <si>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</si>
  <si>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</si>
  <si>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</si>
  <si>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</si>
  <si>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</si>
  <si>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</si>
  <si>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</si>
  <si>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</si>
  <si>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</si>
  <si>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</si>
  <si>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</si>
  <si>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</si>
  <si>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</si>
  <si>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</si>
  <si>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</si>
  <si>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</si>
  <si>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</si>
  <si>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</si>
  <si>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</si>
  <si>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</si>
  <si>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</si>
  <si>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</si>
  <si>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</si>
  <si>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</si>
  <si>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</si>
  <si>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</si>
  <si>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</si>
  <si>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</si>
  <si>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</si>
  <si>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</si>
  <si>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</si>
  <si>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</si>
  <si>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</si>
  <si>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</si>
  <si>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</si>
  <si>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</si>
  <si>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</si>
  <si>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</si>
  <si>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</si>
  <si>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</si>
  <si>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</si>
  <si>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</si>
  <si>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</si>
  <si>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</si>
  <si>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</si>
  <si>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</si>
  <si>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</si>
  <si>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</si>
  <si>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</si>
  <si>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</si>
  <si>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</si>
  <si>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</si>
  <si>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</si>
  <si>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</si>
  <si>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</si>
  <si>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</si>
  <si>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</si>
  <si>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</si>
  <si>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</si>
  <si>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</si>
  <si>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</si>
  <si>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</si>
  <si>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</si>
  <si>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</si>
  <si>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</si>
  <si>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</si>
  <si>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</si>
  <si>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</si>
  <si>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</si>
  <si>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</si>
  <si>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</si>
  <si>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</si>
  <si>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</si>
  <si>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</si>
  <si>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</si>
  <si>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</si>
  <si>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</si>
  <si>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</si>
  <si>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</si>
  <si>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</si>
  <si>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</si>
  <si>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</si>
  <si>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</si>
  <si>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</si>
  <si>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</si>
  <si>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</si>
  <si>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</si>
  <si>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</si>
  <si>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</si>
  <si>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</si>
  <si>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</si>
  <si>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</si>
  <si>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</si>
  <si>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</si>
  <si>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</si>
  <si>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</si>
  <si>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</si>
  <si>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</si>
  <si>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</si>
  <si>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</si>
  <si>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</si>
  <si>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</si>
  <si>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</si>
  <si>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</si>
  <si>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</si>
  <si>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</si>
  <si>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</si>
  <si>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</si>
  <si>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</si>
  <si>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</si>
  <si>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</si>
  <si>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</si>
  <si>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</si>
  <si>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</si>
  <si>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</si>
  <si>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</si>
  <si>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</si>
  <si>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</si>
  <si>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</si>
  <si>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</si>
  <si>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</si>
  <si>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</si>
  <si>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</si>
  <si>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</si>
  <si>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</si>
  <si>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</si>
  <si>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</si>
  <si>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</si>
  <si>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</si>
  <si>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</si>
  <si>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</si>
  <si>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</si>
  <si>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</si>
  <si>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</si>
  <si>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</si>
  <si>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</si>
  <si>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</si>
  <si>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</si>
  <si>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</si>
  <si>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</si>
  <si>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</si>
  <si>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</si>
  <si>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</si>
  <si>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</si>
  <si>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</si>
  <si>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</si>
  <si>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</si>
  <si>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</si>
  <si>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</si>
  <si>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</si>
  <si>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</si>
  <si>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</si>
  <si>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</si>
  <si>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</si>
  <si>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</si>
  <si>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</si>
  <si>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</si>
  <si>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</si>
  <si>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</si>
  <si>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</si>
  <si>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</si>
  <si>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</si>
  <si>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</si>
  <si>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</si>
  <si>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</si>
  <si>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</si>
  <si>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</si>
  <si>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</si>
  <si>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</si>
  <si>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</si>
  <si>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</si>
  <si>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</si>
  <si>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</si>
  <si>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</si>
  <si>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</si>
  <si>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</si>
  <si>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</si>
  <si>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</si>
  <si>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</si>
  <si>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</si>
  <si>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</si>
  <si>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</si>
  <si>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</si>
  <si>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</si>
  <si>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</si>
  <si>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</si>
  <si>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</si>
  <si>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</si>
  <si>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</si>
  <si>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</si>
  <si>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</si>
  <si>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</si>
  <si>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</si>
  <si>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</si>
  <si>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</si>
  <si>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</si>
  <si>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</si>
  <si>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</si>
  <si>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</si>
  <si>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</si>
  <si>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</si>
  <si>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</si>
  <si>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</si>
  <si>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</si>
  <si>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</si>
  <si>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</si>
  <si>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</si>
  <si>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</si>
  <si>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</si>
  <si>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</si>
  <si>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</si>
  <si>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</si>
  <si>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</si>
  <si>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</si>
  <si>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</si>
  <si>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</si>
  <si>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</si>
  <si>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</si>
  <si>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</si>
  <si>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</si>
  <si>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</si>
  <si>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</si>
  <si>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</si>
  <si>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</si>
  <si>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</si>
  <si>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</si>
  <si>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</si>
  <si>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</si>
  <si>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</si>
  <si>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</si>
  <si>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</si>
  <si>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</si>
  <si>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</si>
  <si>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</si>
  <si>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</si>
  <si>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</si>
  <si>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</si>
  <si>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</si>
  <si>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</si>
  <si>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</si>
  <si>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</si>
  <si>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</si>
  <si>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</si>
  <si>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</si>
  <si>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</si>
  <si>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</si>
  <si>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</si>
  <si>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</si>
  <si>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</si>
  <si>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</si>
  <si>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</si>
  <si>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</si>
  <si>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</si>
  <si>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</si>
  <si>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</si>
  <si>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</si>
  <si>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</si>
  <si>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</si>
  <si>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</si>
  <si>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</si>
  <si>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</si>
  <si>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</si>
  <si>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</si>
  <si>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</si>
  <si>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</si>
  <si>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</si>
  <si>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</si>
  <si>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</si>
  <si>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</si>
  <si>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</si>
  <si>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</si>
  <si>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</si>
  <si>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</si>
  <si>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</si>
  <si>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</si>
  <si>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</si>
  <si>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</si>
  <si>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</si>
  <si>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</si>
  <si>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</si>
  <si>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</si>
  <si>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</si>
  <si>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</si>
  <si>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</si>
  <si>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</si>
  <si>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</si>
  <si>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</si>
  <si>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</si>
  <si>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</si>
  <si>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</si>
  <si>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</si>
  <si>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</si>
  <si>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</si>
  <si>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</si>
  <si>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</si>
  <si>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</si>
  <si>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</si>
  <si>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</si>
  <si>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</si>
  <si>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</si>
  <si>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</si>
  <si>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</si>
  <si>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</si>
  <si>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</si>
  <si>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</si>
  <si>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</si>
  <si>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</si>
  <si>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</si>
  <si>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</si>
  <si>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</si>
  <si>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</si>
  <si>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</si>
  <si>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</si>
  <si>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</si>
  <si>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</si>
  <si>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</si>
  <si>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</si>
  <si>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</si>
  <si>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</si>
  <si>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</si>
  <si>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</si>
  <si>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</si>
  <si>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</si>
  <si>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</si>
  <si>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</si>
  <si>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</si>
  <si>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</si>
  <si>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</si>
  <si>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</si>
  <si>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</si>
  <si>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</si>
  <si>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</si>
  <si>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</si>
  <si>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</si>
  <si>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</si>
  <si>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</si>
  <si>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</si>
  <si>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</si>
  <si>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</si>
  <si>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</si>
  <si>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</si>
  <si>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</si>
  <si>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</si>
  <si>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</si>
  <si>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</si>
  <si>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</si>
  <si>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</si>
  <si>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</si>
  <si>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</si>
  <si>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</si>
  <si>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</si>
  <si>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</si>
  <si>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</si>
  <si>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</si>
  <si>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</si>
  <si>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</si>
  <si>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</si>
  <si>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</si>
  <si>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</si>
  <si>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</si>
  <si>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</si>
  <si>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</si>
  <si>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</si>
  <si>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</si>
  <si>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</si>
  <si>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</si>
  <si>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</si>
  <si>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</si>
  <si>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</si>
  <si>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</si>
  <si>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</si>
  <si>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</si>
  <si>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</si>
  <si>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</si>
  <si>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</si>
  <si>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</si>
  <si>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</si>
  <si>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</si>
  <si>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</si>
  <si>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</si>
  <si>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</si>
  <si>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</si>
  <si>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</si>
  <si>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</si>
  <si>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</si>
  <si>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</si>
  <si>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</si>
  <si>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</si>
  <si>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</si>
  <si>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</si>
  <si>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</si>
  <si>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</si>
  <si>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</si>
  <si>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</si>
  <si>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</si>
  <si>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</si>
  <si>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</si>
  <si>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</si>
  <si>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</si>
  <si>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</si>
  <si>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</si>
  <si>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</si>
  <si>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</si>
  <si>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</si>
  <si>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</si>
  <si>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</si>
  <si>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</si>
  <si>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</si>
  <si>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</si>
  <si>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</si>
  <si>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</si>
  <si>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</si>
  <si>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</si>
  <si>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</si>
  <si>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</si>
  <si>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</si>
  <si>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</si>
  <si>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</si>
  <si>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</si>
  <si>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</si>
  <si>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</si>
  <si>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</si>
  <si>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</si>
  <si>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</si>
  <si>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</si>
  <si>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</si>
  <si>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</si>
  <si>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</si>
  <si>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</si>
  <si>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</si>
  <si>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</si>
  <si>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</si>
  <si>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</si>
  <si>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</si>
  <si>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</si>
  <si>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</si>
  <si>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</si>
  <si>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</si>
  <si>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</si>
  <si>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</si>
  <si>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</si>
  <si>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</si>
  <si>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</si>
  <si>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</si>
  <si>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</si>
  <si>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</si>
  <si>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</si>
  <si>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</si>
  <si>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</si>
  <si>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</si>
  <si>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</si>
  <si>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</si>
  <si>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</si>
  <si>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</si>
  <si>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</si>
  <si>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</si>
  <si>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</si>
  <si>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</si>
  <si>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</si>
  <si>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</si>
  <si>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</si>
  <si>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</si>
  <si>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</si>
  <si>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</si>
  <si>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</si>
  <si>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</si>
  <si>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</si>
  <si>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</si>
  <si>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</si>
  <si>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</si>
  <si>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</si>
  <si>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</si>
  <si>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</si>
  <si>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</si>
  <si>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</si>
  <si>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</si>
  <si>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</si>
  <si>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</si>
  <si>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</si>
  <si>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</si>
  <si>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</si>
  <si>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</si>
  <si>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</si>
  <si>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</si>
  <si>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</si>
  <si>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</si>
  <si>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</si>
  <si>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</si>
  <si>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</si>
  <si>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</si>
  <si>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</si>
  <si>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</si>
  <si>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</si>
  <si>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</si>
  <si>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</si>
  <si>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</si>
  <si>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</si>
  <si>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</si>
  <si>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</si>
  <si>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</si>
  <si>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</si>
  <si>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</si>
  <si>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</si>
  <si>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</si>
  <si>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</si>
  <si>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</si>
  <si>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</si>
  <si>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</si>
  <si>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</si>
  <si>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</si>
  <si>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</si>
  <si>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</si>
  <si>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</si>
  <si>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</si>
  <si>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</si>
  <si>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</si>
  <si>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</si>
  <si>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</si>
  <si>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</si>
  <si>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</si>
  <si>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</si>
  <si>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</si>
  <si>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</si>
  <si>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</si>
  <si>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</si>
  <si>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</si>
  <si>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</si>
  <si>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</si>
  <si>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</si>
  <si>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</si>
  <si>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</si>
  <si>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</si>
  <si>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</si>
  <si>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</si>
  <si>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</si>
  <si>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</si>
  <si>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</si>
  <si>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</si>
  <si>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</si>
  <si>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</si>
  <si>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</si>
  <si>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</si>
  <si>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</si>
  <si>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</si>
  <si>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</si>
  <si>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</si>
  <si>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</si>
  <si>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</si>
  <si>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</si>
  <si>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</si>
  <si>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</si>
  <si>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</si>
  <si>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</si>
  <si>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</si>
  <si>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</si>
  <si>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</si>
  <si>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</si>
  <si>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</si>
  <si>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</si>
  <si>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</si>
  <si>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</si>
  <si>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</si>
  <si>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</si>
  <si>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</si>
  <si>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</si>
  <si>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</si>
  <si>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</si>
  <si>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</si>
  <si>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</si>
  <si>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</si>
  <si>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</si>
  <si>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</si>
  <si>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</si>
  <si>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</si>
  <si>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</si>
  <si>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</si>
  <si>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</si>
  <si>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</si>
  <si>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</si>
  <si>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</si>
  <si>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</si>
  <si>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</si>
  <si>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</si>
  <si>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</si>
  <si>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</si>
  <si>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</si>
  <si>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</si>
  <si>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</si>
  <si>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</si>
  <si>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</si>
  <si>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</si>
  <si>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</si>
  <si>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</si>
  <si>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</si>
  <si>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</si>
  <si>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</si>
  <si>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</si>
  <si>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</si>
  <si>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</si>
  <si>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</si>
  <si>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</si>
  <si>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</si>
  <si>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</si>
  <si>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</si>
  <si>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</si>
  <si>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</si>
  <si>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</si>
  <si>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</si>
  <si>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</si>
  <si>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</si>
  <si>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</si>
  <si>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</si>
  <si>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</si>
  <si>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</si>
  <si>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</si>
  <si>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</si>
  <si>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</si>
  <si>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</si>
  <si>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</si>
  <si>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</si>
  <si>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</si>
  <si>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</si>
  <si>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</si>
  <si>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</si>
  <si>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</si>
  <si>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</si>
  <si>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</si>
  <si>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</si>
  <si>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</si>
  <si>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</si>
  <si>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</si>
  <si>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</si>
  <si>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</si>
  <si>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</si>
  <si>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</si>
  <si>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</si>
  <si>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</si>
  <si>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</si>
  <si>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</si>
  <si>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</si>
  <si>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</si>
  <si>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</si>
  <si>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</si>
  <si>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</si>
  <si>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</si>
  <si>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</si>
  <si>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</si>
  <si>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</si>
  <si>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</si>
  <si>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</si>
  <si>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</si>
  <si>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</si>
  <si>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</si>
  <si>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</si>
  <si>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</si>
  <si>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</si>
  <si>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</si>
  <si>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</si>
  <si>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</si>
  <si>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</si>
  <si>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</si>
  <si>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</si>
  <si>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</si>
  <si>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</si>
  <si>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</si>
  <si>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</si>
  <si>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</si>
  <si>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</si>
  <si>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</si>
  <si>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</si>
  <si>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</si>
  <si>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</si>
  <si>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</si>
  <si>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</si>
  <si>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</si>
  <si>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</si>
  <si>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</si>
  <si>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</si>
  <si>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</si>
  <si>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</si>
  <si>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</si>
  <si>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</si>
  <si>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</si>
  <si>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</si>
  <si>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</si>
  <si>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</si>
  <si>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</si>
  <si>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</si>
  <si>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</si>
  <si>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</si>
  <si>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</si>
  <si>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</si>
  <si>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</si>
  <si>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</si>
  <si>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</si>
  <si>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</si>
  <si>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</si>
  <si>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</si>
  <si>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</si>
  <si>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</si>
  <si>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</si>
  <si>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</si>
  <si>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</si>
  <si>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</si>
  <si>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</si>
  <si>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</si>
  <si>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</si>
  <si>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</si>
  <si>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</si>
  <si>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</si>
  <si>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</si>
  <si>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</si>
  <si>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</si>
  <si>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</si>
  <si>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</si>
  <si>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</si>
  <si>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</si>
  <si>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</si>
  <si>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</si>
  <si>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</si>
  <si>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</si>
  <si>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</si>
  <si>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</si>
  <si>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</si>
  <si>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</si>
  <si>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</si>
  <si>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</si>
  <si>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</si>
  <si>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</si>
  <si>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</si>
  <si>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</si>
  <si>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</si>
  <si>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</si>
  <si>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</si>
  <si>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</si>
  <si>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</si>
  <si>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</si>
  <si>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</si>
  <si>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</si>
  <si>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</si>
  <si>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</si>
  <si>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</si>
  <si>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</si>
  <si>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</si>
  <si>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</si>
  <si>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</si>
  <si>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</si>
  <si>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</si>
  <si>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</si>
  <si>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</si>
  <si>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</si>
  <si>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</si>
  <si>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</si>
  <si>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</si>
  <si>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</si>
  <si>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</si>
  <si>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</si>
  <si>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</si>
  <si>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</si>
  <si>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</si>
  <si>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</si>
  <si>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</si>
  <si>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</si>
  <si>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</si>
  <si>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</si>
  <si>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</si>
  <si>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</si>
  <si>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</si>
  <si>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</si>
  <si>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</si>
  <si>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</si>
  <si>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</si>
  <si>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</si>
  <si>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</si>
  <si>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</si>
  <si>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</si>
  <si>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</si>
  <si>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</si>
  <si>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</si>
  <si>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</si>
  <si>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</si>
  <si>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</si>
  <si>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</si>
  <si>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</si>
  <si>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</si>
  <si>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</si>
  <si>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</si>
  <si>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</si>
  <si>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</si>
  <si>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</si>
  <si>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</si>
  <si>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</si>
  <si>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</si>
  <si>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</si>
  <si>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</si>
  <si>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</si>
  <si>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</si>
  <si>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</si>
  <si>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</si>
  <si>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</si>
  <si>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</si>
  <si>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</si>
  <si>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</si>
  <si>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</si>
  <si>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</si>
  <si>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</si>
  <si>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</si>
  <si>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</si>
  <si>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</si>
  <si>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</si>
  <si>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</si>
  <si>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</si>
  <si>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</si>
  <si>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</si>
  <si>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</si>
  <si>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</si>
  <si>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</si>
  <si>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</si>
  <si>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</si>
  <si>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</si>
  <si>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</si>
  <si>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</si>
  <si>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</si>
  <si>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</si>
  <si>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</si>
  <si>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</si>
  <si>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</si>
  <si>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</si>
  <si>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</si>
  <si>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</si>
  <si>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</si>
  <si>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</si>
  <si>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</si>
  <si>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</si>
  <si>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</si>
  <si>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</si>
  <si>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</si>
  <si>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</si>
  <si>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</si>
  <si>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</si>
  <si>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</si>
  <si>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</si>
  <si>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</si>
  <si>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</si>
  <si>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</si>
  <si>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</si>
  <si>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</si>
  <si>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</si>
  <si>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</si>
  <si>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</si>
  <si>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</si>
  <si>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</si>
  <si>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</si>
  <si>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</si>
  <si>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</si>
  <si>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</si>
  <si>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</si>
  <si>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</si>
  <si>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</si>
  <si>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</si>
  <si>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</si>
  <si>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</si>
  <si>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</si>
  <si>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</si>
  <si>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</si>
  <si>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</si>
  <si>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</si>
  <si>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</si>
  <si>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</si>
  <si>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</si>
  <si>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</si>
  <si>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</si>
  <si>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</si>
  <si>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</si>
  <si>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</si>
  <si>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</si>
  <si>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</si>
  <si>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</si>
  <si>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</si>
  <si>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</si>
  <si>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</si>
  <si>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</si>
  <si>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</si>
  <si>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</si>
  <si>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</si>
  <si>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</si>
  <si>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</si>
  <si>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</si>
  <si>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</si>
  <si>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</si>
  <si>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</si>
  <si>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</si>
  <si>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</si>
  <si>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</si>
  <si>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</si>
  <si>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</si>
  <si>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</si>
  <si>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</si>
  <si>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</si>
  <si>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</si>
  <si>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</si>
  <si>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</si>
  <si>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</si>
  <si>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</si>
  <si>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</si>
  <si>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</si>
  <si>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</si>
  <si>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</si>
  <si>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</si>
  <si>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</si>
  <si>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</si>
  <si>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</si>
  <si>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</si>
  <si>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</si>
  <si>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</si>
  <si>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</si>
  <si>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</si>
  <si>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</si>
  <si>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</si>
  <si>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</si>
  <si>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</si>
  <si>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</si>
  <si>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</si>
  <si>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</si>
  <si>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</si>
  <si>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</si>
  <si>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</si>
  <si>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</si>
  <si>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</si>
  <si>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</si>
  <si>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</si>
  <si>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</si>
  <si>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</si>
  <si>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</si>
  <si>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</si>
  <si>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</si>
  <si>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</si>
  <si>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</si>
  <si>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</si>
  <si>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</si>
  <si>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</si>
  <si>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</si>
  <si>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</si>
  <si>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</si>
  <si>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</si>
  <si>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</si>
  <si>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</si>
  <si>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</si>
  <si>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</si>
  <si>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</si>
  <si>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</si>
  <si>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</si>
  <si>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</si>
  <si>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</si>
  <si>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</si>
  <si>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</si>
  <si>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</si>
  <si>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</si>
  <si>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</si>
  <si>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</si>
  <si>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</si>
  <si>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</si>
  <si>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</si>
  <si>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</si>
  <si>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</si>
  <si>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</si>
  <si>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</si>
  <si>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</si>
  <si>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</si>
  <si>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</si>
  <si>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</si>
  <si>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</si>
  <si>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</si>
  <si>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</si>
  <si>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</si>
  <si>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</si>
  <si>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</si>
  <si>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</si>
  <si>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</si>
  <si>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</si>
  <si>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</si>
  <si>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</si>
  <si>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</si>
  <si>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</si>
  <si>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</si>
  <si>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</si>
  <si>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</si>
  <si>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</si>
  <si>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</si>
  <si>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</si>
  <si>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</si>
  <si>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</si>
  <si>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</si>
  <si>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</si>
  <si>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</si>
  <si>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</si>
  <si>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</si>
  <si>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</si>
  <si>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</si>
  <si>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</si>
  <si>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</si>
  <si>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</si>
  <si>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</si>
  <si>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</si>
  <si>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</si>
  <si>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</si>
  <si>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</si>
  <si>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</si>
  <si>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</si>
  <si>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</si>
  <si>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</si>
  <si>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</si>
  <si>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</si>
  <si>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</si>
  <si>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</si>
  <si>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</si>
  <si>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</si>
  <si>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</si>
  <si>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</si>
  <si>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</si>
  <si>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</si>
  <si>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</si>
  <si>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</si>
  <si>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</si>
  <si>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</si>
  <si>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</si>
  <si>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</si>
  <si>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</si>
  <si>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</si>
  <si>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</si>
  <si>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</si>
  <si>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</si>
  <si>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</si>
  <si>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</si>
  <si>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</si>
  <si>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</si>
  <si>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</si>
  <si>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</si>
  <si>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</si>
  <si>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</si>
  <si>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</si>
  <si>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</si>
  <si>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</si>
  <si>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</si>
  <si>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</si>
  <si>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</si>
  <si>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</si>
  <si>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</si>
  <si>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</si>
  <si>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</si>
  <si>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</si>
  <si>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</si>
  <si>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</si>
  <si>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</si>
  <si>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</si>
  <si>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</si>
  <si>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</si>
  <si>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</si>
  <si>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</si>
  <si>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</si>
  <si>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</si>
  <si>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</si>
  <si>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</si>
  <si>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</si>
  <si>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</si>
  <si>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</si>
  <si>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</si>
  <si>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</si>
  <si>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</si>
  <si>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</si>
  <si>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</si>
  <si>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</si>
  <si>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</si>
  <si>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</si>
  <si>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</si>
  <si>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</si>
  <si>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</si>
  <si>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</si>
  <si>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</si>
  <si>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</si>
  <si>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</si>
  <si>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</si>
  <si>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</si>
  <si>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</si>
  <si>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</si>
  <si>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</si>
  <si>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</si>
  <si>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</si>
  <si>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</si>
  <si>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</si>
  <si>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</si>
  <si>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</si>
  <si>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</si>
  <si>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</si>
  <si>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</si>
  <si>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</si>
  <si>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</si>
  <si>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</si>
  <si>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</si>
  <si>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</si>
  <si>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</si>
  <si>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</si>
  <si>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</si>
  <si>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</si>
  <si>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</si>
  <si>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</si>
  <si>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</si>
  <si>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</si>
  <si>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</si>
  <si>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</si>
  <si>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</si>
  <si>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</si>
  <si>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</si>
  <si>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</si>
  <si>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</si>
  <si>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</si>
  <si>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</si>
  <si>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</si>
  <si>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</si>
  <si>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</si>
  <si>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</si>
  <si>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</si>
  <si>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</si>
  <si>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</si>
  <si>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</si>
  <si>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</si>
  <si>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</si>
  <si>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</si>
  <si>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</si>
  <si>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</si>
  <si>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</si>
  <si>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</si>
  <si>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</si>
  <si>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</si>
  <si>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</si>
  <si>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</si>
  <si>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</si>
  <si>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</si>
  <si>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</si>
  <si>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</si>
  <si>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</si>
  <si>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</si>
  <si>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</si>
  <si>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</si>
  <si>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</si>
  <si>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</si>
  <si>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</si>
  <si>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</si>
  <si>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</si>
  <si>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</si>
  <si>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</si>
  <si>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</si>
  <si>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</si>
  <si>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</si>
  <si>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</si>
  <si>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</si>
  <si>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</si>
  <si>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</si>
  <si>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</si>
  <si>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</si>
  <si>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</si>
  <si>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</si>
  <si>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</si>
  <si>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</si>
  <si>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</si>
  <si>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</si>
  <si>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</si>
  <si>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</si>
  <si>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</si>
  <si>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</si>
  <si>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</si>
  <si>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</si>
  <si>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</si>
  <si>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</si>
  <si>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</si>
  <si>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</si>
  <si>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</si>
  <si>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</si>
  <si>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</si>
  <si>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</si>
  <si>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</si>
  <si>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</si>
  <si>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</si>
  <si>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</si>
  <si>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</si>
  <si>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</si>
  <si>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</si>
  <si>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</si>
  <si>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</si>
  <si>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</si>
  <si>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</si>
  <si>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</si>
  <si>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</si>
  <si>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</si>
  <si>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</si>
  <si>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</si>
  <si>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</si>
  <si>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</si>
  <si>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</si>
  <si>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</si>
  <si>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</si>
  <si>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</si>
  <si>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</si>
  <si>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</si>
  <si>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</si>
  <si>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</si>
  <si>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</si>
  <si>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</si>
  <si>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</si>
  <si>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</si>
  <si>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</si>
  <si>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</si>
  <si>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</si>
  <si>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</si>
  <si>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</si>
  <si>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</si>
  <si>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</si>
  <si>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</si>
  <si>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</si>
  <si>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</si>
  <si>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</si>
  <si>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</si>
  <si>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</si>
  <si>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</si>
  <si>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</si>
  <si>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</si>
  <si>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</si>
  <si>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</si>
  <si>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</si>
  <si>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</si>
  <si>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</si>
  <si>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</si>
  <si>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</si>
  <si>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</si>
  <si>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</si>
  <si>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</si>
  <si>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</si>
  <si>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</si>
  <si>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</si>
  <si>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</si>
  <si>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</si>
  <si>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</si>
  <si>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</si>
  <si>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</si>
  <si>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</si>
  <si>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</si>
  <si>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</si>
  <si>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</si>
  <si>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</si>
  <si>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</si>
  <si>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</si>
  <si>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</si>
  <si>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</si>
  <si>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</si>
  <si>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</si>
  <si>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</si>
  <si>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</si>
  <si>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</si>
  <si>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</si>
  <si>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</si>
  <si>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</si>
  <si>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</si>
  <si>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</si>
  <si>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</si>
  <si>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</si>
  <si>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</si>
  <si>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</si>
  <si>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</si>
  <si>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</si>
  <si>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</si>
  <si>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</si>
  <si>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</si>
  <si>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</si>
  <si>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</si>
  <si>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</si>
  <si>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</si>
  <si>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</si>
  <si>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</si>
  <si>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</si>
  <si>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</si>
  <si>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</si>
  <si>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</si>
  <si>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</si>
  <si>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</si>
  <si>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</si>
  <si>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</si>
  <si>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</si>
  <si>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</si>
  <si>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</si>
  <si>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</si>
  <si>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</si>
  <si>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</si>
  <si>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</si>
  <si>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</si>
  <si>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</si>
  <si>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</si>
  <si>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</si>
  <si>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</si>
  <si>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</si>
  <si>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</si>
  <si>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</si>
  <si>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</si>
  <si>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</si>
  <si>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</si>
  <si>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</si>
  <si>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</si>
  <si>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</si>
  <si>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</si>
  <si>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</si>
  <si>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</si>
  <si>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</si>
  <si>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</si>
  <si>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</si>
  <si>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</si>
  <si>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</si>
  <si>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</si>
  <si>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</si>
  <si>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</si>
  <si>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</si>
  <si>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</si>
  <si>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</si>
  <si>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</si>
  <si>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</si>
  <si>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</si>
  <si>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</si>
  <si>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</si>
  <si>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</si>
  <si>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</si>
  <si>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</si>
  <si>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</si>
  <si>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</si>
  <si>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</si>
  <si>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</si>
  <si>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</si>
  <si>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</si>
  <si>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</si>
  <si>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</si>
  <si>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</si>
  <si>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</si>
  <si>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</si>
  <si>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</si>
  <si>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</si>
  <si>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</si>
  <si>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</si>
  <si>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</si>
  <si>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</si>
  <si>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</si>
  <si>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</si>
  <si>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</si>
  <si>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</si>
  <si>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</si>
  <si>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</si>
  <si>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</si>
  <si>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</si>
  <si>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</si>
  <si>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</si>
  <si>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</si>
  <si>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</si>
  <si>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</si>
  <si>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</si>
  <si>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</si>
  <si>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</si>
  <si>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</si>
  <si>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</si>
  <si>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</si>
  <si>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</si>
  <si>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</si>
  <si>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</si>
  <si>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</si>
  <si>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</si>
  <si>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</si>
  <si>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</si>
  <si>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</si>
  <si>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</si>
  <si>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</si>
  <si>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</si>
  <si>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</si>
  <si>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</si>
  <si>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</si>
  <si>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</si>
  <si>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</si>
  <si>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</si>
  <si>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</si>
  <si>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</si>
  <si>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</si>
  <si>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</si>
  <si>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</si>
  <si>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</si>
  <si>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</si>
  <si>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</si>
  <si>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</si>
  <si>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</si>
  <si>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</si>
  <si>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</si>
  <si>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</si>
  <si>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</si>
  <si>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</si>
  <si>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</si>
  <si>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</si>
  <si>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</si>
  <si>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</si>
  <si>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</si>
  <si>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</si>
  <si>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</si>
  <si>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</si>
  <si>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</si>
  <si>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</si>
  <si>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</si>
  <si>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</si>
  <si>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</si>
  <si>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</si>
  <si>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</si>
  <si>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</si>
  <si>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</si>
  <si>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</si>
  <si>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</si>
  <si>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</si>
  <si>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</si>
  <si>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</si>
  <si>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</si>
  <si>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</si>
  <si>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</si>
  <si>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</si>
  <si>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</si>
  <si>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</si>
  <si>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</si>
  <si>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</si>
  <si>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</si>
  <si>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</si>
  <si>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</si>
  <si>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</si>
  <si>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</si>
  <si>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</si>
  <si>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</si>
  <si>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</si>
  <si>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</si>
  <si>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</si>
  <si>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</si>
  <si>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</si>
  <si>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</si>
  <si>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</si>
  <si>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</si>
  <si>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</si>
  <si>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</si>
  <si>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</si>
  <si>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</si>
  <si>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</si>
  <si>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</si>
  <si>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</si>
  <si>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</si>
  <si>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</si>
  <si>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</si>
  <si>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</si>
  <si>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</si>
  <si>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</si>
  <si>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</si>
  <si>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</si>
  <si>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</si>
  <si>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</si>
  <si>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</si>
  <si>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</si>
  <si>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</si>
  <si>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</si>
  <si>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</si>
  <si>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</si>
  <si>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</si>
  <si>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</si>
  <si>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</si>
  <si>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</si>
  <si>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</si>
  <si>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</si>
  <si>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</si>
  <si>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</si>
  <si>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</si>
  <si>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</si>
  <si>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</si>
  <si>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</si>
  <si>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</si>
  <si>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</si>
  <si>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</si>
  <si>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</si>
  <si>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</si>
  <si>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</si>
  <si>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</si>
  <si>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</si>
  <si>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</si>
  <si>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</si>
  <si>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</si>
  <si>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</si>
  <si>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</si>
  <si>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</si>
  <si>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</si>
  <si>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</si>
  <si>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</si>
  <si>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</si>
  <si>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</si>
  <si>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</si>
  <si>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</si>
  <si>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</si>
  <si>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</si>
  <si>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</si>
  <si>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</si>
  <si>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</si>
  <si>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</si>
  <si>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</si>
  <si>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</si>
  <si>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</si>
  <si>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</si>
  <si>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</si>
  <si>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</si>
  <si>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</si>
  <si>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</si>
  <si>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</si>
  <si>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</si>
  <si>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</si>
  <si>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</si>
  <si>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</si>
  <si>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</si>
  <si>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</si>
  <si>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</si>
  <si>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</si>
  <si>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</si>
  <si>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</si>
  <si>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</si>
  <si>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</si>
  <si>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</si>
  <si>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</si>
  <si>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</si>
  <si>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</si>
  <si>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</si>
  <si>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</si>
  <si>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</si>
  <si>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</si>
  <si>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</si>
  <si>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</si>
  <si>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</si>
  <si>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</si>
  <si>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</si>
  <si>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</si>
  <si>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</si>
  <si>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</si>
  <si>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</si>
  <si>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</si>
  <si>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</si>
  <si>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</si>
  <si>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</si>
  <si>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</si>
  <si>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</si>
  <si>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</si>
  <si>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</si>
  <si>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</si>
  <si>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</si>
  <si>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</si>
  <si>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</si>
  <si>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</si>
  <si>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</si>
  <si>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</si>
  <si>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</si>
  <si>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</si>
  <si>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</si>
  <si>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</si>
  <si>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</si>
  <si>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</si>
  <si>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</si>
  <si>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</si>
  <si>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</si>
  <si>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</si>
  <si>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</si>
  <si>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</si>
  <si>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</si>
  <si>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</si>
  <si>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</si>
  <si>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</si>
  <si>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</si>
  <si>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</si>
  <si>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</si>
  <si>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</si>
  <si>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</si>
  <si>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</si>
  <si>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</si>
  <si>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</si>
  <si>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</si>
  <si>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</si>
  <si>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</si>
  <si>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</si>
  <si>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</si>
  <si>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</si>
  <si>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</si>
  <si>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</si>
  <si>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</si>
  <si>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</si>
  <si>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</si>
  <si>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</si>
  <si>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</si>
  <si>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</si>
  <si>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</si>
  <si>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</si>
  <si>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</si>
  <si>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</si>
  <si>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</si>
  <si>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</si>
  <si>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</si>
  <si>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</si>
  <si>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</si>
  <si>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</si>
  <si>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</si>
  <si>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</si>
  <si>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</si>
  <si>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</si>
  <si>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</si>
  <si>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</si>
  <si>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</si>
  <si>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</si>
  <si>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</si>
  <si>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</si>
  <si>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</si>
  <si>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</si>
  <si>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</si>
  <si>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</si>
  <si>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</si>
  <si>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</si>
  <si>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</si>
  <si>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</si>
  <si>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</si>
  <si>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</si>
  <si>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</si>
  <si>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</si>
  <si>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</si>
  <si>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</si>
  <si>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</si>
  <si>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</si>
  <si>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</si>
  <si>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</si>
  <si>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</si>
  <si>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</si>
  <si>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</si>
  <si>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</si>
  <si>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</si>
  <si>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</si>
  <si>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</si>
  <si>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</si>
  <si>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</si>
  <si>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</si>
  <si>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</si>
  <si>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</si>
  <si>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</si>
  <si>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</si>
  <si>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</si>
  <si>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</si>
  <si>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</si>
  <si>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</si>
  <si>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</si>
  <si>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</si>
  <si>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</si>
  <si>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</si>
  <si>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</si>
  <si>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</si>
  <si>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</si>
  <si>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</si>
  <si>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</si>
  <si>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</si>
  <si>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</si>
  <si>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</si>
  <si>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</si>
  <si>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</si>
  <si>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</si>
  <si>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</si>
  <si>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</si>
  <si>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</si>
  <si>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</si>
  <si>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</si>
  <si>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</si>
  <si>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</si>
  <si>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</si>
  <si>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</si>
  <si>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</si>
  <si>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</si>
  <si>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</si>
  <si>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</si>
  <si>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</si>
  <si>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</si>
  <si>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</si>
  <si>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</si>
  <si>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</si>
  <si>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</si>
  <si>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</si>
  <si>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</si>
  <si>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</si>
  <si>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</si>
  <si>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</si>
  <si>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</si>
  <si>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</si>
  <si>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</si>
  <si>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</si>
  <si>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</si>
  <si>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</si>
  <si>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</si>
  <si>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</si>
  <si>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</si>
  <si>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</si>
  <si>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</si>
  <si>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</si>
  <si>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</si>
  <si>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</si>
  <si>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</si>
  <si>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</si>
  <si>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</si>
  <si>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</si>
  <si>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</si>
  <si>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</si>
  <si>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</si>
  <si>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</si>
  <si>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</si>
  <si>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</si>
  <si>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</si>
  <si>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</si>
  <si>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</si>
  <si>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</si>
  <si>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</si>
  <si>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</si>
  <si>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</si>
  <si>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</si>
  <si>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</si>
  <si>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</si>
  <si>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</si>
  <si>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</si>
  <si>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</si>
  <si>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</si>
  <si>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</si>
  <si>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</si>
  <si>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</si>
  <si>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</si>
  <si>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</si>
  <si>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</si>
  <si>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</si>
  <si>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</si>
  <si>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</si>
  <si>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</si>
  <si>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</si>
  <si>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</si>
  <si>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</si>
  <si>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</si>
  <si>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</si>
  <si>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</si>
  <si>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</si>
  <si>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</si>
  <si>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</si>
  <si>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</si>
  <si>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</si>
  <si>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</si>
  <si>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</si>
  <si>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</si>
  <si>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</si>
  <si>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</si>
  <si>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</si>
  <si>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</si>
  <si>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</si>
  <si>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</si>
  <si>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</si>
  <si>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</si>
  <si>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</si>
  <si>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</si>
  <si>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</si>
  <si>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</si>
  <si>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</si>
  <si>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</si>
  <si>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</si>
  <si>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</si>
  <si>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</si>
  <si>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</si>
  <si>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</si>
  <si>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</si>
  <si>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</si>
  <si>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</si>
  <si>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</si>
  <si>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</si>
  <si>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</si>
  <si>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</si>
  <si>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</si>
  <si>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</si>
  <si>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</si>
  <si>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</si>
  <si>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</si>
  <si>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</si>
  <si>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</si>
  <si>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</si>
  <si>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</si>
  <si>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</si>
  <si>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</si>
  <si>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</si>
  <si>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</si>
  <si>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</si>
  <si>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</si>
  <si>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</si>
  <si>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</si>
  <si>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</si>
  <si>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</si>
  <si>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</si>
  <si>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</si>
  <si>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</si>
  <si>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</si>
  <si>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</si>
  <si>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</si>
  <si>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</si>
  <si>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</si>
  <si>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</si>
  <si>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</si>
  <si>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</si>
  <si>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</si>
  <si>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</si>
  <si>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</si>
  <si>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</si>
  <si>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</si>
  <si>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</si>
  <si>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</si>
  <si>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</si>
  <si>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</si>
  <si>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</si>
  <si>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</si>
  <si>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</si>
  <si>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</si>
  <si>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</si>
  <si>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</si>
  <si>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</si>
  <si>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</si>
  <si>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</si>
  <si>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</si>
  <si>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</si>
  <si>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</si>
  <si>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</si>
  <si>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</si>
  <si>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</si>
  <si>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</si>
  <si>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</si>
  <si>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</si>
  <si>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</si>
  <si>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</si>
  <si>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</si>
  <si>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</si>
  <si>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</si>
  <si>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</si>
  <si>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</si>
  <si>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</si>
  <si>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</si>
  <si>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</si>
  <si>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</si>
  <si>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</si>
  <si>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</si>
  <si>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</si>
  <si>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</si>
  <si>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</si>
  <si>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</si>
  <si>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</si>
  <si>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</si>
  <si>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</si>
  <si>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</si>
  <si>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</si>
  <si>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</si>
  <si>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</si>
  <si>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</si>
  <si>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</si>
  <si>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</si>
  <si>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</si>
  <si>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</si>
  <si>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</si>
  <si>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</si>
  <si>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</si>
  <si>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</si>
  <si>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</si>
  <si>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</si>
  <si>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</si>
  <si>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</si>
  <si>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</si>
  <si>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</si>
  <si>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</si>
  <si>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</si>
  <si>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</si>
  <si>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</si>
  <si>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</si>
  <si>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</si>
  <si>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</si>
  <si>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</si>
  <si>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</si>
  <si>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</si>
  <si>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</si>
  <si>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</si>
  <si>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</si>
  <si>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</si>
  <si>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</si>
  <si>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</si>
  <si>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</si>
  <si>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</si>
  <si>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</si>
  <si>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</si>
  <si>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</si>
  <si>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</si>
  <si>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</si>
  <si>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</si>
  <si>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</si>
  <si>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</si>
  <si>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</si>
  <si>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</si>
  <si>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</si>
  <si>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</si>
  <si>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</si>
  <si>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</si>
  <si>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</si>
  <si>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</si>
  <si>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</si>
  <si>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</si>
  <si>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</si>
  <si>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</si>
  <si>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</si>
  <si>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</si>
  <si>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</si>
  <si>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</si>
  <si>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</si>
  <si>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</si>
  <si>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</si>
  <si>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</si>
  <si>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</si>
  <si>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</si>
  <si>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</si>
  <si>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</si>
  <si>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</si>
  <si>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</si>
  <si>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</si>
  <si>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</si>
  <si>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</si>
  <si>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</si>
  <si>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</si>
  <si>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</si>
  <si>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</si>
  <si>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</si>
  <si>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</si>
  <si>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</si>
  <si>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</si>
  <si>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</si>
  <si>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</si>
  <si>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</si>
  <si>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</si>
  <si>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</si>
  <si>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</si>
  <si>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</si>
  <si>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</si>
  <si>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</si>
  <si>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</si>
  <si>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</si>
  <si>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</si>
  <si>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</si>
  <si>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</si>
  <si>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</si>
  <si>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</si>
  <si>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</si>
  <si>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</si>
  <si>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</si>
  <si>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</si>
  <si>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</si>
  <si>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</si>
  <si>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</si>
  <si>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</si>
  <si>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</si>
  <si>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</si>
  <si>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</si>
  <si>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</si>
  <si>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</si>
  <si>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</si>
  <si>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</si>
  <si>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</si>
  <si>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</si>
  <si>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</si>
  <si>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</si>
  <si>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</si>
  <si>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</si>
  <si>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</si>
  <si>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</si>
  <si>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</si>
  <si>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</si>
  <si>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</si>
  <si>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</si>
  <si>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</si>
  <si>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</si>
  <si>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</si>
  <si>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</si>
  <si>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</si>
  <si>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</si>
  <si>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</si>
  <si>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</si>
  <si>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</si>
  <si>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</si>
  <si>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</si>
  <si>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</si>
  <si>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</si>
  <si>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</si>
  <si>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</si>
  <si>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</si>
  <si>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</si>
  <si>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</si>
  <si>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</si>
  <si>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</si>
  <si>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</si>
  <si>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</si>
  <si>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</si>
  <si>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</si>
  <si>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</si>
  <si>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</si>
  <si>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</si>
  <si>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</si>
  <si>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</si>
  <si>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</si>
  <si>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</si>
  <si>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</si>
  <si>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</si>
  <si>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</si>
  <si>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</si>
  <si>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</si>
  <si>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</si>
  <si>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</si>
  <si>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</si>
  <si>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</si>
  <si>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</si>
  <si>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</si>
  <si>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</si>
  <si>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</si>
  <si>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</si>
  <si>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</si>
  <si>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</si>
  <si>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</si>
  <si>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</si>
  <si>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</si>
  <si>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</si>
  <si>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</si>
  <si>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</si>
  <si>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</si>
  <si>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</si>
  <si>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</si>
  <si>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</si>
  <si>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</si>
  <si>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</si>
  <si>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</si>
  <si>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</si>
  <si>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</si>
  <si>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</si>
  <si>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</si>
  <si>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</si>
  <si>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</si>
  <si>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</si>
  <si>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</si>
  <si>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</si>
  <si>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</si>
  <si>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</si>
  <si>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</si>
  <si>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</si>
  <si>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</si>
  <si>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</si>
  <si>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</si>
  <si>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</si>
  <si>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</si>
  <si>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</si>
  <si>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</si>
  <si>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</si>
  <si>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</si>
  <si>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</si>
  <si>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</si>
  <si>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</si>
  <si>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</si>
  <si>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</si>
  <si>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</si>
  <si>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</si>
  <si>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</si>
  <si>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</si>
  <si>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</si>
  <si>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</si>
  <si>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</si>
  <si>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</si>
  <si>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</si>
  <si>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</si>
  <si>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</si>
  <si>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</si>
  <si>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</si>
  <si>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</si>
  <si>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</si>
  <si>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</si>
  <si>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</si>
  <si>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</si>
  <si>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</si>
  <si>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</si>
  <si>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</si>
  <si>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</si>
  <si>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</si>
  <si>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</si>
  <si>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</si>
  <si>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</si>
  <si>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</si>
  <si>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</si>
  <si>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</si>
  <si>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</si>
  <si>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</si>
  <si>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</si>
  <si>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</si>
  <si>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</si>
  <si>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</si>
  <si>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</si>
  <si>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</si>
  <si>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</si>
  <si>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</si>
  <si>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</si>
  <si>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</si>
  <si>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</si>
  <si>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</si>
  <si>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</si>
  <si>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</si>
  <si>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</si>
  <si>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</si>
  <si>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</si>
  <si>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</si>
  <si>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</si>
  <si>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</si>
  <si>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</si>
  <si>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</si>
  <si>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</si>
  <si>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</si>
  <si>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</si>
  <si>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</si>
  <si>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</si>
  <si>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</si>
  <si>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</si>
  <si>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</si>
  <si>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</si>
  <si>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</si>
  <si>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</si>
  <si>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</si>
  <si>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</si>
  <si>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</si>
  <si>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</si>
  <si>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</si>
  <si>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</si>
  <si>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</si>
  <si>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</si>
  <si>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</si>
  <si>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</si>
  <si>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</si>
  <si>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</si>
  <si>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</si>
  <si>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</si>
  <si>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</si>
  <si>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</si>
  <si>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</si>
  <si>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</si>
  <si>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</si>
  <si>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</si>
  <si>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</si>
  <si>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</si>
  <si>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</si>
  <si>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</si>
  <si>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</si>
  <si>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</si>
  <si>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</si>
  <si>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</si>
  <si>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</si>
  <si>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</si>
  <si>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</si>
  <si>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</si>
  <si>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</si>
  <si>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</si>
  <si>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</si>
  <si>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</si>
  <si>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</si>
  <si>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</si>
  <si>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</si>
  <si>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</si>
  <si>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</si>
  <si>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</si>
  <si>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</si>
  <si>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</si>
  <si>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</si>
  <si>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</si>
  <si>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</si>
  <si>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</si>
  <si>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</si>
  <si>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</si>
  <si>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</si>
  <si>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</si>
  <si>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</si>
  <si>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</si>
  <si>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</si>
  <si>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</si>
  <si>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</si>
  <si>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</si>
  <si>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</si>
  <si>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</si>
  <si>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</si>
  <si>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</si>
  <si>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</si>
  <si>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</si>
  <si>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</si>
  <si>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</si>
  <si>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</si>
  <si>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</si>
  <si>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</si>
  <si>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</si>
  <si>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</si>
  <si>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</si>
  <si>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</si>
  <si>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</si>
  <si>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</si>
  <si>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</si>
  <si>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</si>
  <si>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</si>
  <si>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</si>
  <si>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</si>
  <si>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</si>
  <si>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</si>
  <si>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</si>
  <si>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</si>
  <si>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</si>
  <si>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</si>
  <si>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</si>
  <si>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</si>
  <si>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</si>
  <si>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</si>
  <si>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</si>
  <si>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</si>
  <si>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</si>
  <si>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</si>
  <si>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</si>
  <si>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</si>
  <si>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</si>
  <si>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</si>
  <si>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</si>
  <si>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</si>
  <si>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</si>
  <si>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</si>
  <si>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</si>
  <si>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</si>
  <si>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</si>
  <si>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</si>
  <si>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</si>
  <si>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</si>
  <si>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</si>
  <si>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</si>
  <si>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</si>
  <si>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</si>
  <si>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</si>
  <si>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</si>
  <si>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</si>
  <si>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</si>
  <si>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</si>
  <si>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</si>
  <si>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</si>
  <si>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</si>
  <si>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</si>
  <si>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</si>
  <si>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</si>
  <si>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</si>
  <si>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</si>
  <si>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</si>
  <si>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</si>
  <si>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</si>
  <si>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</si>
  <si>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</si>
  <si>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</si>
  <si>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</si>
  <si>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</si>
  <si>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</si>
  <si>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</si>
  <si>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</si>
  <si>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</si>
  <si>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</si>
  <si>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</si>
  <si>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</si>
  <si>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</si>
  <si>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</si>
  <si>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</si>
  <si>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</si>
  <si>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</si>
  <si>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</si>
  <si>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</si>
  <si>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</si>
  <si>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</si>
  <si>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</si>
  <si>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</si>
  <si>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</si>
  <si>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</si>
  <si>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</si>
  <si>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</si>
  <si>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</si>
  <si>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</si>
  <si>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</si>
  <si>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</si>
  <si>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</si>
  <si>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</si>
  <si>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</si>
  <si>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</si>
  <si>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</si>
  <si>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</si>
  <si>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</si>
  <si>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</si>
  <si>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</si>
  <si>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</si>
  <si>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</si>
  <si>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</si>
  <si>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</si>
  <si>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</si>
  <si>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</si>
  <si>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</si>
  <si>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</si>
  <si>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</si>
  <si>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</si>
  <si>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</si>
  <si>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</si>
  <si>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</si>
  <si>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</si>
  <si>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</si>
  <si>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</si>
  <si>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</si>
  <si>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</si>
  <si>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</si>
  <si>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</si>
  <si>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</si>
  <si>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</si>
  <si>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</si>
  <si>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</si>
  <si>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</si>
  <si>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</si>
  <si>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</si>
  <si>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</si>
  <si>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</si>
  <si>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</si>
  <si>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</si>
  <si>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</si>
  <si>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</si>
  <si>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</si>
  <si>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</si>
  <si>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</si>
  <si>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</si>
  <si>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</si>
  <si>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</si>
  <si>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</si>
  <si>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</si>
  <si>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</si>
  <si>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</si>
  <si>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</si>
  <si>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</si>
  <si>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</si>
  <si>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</si>
  <si>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</si>
  <si>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</si>
  <si>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</si>
  <si>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</si>
  <si>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</si>
  <si>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</si>
  <si>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</si>
  <si>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</si>
  <si>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</si>
  <si>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</si>
  <si>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</si>
  <si>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</si>
  <si>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</si>
  <si>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</si>
  <si>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</si>
  <si>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</si>
  <si>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</si>
  <si>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</si>
  <si>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</si>
  <si>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</si>
  <si>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</si>
  <si>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</si>
  <si>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</si>
  <si>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</si>
  <si>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</si>
  <si>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</si>
  <si>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</si>
  <si>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</si>
  <si>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</si>
  <si>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</si>
  <si>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</si>
  <si>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</si>
  <si>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</si>
  <si>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</si>
  <si>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</si>
  <si>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</si>
  <si>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</si>
  <si>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</si>
  <si>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</si>
  <si>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</si>
  <si>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</si>
  <si>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</si>
  <si>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</si>
  <si>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</si>
  <si>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</si>
  <si>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</si>
  <si>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</si>
  <si>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</si>
  <si>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</si>
  <si>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</si>
  <si>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</si>
  <si>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</si>
  <si>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</si>
  <si>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</si>
  <si>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</si>
  <si>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</si>
  <si>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</si>
  <si>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</si>
  <si>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</si>
  <si>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</si>
  <si>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</si>
  <si>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</si>
  <si>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</si>
  <si>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</si>
  <si>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</si>
  <si>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</si>
  <si>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</si>
  <si>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</si>
  <si>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</si>
  <si>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</si>
  <si>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</si>
  <si>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</si>
  <si>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</si>
  <si>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</si>
  <si>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</si>
  <si>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</si>
  <si>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</si>
  <si>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</si>
  <si>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</si>
  <si>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</si>
  <si>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</si>
  <si>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</si>
  <si>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</si>
  <si>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</si>
  <si>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</si>
  <si>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</si>
  <si>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</si>
  <si>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</si>
  <si>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</si>
  <si>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</si>
  <si>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</si>
  <si>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</si>
  <si>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</si>
  <si>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</si>
  <si>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</si>
  <si>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</si>
  <si>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</si>
  <si>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</si>
  <si>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</si>
  <si>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</si>
  <si>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</si>
  <si>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</si>
  <si>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</si>
  <si>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</si>
  <si>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</si>
  <si>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</si>
  <si>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</si>
  <si>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</si>
  <si>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</si>
  <si>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</si>
  <si>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</si>
  <si>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</si>
  <si>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</si>
  <si>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</si>
  <si>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</si>
  <si>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</si>
  <si>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</si>
  <si>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</si>
  <si>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</si>
  <si>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</si>
  <si>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</si>
  <si>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</si>
  <si>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</si>
  <si>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</si>
  <si>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</si>
  <si>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</si>
  <si>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</si>
  <si>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</si>
  <si>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</si>
  <si>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</si>
  <si>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</si>
  <si>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</si>
  <si>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</si>
  <si>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</si>
  <si>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</si>
  <si>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</si>
  <si>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</si>
  <si>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</si>
  <si>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</si>
  <si>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</si>
  <si>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</si>
  <si>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</si>
  <si>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</si>
  <si>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</si>
  <si>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</si>
  <si>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</si>
  <si>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</si>
  <si>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</si>
  <si>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</si>
  <si>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</si>
  <si>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</si>
  <si>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</si>
  <si>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</si>
  <si>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</si>
  <si>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</si>
  <si>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</si>
  <si>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</si>
  <si>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</si>
  <si>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</si>
  <si>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</si>
  <si>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</si>
  <si>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</si>
  <si>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</si>
  <si>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</si>
  <si>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</si>
  <si>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</si>
  <si>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</si>
  <si>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</si>
  <si>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</si>
  <si>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</si>
  <si>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</si>
  <si>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</si>
  <si>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</si>
  <si>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</si>
  <si>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</si>
  <si>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</si>
  <si>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</si>
  <si>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</si>
  <si>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</si>
  <si>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</si>
  <si>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</si>
  <si>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</si>
  <si>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</si>
  <si>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</si>
  <si>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</si>
  <si>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</si>
  <si>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</si>
  <si>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</si>
  <si>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</si>
  <si>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</si>
  <si>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</si>
  <si>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</si>
  <si>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</si>
  <si>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</si>
  <si>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</si>
  <si>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</si>
  <si>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</si>
  <si>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</si>
  <si>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</si>
  <si>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</si>
  <si>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</si>
  <si>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</si>
  <si>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</si>
  <si>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</si>
  <si>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</si>
  <si>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</si>
  <si>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</si>
  <si>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</si>
  <si>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</si>
  <si>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</si>
  <si>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</si>
  <si>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</si>
  <si>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</si>
  <si>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</si>
  <si>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</si>
  <si>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</si>
  <si>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</si>
  <si>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</si>
  <si>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</si>
  <si>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</si>
  <si>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</si>
  <si>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</si>
  <si>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</si>
  <si>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</si>
  <si>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</si>
  <si>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</si>
  <si>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</si>
  <si>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</si>
  <si>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</si>
  <si>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</si>
  <si>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</si>
  <si>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</si>
  <si>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</si>
  <si>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</si>
  <si>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</si>
  <si>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</si>
  <si>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</si>
  <si>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</si>
  <si>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</si>
  <si>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</si>
  <si>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</si>
  <si>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</si>
  <si>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</si>
  <si>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</si>
  <si>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</si>
  <si>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</si>
  <si>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</si>
  <si>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</si>
  <si>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</si>
  <si>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</si>
  <si>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</si>
  <si>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</si>
  <si>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</si>
  <si>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</si>
  <si>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</si>
  <si>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</si>
  <si>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</si>
  <si>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</si>
  <si>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</si>
  <si>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</si>
  <si>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</si>
  <si>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</si>
  <si>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</si>
  <si>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</si>
  <si>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</si>
  <si>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</si>
  <si>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</si>
  <si>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</si>
  <si>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</si>
  <si>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</si>
  <si>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</si>
  <si>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</si>
  <si>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</si>
  <si>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</si>
  <si>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</si>
  <si>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</si>
  <si>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</si>
  <si>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</si>
  <si>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</si>
  <si>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</si>
  <si>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</si>
  <si>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</si>
  <si>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</si>
  <si>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</si>
  <si>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</si>
  <si>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</si>
  <si>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</si>
  <si>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</si>
  <si>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</si>
  <si>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</si>
  <si>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</si>
  <si>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</si>
  <si>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</si>
  <si>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</si>
  <si>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</si>
  <si>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</si>
  <si>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</si>
  <si>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</si>
  <si>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</si>
  <si>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</si>
  <si>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</si>
  <si>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</si>
  <si>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</si>
  <si>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</si>
  <si>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</si>
  <si>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</si>
  <si>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</si>
  <si>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</si>
  <si>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</si>
  <si>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</si>
  <si>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</si>
  <si>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</si>
  <si>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</si>
  <si>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</si>
  <si>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</si>
  <si>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</si>
  <si>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</si>
  <si>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</si>
  <si>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</si>
  <si>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</si>
  <si>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</si>
  <si>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</si>
  <si>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</si>
  <si>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</si>
  <si>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</si>
  <si>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</si>
  <si>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</si>
  <si>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</si>
  <si>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</si>
  <si>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</si>
  <si>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</si>
  <si>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</si>
  <si>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</si>
  <si>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</si>
  <si>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</si>
  <si>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</si>
  <si>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</si>
  <si>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</si>
  <si>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</si>
  <si>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</si>
  <si>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</si>
  <si>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</si>
  <si>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</si>
  <si>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</si>
  <si>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</si>
  <si>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</si>
  <si>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</si>
  <si>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</si>
  <si>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</si>
  <si>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</si>
  <si>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</si>
  <si>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</si>
  <si>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</si>
  <si>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</si>
  <si>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</si>
  <si>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</si>
  <si>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</si>
  <si>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</si>
  <si>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</si>
  <si>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</si>
  <si>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</si>
  <si>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</si>
  <si>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</si>
  <si>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</si>
  <si>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</si>
  <si>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</si>
  <si>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</si>
  <si>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</si>
  <si>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</si>
  <si>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</si>
  <si>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</si>
  <si>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</si>
  <si>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</si>
  <si>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</si>
  <si>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</si>
  <si>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</si>
  <si>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</si>
  <si>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</si>
  <si>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</si>
  <si>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</si>
  <si>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</si>
  <si>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</si>
  <si>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</si>
  <si>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</si>
  <si>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</si>
  <si>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</si>
  <si>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</si>
  <si>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</si>
  <si>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</si>
  <si>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</si>
  <si>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</si>
  <si>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</si>
  <si>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</si>
  <si>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</si>
  <si>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</si>
  <si>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</si>
  <si>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</si>
  <si>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</si>
  <si>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</si>
  <si>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</si>
  <si>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</si>
  <si>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</si>
  <si>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</si>
  <si>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</si>
  <si>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</si>
  <si>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</si>
  <si>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</si>
  <si>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</si>
  <si>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</si>
  <si>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</si>
  <si>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</si>
  <si>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</si>
  <si>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</si>
  <si>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</si>
  <si>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</si>
  <si>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</si>
  <si>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</si>
  <si>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</si>
  <si>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</si>
  <si>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</si>
  <si>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</si>
  <si>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</si>
  <si>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</si>
  <si>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</si>
  <si>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</si>
  <si>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</si>
  <si>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</si>
  <si>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</si>
  <si>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</si>
  <si>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</si>
  <si>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</si>
  <si>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</si>
  <si>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</si>
  <si>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</si>
  <si>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</si>
  <si>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</si>
  <si>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</si>
  <si>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</si>
  <si>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</si>
  <si>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</si>
  <si>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</si>
  <si>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</si>
  <si>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</si>
  <si>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</si>
  <si>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</si>
  <si>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</si>
  <si>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</si>
  <si>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</si>
  <si>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</si>
  <si>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</si>
  <si>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</si>
  <si>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</si>
  <si>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</si>
  <si>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</si>
  <si>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</si>
  <si>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</si>
  <si>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</si>
  <si>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</si>
  <si>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</si>
  <si>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</si>
  <si>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</si>
  <si>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</si>
  <si>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</si>
  <si>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</si>
  <si>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</si>
  <si>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</si>
  <si>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</si>
  <si>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</si>
  <si>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</si>
  <si>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</si>
  <si>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</si>
  <si>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</si>
  <si>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</si>
  <si>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</si>
  <si>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</si>
  <si>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</si>
  <si>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</si>
  <si>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</si>
  <si>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</si>
  <si>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</si>
  <si>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</si>
  <si>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</si>
  <si>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</si>
  <si>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</si>
  <si>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</si>
  <si>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</si>
  <si>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</si>
  <si>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</si>
  <si>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</si>
  <si>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</si>
  <si>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</si>
  <si>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</si>
  <si>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</si>
  <si>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</si>
  <si>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</si>
  <si>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</si>
  <si>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</si>
  <si>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</si>
  <si>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</si>
  <si>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</si>
  <si>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</si>
  <si>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</si>
  <si>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</si>
  <si>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</si>
  <si>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</si>
  <si>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</si>
  <si>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</si>
  <si>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</si>
  <si>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</si>
  <si>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</si>
  <si>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</si>
  <si>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</si>
  <si>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</si>
  <si>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</si>
  <si>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</si>
  <si>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</si>
  <si>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</si>
  <si>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</si>
  <si>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</si>
  <si>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</si>
  <si>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</si>
  <si>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</si>
  <si>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</si>
  <si>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</si>
  <si>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</si>
  <si>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</si>
  <si>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</si>
  <si>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</si>
  <si>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</si>
  <si>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</si>
  <si>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</si>
  <si>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</si>
  <si>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</si>
  <si>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</si>
  <si>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</si>
  <si>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</si>
  <si>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</si>
  <si>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</si>
  <si>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</si>
  <si>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</si>
  <si>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</si>
  <si>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</si>
  <si>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</si>
  <si>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</si>
  <si>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</si>
  <si>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</si>
  <si>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</si>
  <si>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</si>
  <si>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</si>
  <si>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</si>
  <si>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</si>
  <si>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</si>
  <si>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</si>
  <si>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</si>
  <si>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</si>
  <si>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</si>
  <si>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</si>
  <si>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</si>
  <si>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</si>
  <si>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</si>
  <si>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</si>
  <si>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</si>
  <si>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</si>
  <si>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</si>
  <si>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</si>
  <si>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</si>
  <si>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</si>
  <si>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</si>
  <si>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</si>
  <si>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</si>
  <si>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</si>
  <si>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</si>
  <si>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</si>
  <si>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</si>
  <si>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</si>
  <si>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</si>
  <si>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</si>
  <si>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</si>
  <si>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</si>
  <si>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</si>
  <si>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</si>
  <si>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</si>
  <si>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</si>
  <si>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</si>
  <si>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</si>
  <si>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</si>
  <si>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</si>
  <si>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</si>
  <si>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</si>
  <si>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</si>
  <si>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</si>
  <si>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</si>
  <si>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</si>
  <si>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</si>
  <si>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</si>
  <si>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</si>
  <si>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</si>
  <si>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</si>
  <si>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</si>
  <si>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</si>
  <si>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</si>
  <si>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</si>
  <si>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</si>
  <si>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</si>
  <si>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</si>
  <si>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</si>
  <si>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</si>
  <si>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</si>
  <si>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</si>
  <si>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</si>
  <si>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</si>
  <si>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</si>
  <si>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</si>
  <si>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</si>
  <si>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</si>
  <si>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</si>
  <si>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</si>
  <si>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</si>
  <si>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</si>
  <si>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</si>
  <si>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</si>
  <si>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</si>
  <si>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</si>
  <si>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</si>
  <si>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</si>
  <si>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</si>
  <si>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</si>
  <si>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</si>
  <si>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</si>
  <si>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</si>
  <si>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</si>
  <si>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</si>
  <si>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</si>
  <si>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</si>
  <si>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</si>
  <si>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</si>
  <si>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</si>
  <si>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</si>
  <si>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</si>
  <si>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</si>
  <si>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</si>
  <si>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</si>
  <si>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</si>
  <si>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</si>
  <si>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</si>
  <si>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</si>
  <si>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</si>
  <si>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</si>
  <si>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</si>
  <si>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</si>
  <si>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</si>
  <si>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</si>
  <si>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</si>
  <si>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</si>
  <si>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</si>
  <si>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</si>
  <si>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</si>
  <si>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</si>
  <si>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</si>
  <si>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</si>
  <si>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</si>
  <si>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</si>
  <si>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</si>
  <si>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</si>
  <si>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</si>
  <si>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</si>
  <si>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</si>
  <si>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</si>
  <si>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</si>
  <si>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</si>
  <si>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</si>
  <si>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</si>
  <si>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</si>
  <si>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</si>
  <si>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</si>
  <si>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</si>
  <si>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</si>
  <si>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</si>
  <si>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</si>
  <si>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</si>
  <si>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</si>
  <si>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</si>
  <si>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</si>
  <si>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</si>
  <si>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</si>
  <si>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</si>
  <si>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</si>
  <si>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</si>
  <si>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</si>
  <si>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</si>
  <si>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</si>
  <si>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</si>
  <si>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</si>
  <si>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</si>
  <si>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</si>
  <si>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</si>
  <si>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</si>
  <si>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</si>
  <si>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</si>
  <si>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</si>
  <si>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</si>
  <si>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</si>
  <si>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</si>
  <si>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</si>
  <si>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</si>
  <si>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</si>
  <si>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</si>
  <si>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</si>
  <si>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</si>
  <si>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</si>
  <si>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</si>
  <si>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</si>
  <si>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</si>
  <si>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</si>
  <si>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</si>
  <si>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</si>
  <si>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</si>
  <si>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</si>
  <si>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</si>
  <si>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</si>
  <si>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</si>
  <si>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</si>
  <si>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</si>
  <si>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</si>
  <si>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</si>
  <si>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</si>
  <si>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</si>
  <si>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</si>
  <si>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</si>
  <si>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</si>
  <si>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</si>
  <si>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</si>
  <si>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</si>
  <si>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</si>
  <si>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</si>
  <si>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</si>
  <si>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</si>
  <si>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</si>
  <si>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</si>
  <si>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</si>
  <si>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</si>
  <si>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</si>
  <si>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</si>
  <si>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</si>
  <si>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</si>
  <si>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</si>
  <si>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</si>
  <si>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</si>
  <si>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</si>
  <si>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</si>
  <si>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</si>
  <si>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</si>
  <si>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</si>
  <si>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</si>
  <si>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</si>
  <si>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</si>
  <si>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</si>
  <si>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</si>
  <si>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</si>
  <si>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</si>
  <si>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</si>
  <si>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</si>
  <si>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</si>
  <si>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</si>
  <si>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</si>
  <si>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</si>
  <si>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</si>
  <si>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</si>
  <si>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</si>
  <si>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</si>
  <si>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</si>
  <si>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</si>
  <si>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</si>
  <si>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</si>
  <si>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</si>
  <si>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</si>
  <si>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</si>
  <si>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</si>
  <si>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</si>
  <si>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</si>
  <si>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</si>
  <si>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</si>
  <si>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</si>
  <si>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</si>
  <si>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</si>
  <si>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</si>
  <si>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</si>
  <si>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</si>
  <si>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</si>
  <si>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</si>
  <si>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</si>
  <si>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</si>
  <si>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</si>
  <si>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</si>
  <si>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</si>
  <si>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</si>
  <si>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</si>
  <si>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</si>
  <si>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</si>
  <si>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</si>
  <si>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</si>
  <si>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</si>
  <si>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</si>
  <si>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</si>
  <si>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</si>
  <si>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</si>
  <si>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</si>
  <si>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</si>
  <si>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</si>
  <si>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</si>
  <si>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</si>
  <si>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</si>
  <si>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</si>
  <si>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</si>
  <si>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</si>
  <si>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</si>
  <si>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</si>
  <si>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</si>
  <si>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</si>
  <si>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</si>
  <si>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</si>
  <si>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</si>
  <si>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</si>
  <si>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</si>
  <si>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</si>
  <si>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</si>
  <si>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</si>
  <si>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</si>
  <si>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吴薇</t>
  </si>
  <si>
    <t>郑燚</t>
  </si>
  <si>
    <t>抵押</t>
  </si>
  <si>
    <t>房地产抵押价值</t>
  </si>
  <si>
    <t>北京市</t>
  </si>
  <si>
    <t>自然人</t>
  </si>
  <si>
    <t>大兴区黄村镇兴业大街76号楼1至2层1、2号商业用房</t>
    <phoneticPr fontId="6" type="noConversion"/>
  </si>
  <si>
    <t>成新度</t>
  </si>
  <si>
    <t>直线</t>
    <phoneticPr fontId="3" type="noConversion"/>
  </si>
  <si>
    <t>观察</t>
    <phoneticPr fontId="3" type="noConversion"/>
  </si>
  <si>
    <t>综合</t>
    <phoneticPr fontId="3" type="noConversion"/>
  </si>
  <si>
    <t>商业项目</t>
  </si>
  <si>
    <t>无</t>
  </si>
  <si>
    <t>否</t>
  </si>
  <si>
    <t>现房</t>
  </si>
  <si>
    <t>地上</t>
  </si>
  <si>
    <t>是</t>
  </si>
  <si>
    <r>
      <t>1-2</t>
    </r>
    <r>
      <rPr>
        <sz val="10"/>
        <color indexed="8"/>
        <rFont val="宋体"/>
        <family val="3"/>
        <charset val="134"/>
      </rPr>
      <t>层</t>
    </r>
    <r>
      <rPr>
        <sz val="10"/>
        <color indexed="8"/>
        <rFont val="Arial"/>
        <family val="2"/>
      </rPr>
      <t>01</t>
    </r>
    <phoneticPr fontId="3" type="noConversion"/>
  </si>
  <si>
    <r>
      <t>1-2</t>
    </r>
    <r>
      <rPr>
        <sz val="10"/>
        <color indexed="8"/>
        <rFont val="宋体"/>
        <family val="3"/>
        <charset val="134"/>
      </rPr>
      <t>层</t>
    </r>
    <r>
      <rPr>
        <sz val="10"/>
        <color indexed="8"/>
        <rFont val="Arial"/>
        <family val="2"/>
      </rPr>
      <t>02</t>
    </r>
    <phoneticPr fontId="3" type="noConversion"/>
  </si>
  <si>
    <t>1-2层商业</t>
  </si>
  <si>
    <t>1-2层商业</t>
    <phoneticPr fontId="7" type="noConversion"/>
  </si>
  <si>
    <t>收益法 (元)</t>
  </si>
  <si>
    <t>押一</t>
  </si>
  <si>
    <t>钢混</t>
  </si>
  <si>
    <t>非生产用房</t>
  </si>
  <si>
    <t>比较法-商业</t>
  </si>
  <si>
    <t>楼面单价</t>
  </si>
  <si>
    <t>收益比率</t>
  </si>
  <si>
    <t>情况4</t>
  </si>
  <si>
    <t>正常</t>
  </si>
  <si>
    <t>转让取得</t>
  </si>
  <si>
    <t>个人其他（有凭证）</t>
  </si>
  <si>
    <t>购房发票</t>
  </si>
  <si>
    <t>2016年5月1日前购买</t>
  </si>
  <si>
    <t>单套模式</t>
  </si>
  <si>
    <t>售价</t>
  </si>
  <si>
    <t>报价</t>
  </si>
  <si>
    <t>报价</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</si>
  <si>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</si>
  <si>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</si>
  <si>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</si>
  <si>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</si>
  <si>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单面临街</t>
  </si>
  <si>
    <t>单面临街</t>
    <phoneticPr fontId="30" type="noConversion"/>
  </si>
  <si>
    <t>不临街</t>
    <phoneticPr fontId="30" type="noConversion"/>
  </si>
  <si>
    <t>好</t>
  </si>
  <si>
    <t>较好</t>
  </si>
  <si>
    <t>一般</t>
  </si>
  <si>
    <t>较差</t>
  </si>
  <si>
    <t>差</t>
  </si>
  <si>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</si>
  <si>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</si>
  <si>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</si>
  <si>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</si>
  <si>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</si>
  <si>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</si>
  <si>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</si>
  <si>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</si>
  <si>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</si>
  <si>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底商</t>
  </si>
  <si>
    <t>底商</t>
    <phoneticPr fontId="30" type="noConversion"/>
  </si>
  <si>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</si>
  <si>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</si>
  <si>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</si>
  <si>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</si>
  <si>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</si>
  <si>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</si>
  <si>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</si>
  <si>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七通</t>
  </si>
  <si>
    <t>七通</t>
    <phoneticPr fontId="30" type="noConversion"/>
  </si>
  <si>
    <t>六通</t>
    <phoneticPr fontId="30" type="noConversion"/>
  </si>
  <si>
    <t>五通</t>
    <phoneticPr fontId="30" type="noConversion"/>
  </si>
  <si>
    <t>可餐饮</t>
  </si>
  <si>
    <t>可餐饮</t>
    <phoneticPr fontId="30" type="noConversion"/>
  </si>
  <si>
    <t>不可餐饮</t>
  </si>
  <si>
    <t>不可餐饮</t>
    <phoneticPr fontId="30" type="noConversion"/>
  </si>
  <si>
    <t>标准层高</t>
  </si>
  <si>
    <t>标准层高</t>
    <phoneticPr fontId="30" type="noConversion"/>
  </si>
  <si>
    <t>较好</t>
    <phoneticPr fontId="30" type="noConversion"/>
  </si>
  <si>
    <t>1-2层</t>
  </si>
  <si>
    <t>266.92/189.63</t>
    <phoneticPr fontId="30" type="noConversion"/>
  </si>
  <si>
    <t>商业</t>
    <phoneticPr fontId="30" type="noConversion"/>
  </si>
  <si>
    <t>1层</t>
  </si>
  <si>
    <t>去年单价</t>
    <phoneticPr fontId="8" type="noConversion"/>
  </si>
  <si>
    <t>建筑面积</t>
    <phoneticPr fontId="134" type="noConversion"/>
  </si>
  <si>
    <t>楼层</t>
    <phoneticPr fontId="134" type="noConversion"/>
  </si>
  <si>
    <r>
      <t>1</t>
    </r>
    <r>
      <rPr>
        <sz val="11"/>
        <color theme="1"/>
        <rFont val="宋体"/>
        <family val="3"/>
        <charset val="134"/>
        <scheme val="minor"/>
      </rPr>
      <t>-2层</t>
    </r>
    <phoneticPr fontId="134" type="noConversion"/>
  </si>
  <si>
    <t>起始日</t>
    <phoneticPr fontId="134" type="noConversion"/>
  </si>
  <si>
    <t>终止日</t>
    <phoneticPr fontId="134" type="noConversion"/>
  </si>
  <si>
    <t>年租金</t>
    <phoneticPr fontId="134" type="noConversion"/>
  </si>
  <si>
    <t>含税年租金</t>
    <phoneticPr fontId="134" type="noConversion"/>
  </si>
  <si>
    <t>日租金</t>
    <phoneticPr fontId="134" type="noConversion"/>
  </si>
  <si>
    <t>不含物业费</t>
    <phoneticPr fontId="134" type="noConversion"/>
  </si>
  <si>
    <t>折合全部建面</t>
    <phoneticPr fontId="134" type="noConversion"/>
  </si>
  <si>
    <t>建面</t>
    <phoneticPr fontId="3" type="noConversion"/>
  </si>
  <si>
    <t>楼层</t>
    <phoneticPr fontId="3" type="noConversion"/>
  </si>
  <si>
    <t>系数</t>
    <phoneticPr fontId="3" type="noConversion"/>
  </si>
  <si>
    <t>租金</t>
  </si>
  <si>
    <t>合计</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</si>
  <si>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</si>
  <si>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</si>
  <si>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华昱家园</t>
    <phoneticPr fontId="3" type="noConversion"/>
  </si>
  <si>
    <t>万科天地</t>
    <phoneticPr fontId="3" type="noConversion"/>
  </si>
  <si>
    <t>建成年代</t>
    <phoneticPr fontId="30" type="noConversion"/>
  </si>
  <si>
    <t>2008-2010</t>
    <phoneticPr fontId="30" type="noConversion"/>
  </si>
  <si>
    <t>押一付三</t>
    <phoneticPr fontId="134" type="noConversion"/>
  </si>
  <si>
    <r>
      <t>押金5</t>
    </r>
    <r>
      <rPr>
        <sz val="11"/>
        <color theme="1"/>
        <rFont val="宋体"/>
        <family val="3"/>
        <charset val="134"/>
        <scheme val="minor"/>
      </rPr>
      <t>0000</t>
    </r>
    <phoneticPr fontId="134" type="noConversion"/>
  </si>
  <si>
    <r>
      <t>华昱家园1</t>
    </r>
    <r>
      <rPr>
        <sz val="11"/>
        <color theme="1"/>
        <rFont val="宋体"/>
        <family val="3"/>
        <charset val="134"/>
        <scheme val="minor"/>
      </rPr>
      <t>-2层</t>
    </r>
    <phoneticPr fontId="134" type="noConversion"/>
  </si>
  <si>
    <t>较高层高</t>
  </si>
  <si>
    <t>较高层高</t>
    <phoneticPr fontId="30" type="noConversion"/>
  </si>
  <si>
    <r>
      <rPr>
        <sz val="11"/>
        <rFont val="宋体"/>
        <family val="3"/>
        <charset val="134"/>
      </rPr>
      <t>层高</t>
    </r>
    <r>
      <rPr>
        <sz val="11"/>
        <rFont val="Arial"/>
        <family val="2"/>
      </rPr>
      <t>6.5</t>
    </r>
    <r>
      <rPr>
        <sz val="11"/>
        <rFont val="宋体"/>
        <family val="3"/>
        <charset val="134"/>
      </rPr>
      <t>米</t>
    </r>
    <phoneticPr fontId="30" type="noConversion"/>
  </si>
  <si>
    <t>艺苑桐城</t>
    <phoneticPr fontId="3" type="noConversion"/>
  </si>
  <si>
    <t>云河墅</t>
    <phoneticPr fontId="3" type="noConversion"/>
  </si>
  <si>
    <t>时代龙河大道</t>
    <phoneticPr fontId="134" type="noConversion"/>
  </si>
  <si>
    <t>时代龙河大道</t>
    <phoneticPr fontId="3" type="noConversion"/>
  </si>
  <si>
    <t>黄村西大街49号附近</t>
    <phoneticPr fontId="3" type="noConversion"/>
  </si>
  <si>
    <r>
      <rPr>
        <sz val="10"/>
        <color indexed="8"/>
        <rFont val="宋体"/>
        <family val="3"/>
        <charset val="134"/>
      </rPr>
      <t>去年租金</t>
    </r>
    <r>
      <rPr>
        <sz val="10"/>
        <color indexed="8"/>
        <rFont val="Arial"/>
        <family val="2"/>
      </rPr>
      <t>4.2</t>
    </r>
    <phoneticPr fontId="3" type="noConversion"/>
  </si>
  <si>
    <t>拟算租金</t>
    <phoneticPr fontId="3" type="noConversion"/>
  </si>
  <si>
    <t>已出租面积</t>
    <phoneticPr fontId="134" type="noConversion"/>
  </si>
  <si>
    <t>未出租建面</t>
    <phoneticPr fontId="134" type="noConversion"/>
  </si>
  <si>
    <t>电话市调同小区有套94平的1-2层商铺在租，年租金18万，日租金5.4元，感觉有可能是未出租部分？</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</si>
</sst>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176" fontId="47" fillId="0" borderId="1" xfId="10" applyNumberFormat="1"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95" fillId="0" borderId="0" xfId="0" applyFont="1">
      <alignment vertical="center"/>
    </xf>
    <xf numFmtId="0" fontId="95" fillId="0" borderId="0" xfId="0" applyFon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0" fontId="77" fillId="12" borderId="0" xfId="0" applyFont="1" applyFill="1" applyAlignment="1" applyProtection="1">
      <alignment horizontal="center" vertical="center"/>
      <protection locked="0"/>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8</xdr:col>
      <xdr:colOff>523875</xdr:colOff>
      <xdr:row>16</xdr:row>
      <xdr:rowOff>141749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0"/>
          <a:ext cx="6010274" cy="2713499"/>
        </a:xfrm>
        <a:prstGeom prst="rect">
          <a:avLst/>
        </a:prstGeom>
      </xdr:spPr>
    </xdr:pic>
    <xdr:clientData/>
  </xdr:twoCellAnchor>
  <xdr:twoCellAnchor editAs="oneCell">
    <xdr:from>
      <xdr:col>0</xdr:col>
      <xdr:colOff>0</xdr:colOff>
      <xdr:row>36</xdr:row>
      <xdr:rowOff>76202</xdr:rowOff>
    </xdr:from>
    <xdr:to>
      <xdr:col>8</xdr:col>
      <xdr:colOff>276225</xdr:colOff>
      <xdr:row>51</xdr:row>
      <xdr:rowOff>67760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6248402"/>
          <a:ext cx="5762625" cy="2563308"/>
        </a:xfrm>
        <a:prstGeom prst="rect">
          <a:avLst/>
        </a:prstGeom>
      </xdr:spPr>
    </xdr:pic>
    <xdr:clientData/>
  </xdr:twoCellAnchor>
  <xdr:twoCellAnchor editAs="oneCell">
    <xdr:from>
      <xdr:col>9</xdr:col>
      <xdr:colOff>610100</xdr:colOff>
      <xdr:row>0</xdr:row>
      <xdr:rowOff>85727</xdr:rowOff>
    </xdr:from>
    <xdr:to>
      <xdr:col>19</xdr:col>
      <xdr:colOff>331954</xdr:colOff>
      <xdr:row>17</xdr:row>
      <xdr:rowOff>152401</xdr:rowOff>
    </xdr:to>
    <xdr:pic>
      <xdr:nvPicPr>
        <xdr:cNvPr id="5" name="图片 4"/>
        <xdr:cNvPicPr>
          <a:picLocks noChangeAspect="1"/>
        </xdr:cNvPicPr>
      </xdr:nvPicPr>
      <xdr:blipFill>
        <a:blip xmlns:r="http://schemas.openxmlformats.org/officeDocument/2006/relationships" r:embed="rId3"/>
        <a:stretch>
          <a:fillRect/>
        </a:stretch>
      </xdr:blipFill>
      <xdr:spPr>
        <a:xfrm>
          <a:off x="6782300" y="85727"/>
          <a:ext cx="6579854" cy="2981324"/>
        </a:xfrm>
        <a:prstGeom prst="rect">
          <a:avLst/>
        </a:prstGeom>
      </xdr:spPr>
    </xdr:pic>
    <xdr:clientData/>
  </xdr:twoCellAnchor>
  <xdr:twoCellAnchor editAs="oneCell">
    <xdr:from>
      <xdr:col>0</xdr:col>
      <xdr:colOff>114300</xdr:colOff>
      <xdr:row>81</xdr:row>
      <xdr:rowOff>36513</xdr:rowOff>
    </xdr:from>
    <xdr:to>
      <xdr:col>9</xdr:col>
      <xdr:colOff>171450</xdr:colOff>
      <xdr:row>97</xdr:row>
      <xdr:rowOff>44609</xdr:rowOff>
    </xdr:to>
    <xdr:pic>
      <xdr:nvPicPr>
        <xdr:cNvPr id="6" name="图片 5"/>
        <xdr:cNvPicPr>
          <a:picLocks noChangeAspect="1"/>
        </xdr:cNvPicPr>
      </xdr:nvPicPr>
      <xdr:blipFill>
        <a:blip xmlns:r="http://schemas.openxmlformats.org/officeDocument/2006/relationships" r:embed="rId4"/>
        <a:stretch>
          <a:fillRect/>
        </a:stretch>
      </xdr:blipFill>
      <xdr:spPr>
        <a:xfrm>
          <a:off x="114300" y="13923963"/>
          <a:ext cx="6229350" cy="2751296"/>
        </a:xfrm>
        <a:prstGeom prst="rect">
          <a:avLst/>
        </a:prstGeom>
      </xdr:spPr>
    </xdr:pic>
    <xdr:clientData/>
  </xdr:twoCellAnchor>
  <xdr:twoCellAnchor editAs="oneCell">
    <xdr:from>
      <xdr:col>0</xdr:col>
      <xdr:colOff>0</xdr:colOff>
      <xdr:row>62</xdr:row>
      <xdr:rowOff>150938</xdr:rowOff>
    </xdr:from>
    <xdr:to>
      <xdr:col>9</xdr:col>
      <xdr:colOff>166670</xdr:colOff>
      <xdr:row>79</xdr:row>
      <xdr:rowOff>47625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0780838"/>
          <a:ext cx="6338870" cy="2811337"/>
        </a:xfrm>
        <a:prstGeom prst="rect">
          <a:avLst/>
        </a:prstGeom>
      </xdr:spPr>
    </xdr:pic>
    <xdr:clientData/>
  </xdr:twoCellAnchor>
  <xdr:twoCellAnchor editAs="oneCell">
    <xdr:from>
      <xdr:col>0</xdr:col>
      <xdr:colOff>0</xdr:colOff>
      <xdr:row>17</xdr:row>
      <xdr:rowOff>47625</xdr:rowOff>
    </xdr:from>
    <xdr:to>
      <xdr:col>9</xdr:col>
      <xdr:colOff>196334</xdr:colOff>
      <xdr:row>33</xdr:row>
      <xdr:rowOff>152400</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962275"/>
          <a:ext cx="6368534" cy="2847975"/>
        </a:xfrm>
        <a:prstGeom prst="rect">
          <a:avLst/>
        </a:prstGeom>
      </xdr:spPr>
    </xdr:pic>
    <xdr:clientData/>
  </xdr:twoCellAnchor>
  <xdr:twoCellAnchor editAs="oneCell">
    <xdr:from>
      <xdr:col>10</xdr:col>
      <xdr:colOff>17462</xdr:colOff>
      <xdr:row>20</xdr:row>
      <xdr:rowOff>66675</xdr:rowOff>
    </xdr:from>
    <xdr:to>
      <xdr:col>16</xdr:col>
      <xdr:colOff>618317</xdr:colOff>
      <xdr:row>46</xdr:row>
      <xdr:rowOff>19050</xdr:rowOff>
    </xdr:to>
    <xdr:pic>
      <xdr:nvPicPr>
        <xdr:cNvPr id="9" name="图片 8"/>
        <xdr:cNvPicPr>
          <a:picLocks noChangeAspect="1"/>
        </xdr:cNvPicPr>
      </xdr:nvPicPr>
      <xdr:blipFill>
        <a:blip xmlns:r="http://schemas.openxmlformats.org/officeDocument/2006/relationships" r:embed="rId7"/>
        <a:stretch>
          <a:fillRect/>
        </a:stretch>
      </xdr:blipFill>
      <xdr:spPr>
        <a:xfrm>
          <a:off x="6875462" y="3495675"/>
          <a:ext cx="4715655" cy="4410075"/>
        </a:xfrm>
        <a:prstGeom prst="rect">
          <a:avLst/>
        </a:prstGeom>
      </xdr:spPr>
    </xdr:pic>
    <xdr:clientData/>
  </xdr:twoCellAnchor>
  <xdr:twoCellAnchor editAs="oneCell">
    <xdr:from>
      <xdr:col>9</xdr:col>
      <xdr:colOff>638175</xdr:colOff>
      <xdr:row>49</xdr:row>
      <xdr:rowOff>95250</xdr:rowOff>
    </xdr:from>
    <xdr:to>
      <xdr:col>17</xdr:col>
      <xdr:colOff>504825</xdr:colOff>
      <xdr:row>69</xdr:row>
      <xdr:rowOff>69830</xdr:rowOff>
    </xdr:to>
    <xdr:pic>
      <xdr:nvPicPr>
        <xdr:cNvPr id="10" name="图片 9"/>
        <xdr:cNvPicPr>
          <a:picLocks noChangeAspect="1"/>
        </xdr:cNvPicPr>
      </xdr:nvPicPr>
      <xdr:blipFill>
        <a:blip xmlns:r="http://schemas.openxmlformats.org/officeDocument/2006/relationships" r:embed="rId8"/>
        <a:stretch>
          <a:fillRect/>
        </a:stretch>
      </xdr:blipFill>
      <xdr:spPr>
        <a:xfrm>
          <a:off x="6810375" y="8496300"/>
          <a:ext cx="5353050" cy="3403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303648</xdr:colOff>
      <xdr:row>32</xdr:row>
      <xdr:rowOff>104098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219048" cy="5419048"/>
        </a:xfrm>
        <a:prstGeom prst="rect">
          <a:avLst/>
        </a:prstGeom>
      </xdr:spPr>
    </xdr:pic>
    <xdr:clientData/>
  </xdr:twoCellAnchor>
  <xdr:twoCellAnchor editAs="oneCell">
    <xdr:from>
      <xdr:col>0</xdr:col>
      <xdr:colOff>0</xdr:colOff>
      <xdr:row>67</xdr:row>
      <xdr:rowOff>66675</xdr:rowOff>
    </xdr:from>
    <xdr:to>
      <xdr:col>12</xdr:col>
      <xdr:colOff>122782</xdr:colOff>
      <xdr:row>98</xdr:row>
      <xdr:rowOff>142202</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1553825"/>
          <a:ext cx="8352382" cy="5390477"/>
        </a:xfrm>
        <a:prstGeom prst="rect">
          <a:avLst/>
        </a:prstGeom>
      </xdr:spPr>
    </xdr:pic>
    <xdr:clientData/>
  </xdr:twoCellAnchor>
  <xdr:twoCellAnchor editAs="oneCell">
    <xdr:from>
      <xdr:col>0</xdr:col>
      <xdr:colOff>0</xdr:colOff>
      <xdr:row>35</xdr:row>
      <xdr:rowOff>0</xdr:rowOff>
    </xdr:from>
    <xdr:to>
      <xdr:col>12</xdr:col>
      <xdr:colOff>589448</xdr:colOff>
      <xdr:row>64</xdr:row>
      <xdr:rowOff>75569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6000750"/>
          <a:ext cx="8819048" cy="5047619"/>
        </a:xfrm>
        <a:prstGeom prst="rect">
          <a:avLst/>
        </a:prstGeom>
      </xdr:spPr>
    </xdr:pic>
    <xdr:clientData/>
  </xdr:twoCellAnchor>
  <xdr:twoCellAnchor editAs="oneCell">
    <xdr:from>
      <xdr:col>13</xdr:col>
      <xdr:colOff>0</xdr:colOff>
      <xdr:row>68</xdr:row>
      <xdr:rowOff>0</xdr:rowOff>
    </xdr:from>
    <xdr:to>
      <xdr:col>29</xdr:col>
      <xdr:colOff>293867</xdr:colOff>
      <xdr:row>95</xdr:row>
      <xdr:rowOff>151803</xdr:rowOff>
    </xdr:to>
    <xdr:pic>
      <xdr:nvPicPr>
        <xdr:cNvPr id="6" name="图片 5"/>
        <xdr:cNvPicPr>
          <a:picLocks noChangeAspect="1"/>
        </xdr:cNvPicPr>
      </xdr:nvPicPr>
      <xdr:blipFill>
        <a:blip xmlns:r="http://schemas.openxmlformats.org/officeDocument/2006/relationships" r:embed="rId4"/>
        <a:stretch>
          <a:fillRect/>
        </a:stretch>
      </xdr:blipFill>
      <xdr:spPr>
        <a:xfrm>
          <a:off x="8915400" y="11658600"/>
          <a:ext cx="11266667" cy="47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北京市大兴区黄村镇兴业大街76号楼1至2层1、2号商业用房房地产抵押价值预评估</v>
      </c>
    </row>
    <row r="3" spans="1:2" s="1202" customFormat="1">
      <c r="A3" s="1200" t="s">
        <v>523</v>
      </c>
      <c r="B3" s="1201">
        <f>'预评函-封皮'!B40</f>
        <v>0</v>
      </c>
    </row>
    <row r="4" spans="1:2" s="1202" customFormat="1">
      <c r="A4" s="1200" t="s">
        <v>524</v>
      </c>
      <c r="B4" s="1201" t="str">
        <f ca="1">'预评函-封皮'!B46</f>
        <v>吴薇（注册号：1419970001)、郑燚（注册号：1120070131)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受贵公司委托，我公司对北京市大兴区黄村镇兴业大街76号楼1至2层1、2号商业用房房地产抵押价值进行了预评估。</v>
      </c>
    </row>
    <row r="7" spans="1:2" s="1202" customFormat="1">
      <c r="A7" s="1200" t="s">
        <v>566</v>
      </c>
      <c r="B7" s="1201" t="str">
        <f>'预评函-1'!A7</f>
        <v>估价对象为北京市大兴区黄村镇兴业大街76号楼1至2层1、2号商业用房房地产，为所有。根据《国有土地使用证》[]，估价对象（分摊）出让国有建设用地使用权面积为0平方米，建筑面积为456.55平方米。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大兴区黄村镇兴业大街76号楼1至2层1、2号商业用房房地产,属开发建设的商业项目，该项目尚在开发建设中。根据《国有土地使用证》[]，估价对象（分摊）出让国有建设用地使用权面积为0平方米，规划建筑面积为456.55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大兴区黄村镇兴业大街76号楼1至2层1、2号商业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2025年5月16日（评估专业人员实地查勘之日）</v>
      </c>
    </row>
    <row r="13" spans="1:2" s="1202" customFormat="1">
      <c r="A13" s="1200" t="s">
        <v>529</v>
      </c>
      <c r="B13" s="1201"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1390</v>
      </c>
    </row>
    <row r="21" spans="1:2" s="1202" customFormat="1">
      <c r="A21" s="1200" t="s">
        <v>537</v>
      </c>
      <c r="B21" s="1201">
        <f ca="1">'预评函-2'!D7</f>
        <v>30449</v>
      </c>
    </row>
    <row r="22" spans="1:2" s="1202" customFormat="1">
      <c r="A22" s="1200" t="s">
        <v>538</v>
      </c>
      <c r="B22" s="1201" t="str">
        <f ca="1">'预评函-2'!D6</f>
        <v>壹仟叁佰玖拾万元整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1390</v>
      </c>
    </row>
    <row r="31" spans="1:2" s="1202" customFormat="1">
      <c r="A31" s="1200" t="s">
        <v>576</v>
      </c>
      <c r="B31" s="1201">
        <f ca="1">'预评函-2'!D15</f>
        <v>30449</v>
      </c>
    </row>
    <row r="32" spans="1:2" s="1202" customFormat="1">
      <c r="A32" s="1200" t="s">
        <v>543</v>
      </c>
      <c r="B32" s="1201" t="str">
        <f ca="1">'预评函-2'!D14</f>
        <v>壹仟叁佰玖拾万元整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北京市大兴区黄村镇兴业大街76号楼1至2层1、2号商业用房房地产</v>
      </c>
    </row>
    <row r="42" spans="1:2" s="1202" customFormat="1">
      <c r="A42" s="1200" t="s">
        <v>590</v>
      </c>
      <c r="B42" s="1201" t="str">
        <f>'预评函-3'!B2</f>
        <v>建筑面积</v>
      </c>
    </row>
    <row r="43" spans="1:2" s="1202" customFormat="1">
      <c r="A43" s="1200" t="s">
        <v>591</v>
      </c>
      <c r="B43" s="1201">
        <f>'预评函-3'!B4</f>
        <v>456.55</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1136</v>
      </c>
    </row>
    <row r="48" spans="1:2" s="1202" customFormat="1">
      <c r="A48" s="1200" t="s">
        <v>549</v>
      </c>
      <c r="B48" s="1201">
        <f ca="1">'预评函-3'!E4</f>
        <v>24877</v>
      </c>
    </row>
    <row r="49" spans="1:2" s="1202" customFormat="1">
      <c r="A49" s="1200" t="s">
        <v>550</v>
      </c>
      <c r="B49" s="1201" t="str">
        <f ca="1">'预评函-3'!D5</f>
        <v>壹仟壹佰叁拾陆万元整</v>
      </c>
    </row>
    <row r="50" spans="1:2" s="1202" customFormat="1">
      <c r="A50" s="1200" t="s">
        <v>574</v>
      </c>
      <c r="B50" s="1201" t="str">
        <f>'预评函-3'!F2</f>
        <v>在建建筑物价值</v>
      </c>
    </row>
    <row r="51" spans="1:2" s="1202" customFormat="1">
      <c r="A51" s="1200" t="s">
        <v>551</v>
      </c>
      <c r="B51" s="1201">
        <f ca="1">'预评函-3'!F4</f>
        <v>254</v>
      </c>
    </row>
    <row r="52" spans="1:2" s="1202" customFormat="1">
      <c r="A52" s="1200" t="s">
        <v>552</v>
      </c>
      <c r="B52" s="1201">
        <f ca="1">'预评函-3'!G4</f>
        <v>5572</v>
      </c>
    </row>
    <row r="53" spans="1:2" s="1202" customFormat="1">
      <c r="A53" s="1200" t="s">
        <v>580</v>
      </c>
      <c r="B53" s="1201" t="str">
        <f ca="1">'预评函-3'!F5</f>
        <v>贰佰伍拾肆万元整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村镇兴业大街76号楼1至2层1、2号商业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53" t="s">
        <v>385</v>
      </c>
      <c r="C54" s="1550" t="s">
        <v>583</v>
      </c>
    </row>
    <row r="55" spans="1:4">
      <c r="A55" s="3512"/>
      <c r="B55" s="1553" t="s">
        <v>386</v>
      </c>
      <c r="C55" s="1550" t="s">
        <v>584</v>
      </c>
    </row>
    <row r="56" spans="1:4">
      <c r="A56" s="3512"/>
      <c r="B56" s="1553" t="s">
        <v>387</v>
      </c>
      <c r="C56" s="1550" t="s">
        <v>588</v>
      </c>
    </row>
    <row r="57" spans="1:4">
      <c r="A57" s="351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13" t="s">
        <v>2580</v>
      </c>
      <c r="J2" s="3513"/>
      <c r="K2" s="3513"/>
      <c r="L2" s="3513"/>
      <c r="M2" s="3513"/>
      <c r="N2" s="3513"/>
      <c r="O2" s="3513"/>
      <c r="P2" s="3513"/>
      <c r="Q2" s="3513"/>
      <c r="R2" s="3513"/>
    </row>
    <row r="3" spans="1:18">
      <c r="A3" s="3018" t="s">
        <v>2501</v>
      </c>
      <c r="B3" s="3019">
        <f>项目基本情况!D3</f>
        <v>45793</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1.59</v>
      </c>
      <c r="D5" s="3023">
        <f>IF(ISERROR(ROUND(POWER(1+E5,A5-C5)*(POWER(1+E5,C5)-1)/(POWER(1+E5,A5)-1),3)),0,ROUND(POWER(1+E5,A5-C5)*(POWER(1+E5,C5)-1)/(POWER(1+E5,A5)-1),4))</f>
        <v>7.6399999999999996E-2</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11.6</v>
      </c>
      <c r="D6" s="3023">
        <f>IF(ISERROR(ROUND(POWER(1+E6,A6-C6)*(POWER(1+E6,C6)-1)/(POWER(1+E6,A6)-1),3)),0,ROUND(POWER(1+E6,A6-C6)*(POWER(1+E6,C6)-1)/(POWER(1+E6,A6)-1),4))</f>
        <v>0.4254</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31.61</v>
      </c>
      <c r="D7" s="3023">
        <f>IF(ISERROR(ROUND(POWER(1+E7,A7-C7)*(POWER(1+E7,C7)-1)/(POWER(1+E7,A7)-1),3)),0,ROUND(POWER(1+E7,A7-C7)*(POWER(1+E7,C7)-1)/(POWER(1+E7,A7)-1),4))</f>
        <v>0.75929999999999997</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4">
      <c r="A17" s="3018" t="s">
        <v>2517</v>
      </c>
      <c r="B17" s="3027">
        <v>4810</v>
      </c>
      <c r="C17" s="3020"/>
      <c r="D17" s="3016"/>
      <c r="E17" s="3016"/>
      <c r="F17" s="3017"/>
    </row>
    <row r="18" spans="1:14" ht="14.25" thickBot="1">
      <c r="A18" s="3029" t="s">
        <v>2516</v>
      </c>
      <c r="B18" s="3030">
        <f>ROUND(B17*F11/F12,2)</f>
        <v>5541.87</v>
      </c>
      <c r="C18" s="3030">
        <f>ROUND(F11/F12,4)</f>
        <v>1.1521999999999999</v>
      </c>
      <c r="D18" s="3031"/>
      <c r="E18" s="3031"/>
      <c r="F18" s="3032"/>
    </row>
    <row r="19" spans="1:14" ht="14.25" thickBot="1"/>
    <row r="20" spans="1:14" s="3067" customFormat="1" ht="14.25" thickTop="1">
      <c r="A20" s="3064" t="s">
        <v>2519</v>
      </c>
      <c r="B20" s="3065"/>
      <c r="C20" s="3065"/>
      <c r="D20" s="3065"/>
      <c r="E20" s="3065"/>
      <c r="F20" s="3065"/>
      <c r="G20" s="3066"/>
      <c r="I20" s="3068" t="s">
        <v>2564</v>
      </c>
      <c r="J20" s="3068" t="s">
        <v>2569</v>
      </c>
      <c r="K20" s="3068"/>
      <c r="L20" s="3068"/>
      <c r="M20" s="3068"/>
    </row>
    <row r="21" spans="1:14">
      <c r="A21" s="3033"/>
      <c r="B21" s="3034" t="s">
        <v>2520</v>
      </c>
      <c r="C21" s="3034" t="s">
        <v>2521</v>
      </c>
      <c r="D21" s="3034" t="s">
        <v>2522</v>
      </c>
      <c r="E21" s="3034" t="s">
        <v>2523</v>
      </c>
      <c r="F21" s="3034" t="s">
        <v>2524</v>
      </c>
      <c r="G21" s="3035" t="s">
        <v>2525</v>
      </c>
      <c r="I21" s="3056">
        <v>5</v>
      </c>
      <c r="J21" s="3056">
        <v>54.2</v>
      </c>
    </row>
    <row r="22" spans="1:14">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N23" s="3455" t="s">
        <v>2568</v>
      </c>
    </row>
    <row r="24" spans="1:14">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N24" s="3455">
        <v>10</v>
      </c>
    </row>
    <row r="25" spans="1:14">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N25" s="3455">
        <v>8</v>
      </c>
    </row>
    <row r="26" spans="1:14">
      <c r="A26" s="3038"/>
      <c r="B26" s="3039"/>
      <c r="C26" s="3039"/>
      <c r="D26" s="3039"/>
      <c r="E26" s="3039"/>
      <c r="F26" s="3039"/>
      <c r="G26" s="3040"/>
      <c r="I26" s="3056">
        <v>30</v>
      </c>
      <c r="J26" s="3056">
        <v>90.5</v>
      </c>
      <c r="K26" s="3056">
        <f t="shared" si="2"/>
        <v>4.2000000000000028</v>
      </c>
      <c r="L26" s="3056" t="s">
        <v>2571</v>
      </c>
      <c r="N26" s="3455">
        <v>5</v>
      </c>
    </row>
    <row r="27" spans="1:14">
      <c r="A27" s="3038" t="s">
        <v>2530</v>
      </c>
      <c r="B27" s="3039"/>
      <c r="C27" s="3039"/>
      <c r="D27" s="3039"/>
      <c r="E27" s="3039"/>
      <c r="F27" s="3039"/>
      <c r="G27" s="3040"/>
      <c r="I27" s="3056">
        <v>35</v>
      </c>
      <c r="J27" s="3056">
        <v>93.8</v>
      </c>
      <c r="K27" s="3056">
        <f t="shared" si="2"/>
        <v>3.2999999999999972</v>
      </c>
      <c r="L27" s="3056" t="s">
        <v>2572</v>
      </c>
      <c r="N27" s="3455">
        <v>3</v>
      </c>
    </row>
    <row r="28" spans="1:14">
      <c r="A28" s="3038" t="s">
        <v>2531</v>
      </c>
      <c r="B28" s="3039"/>
      <c r="C28" s="3039"/>
      <c r="D28" s="3039"/>
      <c r="E28" s="3039"/>
      <c r="F28" s="3039"/>
      <c r="G28" s="3040"/>
      <c r="I28" s="3056">
        <v>40</v>
      </c>
      <c r="J28" s="3056">
        <v>96.4</v>
      </c>
      <c r="K28" s="3056">
        <f t="shared" si="2"/>
        <v>2.6000000000000085</v>
      </c>
      <c r="L28" s="3056" t="s">
        <v>2573</v>
      </c>
      <c r="N28" s="3455">
        <v>2</v>
      </c>
    </row>
    <row r="29" spans="1:14">
      <c r="A29" s="3038" t="s">
        <v>2532</v>
      </c>
      <c r="B29" s="3039"/>
      <c r="C29" s="3039"/>
      <c r="D29" s="3039"/>
      <c r="E29" s="3039"/>
      <c r="F29" s="3039"/>
      <c r="G29" s="3040"/>
      <c r="I29" s="3056">
        <v>45</v>
      </c>
      <c r="J29" s="3056">
        <v>98.4</v>
      </c>
      <c r="K29" s="3056">
        <f t="shared" si="2"/>
        <v>2</v>
      </c>
    </row>
    <row r="30" spans="1:14">
      <c r="A30" s="3038" t="s">
        <v>2533</v>
      </c>
      <c r="B30" s="3039"/>
      <c r="C30" s="3039"/>
      <c r="D30" s="3039"/>
      <c r="E30" s="3039"/>
      <c r="F30" s="3039"/>
      <c r="G30" s="3040"/>
      <c r="I30" s="3056">
        <v>50</v>
      </c>
      <c r="J30" s="3056">
        <v>100</v>
      </c>
      <c r="K30" s="3056">
        <f t="shared" si="2"/>
        <v>1.5999999999999943</v>
      </c>
    </row>
    <row r="31" spans="1:14">
      <c r="A31" s="3038" t="s">
        <v>2534</v>
      </c>
      <c r="B31" s="3039"/>
      <c r="C31" s="3039"/>
      <c r="D31" s="3039"/>
      <c r="E31" s="3039"/>
      <c r="F31" s="3039"/>
      <c r="G31" s="3040"/>
      <c r="I31" s="3056" t="s">
        <v>2565</v>
      </c>
    </row>
    <row r="32" spans="1:14">
      <c r="A32" s="3038" t="s">
        <v>2535</v>
      </c>
      <c r="B32" s="3039"/>
      <c r="C32" s="3039"/>
      <c r="D32" s="3039"/>
      <c r="E32" s="3039"/>
      <c r="F32" s="3039"/>
      <c r="G32" s="3040"/>
    </row>
    <row r="33" spans="1:14">
      <c r="A33" s="3038" t="s">
        <v>2536</v>
      </c>
      <c r="B33" s="3039"/>
      <c r="C33" s="3039"/>
      <c r="D33" s="3039"/>
      <c r="E33" s="3039"/>
      <c r="F33" s="3039"/>
      <c r="G33" s="3040"/>
      <c r="I33" s="3056" t="s">
        <v>2564</v>
      </c>
      <c r="J33" s="3056" t="s">
        <v>2574</v>
      </c>
    </row>
    <row r="34" spans="1:14">
      <c r="A34" s="3038" t="s">
        <v>2537</v>
      </c>
      <c r="B34" s="3039"/>
      <c r="C34" s="3039"/>
      <c r="D34" s="3039"/>
      <c r="E34" s="3039"/>
      <c r="F34" s="3039"/>
      <c r="G34" s="3040"/>
      <c r="I34" s="3056">
        <v>5</v>
      </c>
      <c r="J34" s="3056">
        <v>55.1</v>
      </c>
    </row>
    <row r="35" spans="1:14">
      <c r="A35" s="3038" t="s">
        <v>2538</v>
      </c>
      <c r="B35" s="3039"/>
      <c r="C35" s="3039"/>
      <c r="D35" s="3039"/>
      <c r="E35" s="3039"/>
      <c r="F35" s="3039"/>
      <c r="G35" s="3040"/>
      <c r="I35" s="3056">
        <v>10</v>
      </c>
      <c r="J35" s="3056">
        <v>67</v>
      </c>
      <c r="K35" s="3056">
        <f>J35-J34</f>
        <v>11.899999999999999</v>
      </c>
    </row>
    <row r="36" spans="1:14">
      <c r="A36" s="3038" t="s">
        <v>2539</v>
      </c>
      <c r="B36" s="3039"/>
      <c r="C36" s="3039"/>
      <c r="D36" s="3039"/>
      <c r="E36" s="3039"/>
      <c r="F36" s="3039"/>
      <c r="G36" s="3040"/>
      <c r="I36" s="3056">
        <v>15</v>
      </c>
      <c r="J36" s="3056">
        <v>76.3</v>
      </c>
      <c r="K36" s="3056">
        <f t="shared" ref="K36:K41" si="3">J36-J35</f>
        <v>9.2999999999999972</v>
      </c>
      <c r="L36" s="3056" t="s">
        <v>2567</v>
      </c>
      <c r="N36" s="3455" t="s">
        <v>2568</v>
      </c>
    </row>
    <row r="37" spans="1:14">
      <c r="A37" s="3038" t="s">
        <v>2540</v>
      </c>
      <c r="B37" s="3039"/>
      <c r="C37" s="3039"/>
      <c r="D37" s="3039"/>
      <c r="E37" s="3039"/>
      <c r="F37" s="3039"/>
      <c r="G37" s="3040"/>
      <c r="I37" s="3056">
        <v>20</v>
      </c>
      <c r="J37" s="3056">
        <v>83.6</v>
      </c>
      <c r="K37" s="3056">
        <f t="shared" si="3"/>
        <v>7.2999999999999972</v>
      </c>
      <c r="L37" s="3056" t="s">
        <v>2566</v>
      </c>
      <c r="N37" s="3455">
        <v>10</v>
      </c>
    </row>
    <row r="38" spans="1:14">
      <c r="A38" s="3038" t="s">
        <v>2541</v>
      </c>
      <c r="B38" s="3039"/>
      <c r="C38" s="3039"/>
      <c r="D38" s="3039"/>
      <c r="E38" s="3039"/>
      <c r="F38" s="3039"/>
      <c r="G38" s="3040"/>
      <c r="I38" s="3056">
        <v>25</v>
      </c>
      <c r="J38" s="3056">
        <v>89.3</v>
      </c>
      <c r="K38" s="3056">
        <f t="shared" si="3"/>
        <v>5.7000000000000028</v>
      </c>
      <c r="L38" s="3056" t="s">
        <v>2570</v>
      </c>
      <c r="N38" s="3455">
        <v>8</v>
      </c>
    </row>
    <row r="39" spans="1:14">
      <c r="A39" s="3038"/>
      <c r="B39" s="3039"/>
      <c r="C39" s="3039"/>
      <c r="D39" s="3039"/>
      <c r="E39" s="3039"/>
      <c r="F39" s="3039"/>
      <c r="G39" s="3040"/>
      <c r="I39" s="3056">
        <v>30</v>
      </c>
      <c r="J39" s="3056">
        <v>93.8</v>
      </c>
      <c r="K39" s="3056">
        <f t="shared" si="3"/>
        <v>4.5</v>
      </c>
      <c r="L39" s="3056" t="s">
        <v>2571</v>
      </c>
      <c r="N39" s="3455">
        <v>6</v>
      </c>
    </row>
    <row r="40" spans="1:14">
      <c r="A40" s="3041" t="s">
        <v>2542</v>
      </c>
      <c r="B40" s="3042"/>
      <c r="C40" s="3042"/>
      <c r="D40" s="3042"/>
      <c r="E40" s="3042"/>
      <c r="F40" s="3042"/>
      <c r="G40" s="3043"/>
      <c r="I40" s="3056">
        <v>35</v>
      </c>
      <c r="J40" s="3056">
        <v>97.2</v>
      </c>
      <c r="K40" s="3056">
        <f t="shared" si="3"/>
        <v>3.4000000000000057</v>
      </c>
      <c r="L40" s="3056" t="s">
        <v>2572</v>
      </c>
      <c r="N40" s="3455">
        <v>3</v>
      </c>
    </row>
    <row r="41" spans="1:14">
      <c r="A41" s="3044" t="s">
        <v>2543</v>
      </c>
      <c r="B41" s="3045" t="s">
        <v>2544</v>
      </c>
      <c r="C41" s="3046" t="s">
        <v>2545</v>
      </c>
      <c r="D41" s="3046" t="s">
        <v>2546</v>
      </c>
      <c r="E41" s="3047"/>
      <c r="F41" s="3048"/>
      <c r="G41" s="3049"/>
      <c r="I41" s="3056">
        <v>40</v>
      </c>
      <c r="J41" s="3056">
        <v>100</v>
      </c>
      <c r="K41" s="3056">
        <f t="shared" si="3"/>
        <v>2.7999999999999972</v>
      </c>
    </row>
    <row r="42" spans="1:14">
      <c r="A42" s="3044" t="s">
        <v>2547</v>
      </c>
      <c r="B42" s="3045" t="s">
        <v>2548</v>
      </c>
      <c r="C42" s="3046" t="s">
        <v>2549</v>
      </c>
      <c r="D42" s="3050" t="s">
        <v>2550</v>
      </c>
      <c r="E42" s="3042" t="s">
        <v>2551</v>
      </c>
      <c r="F42" s="3042"/>
      <c r="G42" s="3043"/>
    </row>
    <row r="43" spans="1:14">
      <c r="A43" s="3044" t="s">
        <v>2552</v>
      </c>
      <c r="B43" s="3045" t="s">
        <v>2553</v>
      </c>
      <c r="C43" s="3046" t="s">
        <v>2554</v>
      </c>
      <c r="D43" s="3046" t="s">
        <v>2555</v>
      </c>
      <c r="E43" s="3047" t="s">
        <v>2556</v>
      </c>
      <c r="F43" s="3048"/>
      <c r="G43" s="3049"/>
      <c r="I43" s="3056" t="s">
        <v>2564</v>
      </c>
      <c r="J43" s="3056" t="s">
        <v>2575</v>
      </c>
    </row>
    <row r="44" spans="1:14">
      <c r="A44" s="3044" t="s">
        <v>2557</v>
      </c>
      <c r="B44" s="3045" t="s">
        <v>2558</v>
      </c>
      <c r="C44" s="3046" t="s">
        <v>2559</v>
      </c>
      <c r="D44" s="3050">
        <v>0.5</v>
      </c>
      <c r="E44" s="3047" t="s">
        <v>2560</v>
      </c>
      <c r="F44" s="3048"/>
      <c r="G44" s="3049"/>
      <c r="I44" s="3056">
        <v>30</v>
      </c>
      <c r="J44" s="3056">
        <v>81.7</v>
      </c>
    </row>
    <row r="45" spans="1:14" ht="14.25" thickBot="1">
      <c r="A45" s="3051" t="s">
        <v>2561</v>
      </c>
      <c r="B45" s="3052" t="s">
        <v>2548</v>
      </c>
      <c r="C45" s="3053" t="s">
        <v>2548</v>
      </c>
      <c r="D45" s="3053" t="s">
        <v>2562</v>
      </c>
      <c r="E45" s="3054" t="s">
        <v>2563</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4.25" thickBot="1"/>
    <row r="49" spans="1:4">
      <c r="A49" s="3011" t="s">
        <v>3387</v>
      </c>
    </row>
    <row r="50" spans="1:4">
      <c r="A50" s="3447" t="s">
        <v>3388</v>
      </c>
      <c r="B50" s="3447" t="s">
        <v>3389</v>
      </c>
      <c r="C50" s="3447" t="s">
        <v>3390</v>
      </c>
      <c r="D50" s="3447" t="s">
        <v>3391</v>
      </c>
    </row>
    <row r="51" spans="1:4">
      <c r="A51" s="3447" t="s">
        <v>3392</v>
      </c>
      <c r="B51" s="3020">
        <f>B52+B53</f>
        <v>15000</v>
      </c>
      <c r="C51" s="3448">
        <f>D51/B51</f>
        <v>2666.6666666666665</v>
      </c>
      <c r="D51" s="3020">
        <f>D52+D53</f>
        <v>40000000</v>
      </c>
    </row>
    <row r="52" spans="1:4">
      <c r="A52" s="3449" t="s">
        <v>3393</v>
      </c>
      <c r="B52" s="3450">
        <v>10000</v>
      </c>
      <c r="C52" s="3450">
        <v>1500</v>
      </c>
      <c r="D52" s="3451">
        <f>C52*B52</f>
        <v>15000000</v>
      </c>
    </row>
    <row r="53" spans="1:4">
      <c r="A53" s="3449" t="s">
        <v>3394</v>
      </c>
      <c r="B53" s="3450">
        <v>5000</v>
      </c>
      <c r="C53" s="3450">
        <v>5000</v>
      </c>
      <c r="D53" s="3451">
        <f>C53*B53</f>
        <v>25000000</v>
      </c>
    </row>
    <row r="54" spans="1:4">
      <c r="A54" s="3447" t="s">
        <v>3395</v>
      </c>
      <c r="B54" s="3020">
        <f>B51</f>
        <v>15000</v>
      </c>
      <c r="C54" s="3027">
        <v>700</v>
      </c>
      <c r="D54" s="3020">
        <f t="shared" ref="D54:D55" si="5">C54*B54</f>
        <v>10500000</v>
      </c>
    </row>
    <row r="55" spans="1:4">
      <c r="A55" s="3447" t="s">
        <v>3396</v>
      </c>
      <c r="B55" s="3020">
        <f>B51</f>
        <v>15000</v>
      </c>
      <c r="C55" s="3027">
        <v>1500</v>
      </c>
      <c r="D55" s="3020">
        <f t="shared" si="5"/>
        <v>22500000</v>
      </c>
    </row>
    <row r="56" spans="1:4">
      <c r="A56" s="3447" t="s">
        <v>3397</v>
      </c>
      <c r="B56" s="3020">
        <f>B51</f>
        <v>15000</v>
      </c>
      <c r="C56" s="3452">
        <f>C51+C54+C55</f>
        <v>4866.6666666666661</v>
      </c>
      <c r="D56" s="3020">
        <f>D51+D54+D55</f>
        <v>73000000</v>
      </c>
    </row>
    <row r="58" spans="1:4">
      <c r="A58" s="3447" t="s">
        <v>3398</v>
      </c>
      <c r="B58" s="3453">
        <v>0.05</v>
      </c>
      <c r="C58" s="3020">
        <f>C56*(1+B58)</f>
        <v>5110</v>
      </c>
      <c r="D58" s="3020">
        <f>D56*B58</f>
        <v>3650000</v>
      </c>
    </row>
    <row r="60" spans="1:4">
      <c r="A60" s="3447" t="s">
        <v>3399</v>
      </c>
      <c r="B60" s="3027">
        <v>3500</v>
      </c>
      <c r="C60" s="3027">
        <f>C53</f>
        <v>5000</v>
      </c>
      <c r="D60" s="3020">
        <f>C60*B60</f>
        <v>17500000</v>
      </c>
    </row>
    <row r="62" spans="1:4">
      <c r="A62" s="3447" t="s">
        <v>3400</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F10" sqref="F1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22" t="str">
        <f>IF(B10="北京市","北京市",C10)&amp;F10&amp;IF(结果表!G1="在建","出让国有建设用地使用权及在建建筑物",IF(结果表!G1="土地","出让国有建设用地使用权",))&amp;B9&amp;"预评估"</f>
        <v>北京市大兴区黄村镇兴业大街76号楼1至2层1、2号商业用房房地产抵押价值预评估</v>
      </c>
      <c r="C1" s="3523"/>
      <c r="D1" s="3523"/>
      <c r="E1" s="3523"/>
      <c r="F1" s="3523"/>
      <c r="G1" s="3523"/>
      <c r="H1" s="3523"/>
      <c r="I1" s="352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北京市大兴区黄村镇兴业大街76号楼1至2层1、2号商业用房房地产抵押价值</v>
      </c>
      <c r="T1" s="1744"/>
      <c r="U1" s="1744"/>
      <c r="V1" s="1744"/>
      <c r="W1" s="1744"/>
      <c r="X1" s="1744"/>
      <c r="Y1" s="1744"/>
      <c r="Z1" s="1744"/>
      <c r="AA1" s="1744"/>
      <c r="AB1" s="1744"/>
    </row>
    <row r="2" spans="1:30">
      <c r="A2" s="2366" t="s">
        <v>2169</v>
      </c>
      <c r="B2" s="2370"/>
      <c r="C2" s="2371"/>
      <c r="D2" s="2668"/>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北京市大兴区黄村镇兴业大街76号楼1至2层1、2号商业用房房地产</v>
      </c>
      <c r="T2" s="1744"/>
      <c r="U2" s="1744"/>
      <c r="V2" s="1744"/>
      <c r="W2" s="1744"/>
      <c r="X2" s="1744"/>
      <c r="Y2" s="1744"/>
      <c r="Z2" s="1744"/>
      <c r="AA2" s="1744"/>
      <c r="AB2" s="1744"/>
    </row>
    <row r="3" spans="1:30">
      <c r="A3" s="302" t="s">
        <v>2170</v>
      </c>
      <c r="B3" s="2372">
        <v>45793</v>
      </c>
      <c r="C3" s="2373" t="s">
        <v>2171</v>
      </c>
      <c r="D3" s="2372">
        <f>B3</f>
        <v>45793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t="s">
        <v>3412</v>
      </c>
      <c r="C4" s="2375">
        <f ca="1">SUMIF(注册房地产估价师,B4,估价师及机构信息!B3:B24)</f>
        <v>1419970001</v>
      </c>
      <c r="D4" s="2374" t="s">
        <v>3413</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吴薇（注册号：1419970001)、郑燚（注册号：1120070131)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3414</v>
      </c>
      <c r="C8" s="2389"/>
      <c r="D8" s="3525" t="s">
        <v>2177</v>
      </c>
      <c r="E8" s="2390" t="s">
        <v>3415</v>
      </c>
      <c r="F8" s="2391"/>
      <c r="G8" s="2662"/>
      <c r="H8" s="2662"/>
      <c r="I8" s="2662"/>
      <c r="J8" s="2438"/>
      <c r="K8" s="2613"/>
      <c r="L8" s="2612"/>
      <c r="M8" s="2612"/>
      <c r="N8" s="2438"/>
      <c r="O8" s="2449"/>
      <c r="P8" s="2438"/>
      <c r="Q8" s="2438"/>
      <c r="R8" s="2438"/>
    </row>
    <row r="9" spans="1:30" ht="13.5" thickBot="1">
      <c r="A9" s="2392" t="s">
        <v>2178</v>
      </c>
      <c r="B9" s="2393" t="s">
        <v>3415</v>
      </c>
      <c r="C9" s="2394"/>
      <c r="D9" s="3526"/>
      <c r="E9" s="2393"/>
      <c r="F9" s="2395"/>
      <c r="G9" s="2664"/>
      <c r="H9" s="2664"/>
      <c r="I9" s="2664"/>
      <c r="J9" s="2438"/>
      <c r="K9" s="2615"/>
      <c r="L9" s="2612"/>
      <c r="M9" s="2612"/>
      <c r="N9" s="2438"/>
      <c r="O9" s="2449"/>
      <c r="P9" s="2438"/>
      <c r="Q9" s="2438"/>
      <c r="R9" s="2438"/>
    </row>
    <row r="10" spans="1:30" ht="13.5" thickTop="1">
      <c r="A10" s="2396" t="s">
        <v>2179</v>
      </c>
      <c r="B10" s="2397" t="s">
        <v>3416</v>
      </c>
      <c r="C10" s="2398"/>
      <c r="D10" s="2381"/>
      <c r="E10" s="2399" t="s">
        <v>2180</v>
      </c>
      <c r="F10" s="3811" t="s">
        <v>3418</v>
      </c>
      <c r="G10" s="2665"/>
      <c r="H10" s="2666"/>
      <c r="I10" s="2667"/>
      <c r="J10" s="2438"/>
      <c r="K10" s="2615"/>
      <c r="L10" s="2612"/>
      <c r="M10" s="2612"/>
      <c r="N10" s="2438"/>
      <c r="O10" s="2449"/>
      <c r="P10" s="2438"/>
      <c r="Q10" s="2438"/>
      <c r="R10" s="2438"/>
    </row>
    <row r="11" spans="1:30">
      <c r="A11" s="2400" t="s">
        <v>2181</v>
      </c>
      <c r="B11" s="2401" t="s">
        <v>3417</v>
      </c>
      <c r="C11" s="2402"/>
      <c r="D11" s="2403"/>
      <c r="E11" s="2369"/>
      <c r="F11" s="2369"/>
      <c r="G11" s="2369"/>
      <c r="H11" s="2369"/>
      <c r="I11" s="2369"/>
      <c r="J11" s="3059"/>
      <c r="K11" s="3058"/>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7" t="s">
        <v>2576</v>
      </c>
      <c r="J12" s="3060"/>
      <c r="K12" s="2612"/>
      <c r="L12" s="2612"/>
      <c r="M12" s="2438"/>
      <c r="N12" s="2449"/>
      <c r="O12" s="2438"/>
      <c r="P12" s="2438"/>
      <c r="Q12" s="2438"/>
      <c r="AD12" s="1744"/>
    </row>
    <row r="13" spans="1:30">
      <c r="A13" s="3421" t="s">
        <v>3332</v>
      </c>
      <c r="B13" s="2406" t="s">
        <v>2190</v>
      </c>
      <c r="C13" s="855"/>
      <c r="D13" s="855">
        <v>51270</v>
      </c>
      <c r="E13" s="855"/>
      <c r="F13" s="855"/>
      <c r="G13" s="855"/>
      <c r="H13" s="855"/>
      <c r="I13" s="855"/>
      <c r="J13" s="3060"/>
      <c r="K13" s="2612"/>
      <c r="L13" s="2612"/>
      <c r="M13" s="2438"/>
      <c r="N13" s="2449"/>
      <c r="O13" s="2438"/>
      <c r="P13" s="2438"/>
      <c r="Q13" s="2438"/>
      <c r="AD13" s="1744"/>
    </row>
    <row r="14" spans="1:30">
      <c r="A14" s="1080"/>
      <c r="B14" s="2406" t="s">
        <v>2191</v>
      </c>
      <c r="C14" s="2407"/>
      <c r="D14" s="2407">
        <v>40</v>
      </c>
      <c r="E14" s="2407"/>
      <c r="F14" s="2407"/>
      <c r="G14" s="2407"/>
      <c r="H14" s="2407"/>
      <c r="I14" s="2407"/>
      <c r="J14" s="3061"/>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15</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4"/>
    </row>
    <row r="16" spans="1:30">
      <c r="A16" s="2399" t="s">
        <v>2193</v>
      </c>
      <c r="B16" s="3532"/>
      <c r="C16" s="3533"/>
      <c r="D16" s="3534"/>
      <c r="E16" s="2412" t="s">
        <v>2194</v>
      </c>
      <c r="F16" s="3535"/>
      <c r="G16" s="3536"/>
      <c r="H16" s="3536"/>
      <c r="I16" s="3537"/>
      <c r="J16" s="2438"/>
      <c r="K16" s="2616"/>
      <c r="L16" s="2450"/>
      <c r="M16" s="2450"/>
      <c r="N16" s="2508"/>
      <c r="O16" s="2450"/>
      <c r="P16" s="2508"/>
      <c r="Q16" s="2438"/>
      <c r="R16" s="2438"/>
    </row>
    <row r="17" spans="1:28">
      <c r="A17" s="313" t="s">
        <v>2195</v>
      </c>
      <c r="B17" s="302" t="s">
        <v>2196</v>
      </c>
      <c r="C17" s="8">
        <f>'数据-汇总表'!E3</f>
        <v>456.55</v>
      </c>
      <c r="D17" s="2321" t="s">
        <v>2197</v>
      </c>
      <c r="E17" s="3538" t="s">
        <v>2198</v>
      </c>
      <c r="F17" s="3539"/>
      <c r="G17" s="3539"/>
      <c r="H17" s="3539"/>
      <c r="I17" s="3540"/>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41" t="s">
        <v>2202</v>
      </c>
      <c r="F18" s="3542"/>
      <c r="G18" s="3542"/>
      <c r="H18" s="3542"/>
      <c r="I18" s="3543"/>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8" t="s">
        <v>2206</v>
      </c>
      <c r="C20" s="3529"/>
      <c r="D20" s="3530" t="s">
        <v>2207</v>
      </c>
      <c r="E20" s="3531"/>
      <c r="F20" s="2646" t="s">
        <v>1056</v>
      </c>
      <c r="G20" s="2663"/>
      <c r="H20" s="2663"/>
      <c r="I20" s="2663"/>
      <c r="J20" s="2438"/>
      <c r="K20" s="3527"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2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2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5" t="s">
        <v>2214</v>
      </c>
      <c r="B27" s="320" t="s">
        <v>2215</v>
      </c>
      <c r="C27" s="2415" t="s">
        <v>3423</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5"/>
      <c r="B28" s="302" t="s">
        <v>2216</v>
      </c>
      <c r="C28" s="2417" t="s">
        <v>3424</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5"/>
      <c r="B29" s="302" t="s">
        <v>2217</v>
      </c>
      <c r="C29" s="2419" t="s">
        <v>3425</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6"/>
      <c r="B30" s="302" t="s">
        <v>2218</v>
      </c>
      <c r="C30" s="3517"/>
      <c r="D30" s="3518"/>
      <c r="E30" s="2663"/>
      <c r="F30" s="2663"/>
      <c r="G30" s="2663"/>
      <c r="H30" s="2663"/>
      <c r="I30" s="2663"/>
      <c r="J30" s="2438"/>
      <c r="K30" s="2615"/>
      <c r="L30" s="2612"/>
      <c r="M30" s="2612"/>
      <c r="N30" s="2438"/>
      <c r="O30" s="2449"/>
      <c r="P30" s="2438"/>
      <c r="Q30" s="2438"/>
      <c r="R30" s="2438"/>
      <c r="S30" s="2438"/>
      <c r="T30" s="2438"/>
      <c r="U30" s="2438"/>
      <c r="V30" s="2438"/>
    </row>
    <row r="31" spans="1:28">
      <c r="A31" s="3519" t="s">
        <v>2219</v>
      </c>
      <c r="B31" s="2421" t="s">
        <v>3426</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0"/>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0"/>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14" t="s">
        <v>2228</v>
      </c>
      <c r="T34" s="2427" t="str">
        <f>NUMBERSTRING(7-K34,1)&amp;"通"</f>
        <v>七通</v>
      </c>
      <c r="U34" s="2438"/>
      <c r="V34" s="2438"/>
    </row>
    <row r="35" spans="1:30">
      <c r="A35" s="2428"/>
      <c r="B35" s="3521" t="s">
        <v>2229</v>
      </c>
      <c r="C35" s="3521"/>
      <c r="D35" s="3521"/>
      <c r="E35" s="3521"/>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3"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456.55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456.55</v>
      </c>
      <c r="H5" s="13">
        <f t="shared" ref="H5:AT5" si="0">SUM(H13:H656)</f>
        <v>456.55</v>
      </c>
      <c r="I5" s="13">
        <f t="shared" si="0"/>
        <v>456.55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456.55</v>
      </c>
      <c r="BA5" s="15">
        <f t="shared" si="1"/>
        <v>456.55</v>
      </c>
      <c r="BB5" s="15">
        <f t="shared" si="1"/>
        <v>456.55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3427</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t="s">
        <v>3429</v>
      </c>
      <c r="D13" s="1624" t="s">
        <v>3428</v>
      </c>
      <c r="E13" s="13">
        <f>IF($C$3="是",ROUND($A$3*G13/$B$3,2),ROUND($A$3*(G13-AT13)/$B$3,2))</f>
        <v>0</v>
      </c>
      <c r="F13" s="29"/>
      <c r="G13" s="30">
        <f>H13+AC13+AT13</f>
        <v>266.92</v>
      </c>
      <c r="H13" s="17">
        <f>SUMIF(I$12:AB$12,"总值",I13:AB13)</f>
        <v>266.92</v>
      </c>
      <c r="I13" s="3813">
        <v>266.92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1-2层01</v>
      </c>
      <c r="AY13" s="1348">
        <f>ROUND($AY$6*AZ13/$AZ$5,2)</f>
        <v>0</v>
      </c>
      <c r="AZ13" s="13">
        <f>BA13+BL13</f>
        <v>266.92</v>
      </c>
      <c r="BA13" s="13">
        <f>SUM(BB13:BK13)</f>
        <v>266.92</v>
      </c>
      <c r="BB13" s="13">
        <f>IF($D13="是",I13-J13,0)</f>
        <v>266.92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t="s">
        <v>3430</v>
      </c>
      <c r="D14" s="1624" t="s">
        <v>3428</v>
      </c>
      <c r="E14" s="13">
        <f>IF($C$3="是",ROUND($A$3*G14/$B$3,2),ROUND($A$3*(G14-AT14)/$B$3,2))</f>
        <v>0</v>
      </c>
      <c r="F14" s="29"/>
      <c r="G14" s="30">
        <f>H14+AC14+AT14</f>
        <v>189.63</v>
      </c>
      <c r="H14" s="17">
        <f>SUMIF(I$12:AB$12,"总值",I14:AB14)</f>
        <v>189.63</v>
      </c>
      <c r="I14" s="3813">
        <v>189.63</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1-2层02</v>
      </c>
      <c r="AY14" s="1348">
        <f>ROUND($AY$6*AZ14/$AZ$5,2)</f>
        <v>0</v>
      </c>
      <c r="AZ14" s="13">
        <f>BA14+BL14</f>
        <v>189.63</v>
      </c>
      <c r="BA14" s="13">
        <f>SUM(BB14:BK14)</f>
        <v>189.63</v>
      </c>
      <c r="BB14" s="13">
        <f>IF($D14="是",I14-J14,0)</f>
        <v>189.63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3" t="s">
        <v>1131</v>
      </c>
      <c r="B2" s="3553"/>
      <c r="C2" s="3553"/>
      <c r="D2" s="795" t="s">
        <v>1107</v>
      </c>
      <c r="E2" s="1638" t="s">
        <v>1108</v>
      </c>
      <c r="F2" s="2658"/>
      <c r="G2" s="2649"/>
      <c r="H2" s="2650"/>
      <c r="I2" s="2324" t="s">
        <v>1132</v>
      </c>
      <c r="J2" s="2658"/>
      <c r="K2" s="2658"/>
      <c r="L2" s="2658"/>
      <c r="M2" s="2658"/>
      <c r="N2" s="2660"/>
      <c r="O2" s="2658"/>
      <c r="P2" s="2658"/>
    </row>
    <row r="3" spans="1:16" ht="15.75" thickBot="1">
      <c r="A3" s="3554" t="s">
        <v>1105</v>
      </c>
      <c r="B3" s="3554"/>
      <c r="C3" s="3554"/>
      <c r="D3" s="43">
        <f>'数据-基础表'!AY6</f>
        <v>0</v>
      </c>
      <c r="E3" s="43">
        <f>'数据-基础表'!AZ5</f>
        <v>456.55</v>
      </c>
      <c r="F3" s="2658"/>
      <c r="G3" s="1144"/>
      <c r="H3" s="1025" t="s">
        <v>1106</v>
      </c>
      <c r="I3" s="854" t="e">
        <f>ROUND('数据-基础表'!B3/'数据-基础表'!A3,2)</f>
        <v>#DIV/0!</v>
      </c>
      <c r="J3" s="2658"/>
      <c r="K3" s="2658"/>
      <c r="L3" s="2658"/>
      <c r="M3" s="2658"/>
      <c r="N3" s="2660"/>
      <c r="O3" s="2658"/>
      <c r="P3" s="2658"/>
    </row>
    <row r="4" spans="1:16" ht="15">
      <c r="A4" s="3555"/>
      <c r="B4" s="3556"/>
      <c r="C4" s="3557"/>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8" t="s">
        <v>1110</v>
      </c>
      <c r="C5" s="3558"/>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8" t="s">
        <v>1111</v>
      </c>
      <c r="C6" s="3558"/>
      <c r="D6" s="45">
        <f>ROUND($D$3*E6/$E$3,2)</f>
        <v>0</v>
      </c>
      <c r="E6" s="46">
        <f>E3-E5</f>
        <v>456.55</v>
      </c>
      <c r="F6" s="2658"/>
      <c r="G6" s="2652" t="s">
        <v>1112</v>
      </c>
      <c r="H6" s="1145" t="s">
        <v>1113</v>
      </c>
      <c r="I6" s="2653" t="e">
        <f>ROUND(F31/D31,2)</f>
        <v>#DIV/0!</v>
      </c>
      <c r="J6" s="2658"/>
      <c r="K6" s="2658"/>
      <c r="L6" s="2658"/>
      <c r="M6" s="2658"/>
      <c r="N6" s="2658"/>
      <c r="O6" s="2658"/>
      <c r="P6" s="2658"/>
    </row>
    <row r="7" spans="1:16" ht="15.75" thickBot="1">
      <c r="A7" s="3550"/>
      <c r="B7" s="3551"/>
      <c r="C7" s="3552"/>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456.55</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456.55</v>
      </c>
      <c r="F16" s="2658"/>
      <c r="G16" s="2659"/>
      <c r="H16" s="1647" t="s">
        <v>1135</v>
      </c>
      <c r="I16" s="1648"/>
      <c r="J16" s="1138"/>
      <c r="K16" s="3547" t="s">
        <v>1135</v>
      </c>
      <c r="L16" s="3548"/>
      <c r="M16" s="3548"/>
      <c r="N16" s="3548"/>
      <c r="O16" s="3548"/>
      <c r="P16" s="3549"/>
    </row>
    <row r="17" spans="1:19" ht="15">
      <c r="A17" s="1649" t="s">
        <v>1136</v>
      </c>
      <c r="B17" s="1650" t="s">
        <v>1137</v>
      </c>
      <c r="C17" s="1651" t="s">
        <v>1138</v>
      </c>
      <c r="D17" s="1652" t="s">
        <v>1126</v>
      </c>
      <c r="E17" s="1653" t="s">
        <v>1127</v>
      </c>
      <c r="F17" s="1654"/>
      <c r="G17" s="1655"/>
      <c r="H17" s="1656" t="s">
        <v>1139</v>
      </c>
      <c r="I17" s="1657" t="s">
        <v>1124</v>
      </c>
      <c r="J17" s="1138"/>
      <c r="K17" s="3544" t="s">
        <v>1140</v>
      </c>
      <c r="L17" s="3545"/>
      <c r="M17" s="3546"/>
      <c r="N17" s="3544" t="s">
        <v>1141</v>
      </c>
      <c r="O17" s="3545"/>
      <c r="P17" s="354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3432</v>
      </c>
      <c r="D19" s="45">
        <f>ROUND($D$3*E19/$E$3,2)</f>
        <v>0</v>
      </c>
      <c r="E19" s="53">
        <f t="shared" ref="E19:E26" si="1">SUM(F19:G19)</f>
        <v>456.55</v>
      </c>
      <c r="F19" s="2793">
        <f>'数据-基础表'!I5</f>
        <v>456.55</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456.55</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456.55</v>
      </c>
      <c r="F27" s="1139">
        <f>IF(SUM(F19:F26)=E8,SUM(F19:F26),"地上面积有误")</f>
        <v>456.55</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456.55</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456.55</v>
      </c>
      <c r="F31" s="676">
        <f>F27+F30</f>
        <v>456.55</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Y24" sqref="Y2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45793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3419</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1-2层商业</v>
      </c>
      <c r="B6" s="1712" t="str">
        <f>IF(A6=0,"","经营性")</f>
        <v>经营性</v>
      </c>
      <c r="C6" s="1713" t="s">
        <v>673</v>
      </c>
      <c r="D6" s="857">
        <f>SUMIF(项目基本情况!C$12:I$12,C6,项目基本情况!C$14:I$14)</f>
        <v>40</v>
      </c>
      <c r="E6" s="856">
        <f>IF(B6="","",SUMIF(项目基本情况!C$12:I$12,C6,项目基本情况!C$13:I$13))</f>
        <v>51270</v>
      </c>
      <c r="F6" s="64">
        <f>SUMIF(项目基本情况!C$12:I$12,C6,项目基本情况!C$15:I$15)</f>
        <v>15</v>
      </c>
      <c r="G6" s="65">
        <f>IF(ISERROR(ROUND(POWER(1+H6,D6-F6)*(POWER(1+H6,F6)-1)/(POWER(1+H6,D6)-1),3)),0,ROUND(POWER(1+H6,D6-F6)*(POWER(1+H6,F6)-1)/(POWER(1+H6,D6)-1),3))</f>
        <v>0.60499999999999998</v>
      </c>
      <c r="H6" s="731">
        <v>0.05</v>
      </c>
      <c r="I6" s="731">
        <v>5.5E-2</v>
      </c>
      <c r="J6" s="66">
        <v>7.0000000000000007E-2</v>
      </c>
      <c r="K6" s="1029">
        <f>SUMIF('数据-汇总表'!C$19:C$33,A6,'数据-汇总表'!E$19:E$33)</f>
        <v>456.55</v>
      </c>
      <c r="L6" s="732">
        <v>3000</v>
      </c>
      <c r="M6" s="67">
        <f t="shared" ref="M6:M14" si="0">ROUND(K6*L6/10000,0)</f>
        <v>137</v>
      </c>
      <c r="N6" s="730">
        <f>N21</f>
        <v>0.71</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6">
        <f>'比较法-租金商业'!C49</f>
        <v>4.0999999999999996</v>
      </c>
      <c r="V6" s="70">
        <v>0.02</v>
      </c>
      <c r="W6" s="70">
        <v>0.1</v>
      </c>
      <c r="X6" s="1039"/>
      <c r="Y6" s="71">
        <f>N6</f>
        <v>0.71</v>
      </c>
      <c r="Z6" s="72"/>
      <c r="AA6" s="66"/>
      <c r="AB6" s="66"/>
      <c r="AC6" s="1039"/>
      <c r="AD6" s="73"/>
      <c r="AE6" s="1040">
        <f ca="1">IF(AN6="",0,SUMIF(INDIRECT("'"&amp;AN6&amp;"'"&amp;"!E:E"),$AE$5,INDIRECT("'"&amp;AN6&amp;"'"&amp;"!F:F")))</f>
        <v>15</v>
      </c>
      <c r="AF6" s="1347"/>
      <c r="AG6" s="138">
        <f>IF(AF6="",0,AE6-AF6)</f>
        <v>0</v>
      </c>
      <c r="AH6" s="74"/>
      <c r="AI6" s="76">
        <v>365</v>
      </c>
      <c r="AJ6" s="77"/>
      <c r="AK6" s="78">
        <v>5.0000000000000001E-3</v>
      </c>
      <c r="AL6" s="79">
        <v>1E-3</v>
      </c>
      <c r="AM6" s="80">
        <v>0.01</v>
      </c>
      <c r="AN6" s="1714" t="s">
        <v>3433</v>
      </c>
      <c r="AO6" s="52">
        <f ca="1">SUMIF(INDIRECT("'"&amp;AN6&amp;"'"&amp;"!A:A"),"总价",INDIRECT("'"&amp;AN6&amp;"'"&amp;"!B:B"))</f>
        <v>659.52340000000004</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0.60499999999999998</v>
      </c>
      <c r="H16" s="90">
        <f>ROUND(SUMPRODUCT(H6:H13,K6:K13)/SUMPRODUCT((H6:H13&gt;0)*(K6:K13)),3)</f>
        <v>0.05</v>
      </c>
      <c r="I16" s="91"/>
      <c r="J16" s="91"/>
      <c r="K16" s="92">
        <f>SUM(K6:K15)</f>
        <v>456.55</v>
      </c>
      <c r="L16" s="93">
        <f>ROUND(M16*10000/SUM(K6:K14),0)</f>
        <v>3001</v>
      </c>
      <c r="M16" s="93">
        <f>SUM(M6:M14)</f>
        <v>137</v>
      </c>
      <c r="N16" s="94">
        <f>ROUND(SUMPRODUCT(M6:M14,N6:N14)/M16,3)</f>
        <v>0.71</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2002</v>
      </c>
      <c r="O18" s="2669"/>
      <c r="P18" s="2669"/>
      <c r="Q18" s="2669">
        <f>Q16/B20</f>
        <v>7.4999999999999997E-2</v>
      </c>
      <c r="R18" s="2669"/>
      <c r="S18" s="2669"/>
      <c r="T18" s="2669"/>
      <c r="U18" s="2669">
        <f>U6*365/'比较法-商业'!C49</f>
        <v>4.0112040313069579E-2</v>
      </c>
      <c r="V18" s="2669"/>
      <c r="W18" s="2669" t="s">
        <v>3528</v>
      </c>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2302</v>
      </c>
      <c r="D19" s="2674"/>
      <c r="E19" s="2671"/>
      <c r="F19" s="2671"/>
      <c r="G19" s="2671"/>
      <c r="H19" s="2671"/>
      <c r="I19" s="2671"/>
      <c r="J19" s="2671"/>
      <c r="K19" s="2670"/>
      <c r="L19" s="2670"/>
      <c r="M19" s="3812" t="s">
        <v>3420</v>
      </c>
      <c r="N19" s="2669">
        <f>ROUND(1-(1-0%)*(2025-N18)/60,2)</f>
        <v>0.62</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2300</v>
      </c>
      <c r="D20" s="2674"/>
      <c r="E20" s="2671"/>
      <c r="F20" s="2671"/>
      <c r="G20" s="2671"/>
      <c r="H20" s="2671"/>
      <c r="I20" s="2671"/>
      <c r="J20" s="2671"/>
      <c r="K20" s="2670"/>
      <c r="L20" s="2670"/>
      <c r="M20" s="3812" t="s">
        <v>3421</v>
      </c>
      <c r="N20" s="2669">
        <v>0.8</v>
      </c>
      <c r="O20" s="2669"/>
      <c r="P20" s="2669"/>
      <c r="Q20" s="2669"/>
      <c r="R20" s="3812"/>
      <c r="S20" s="3825" t="s">
        <v>3507</v>
      </c>
      <c r="T20" s="3825" t="s">
        <v>3506</v>
      </c>
      <c r="U20" s="3825" t="s">
        <v>3508</v>
      </c>
      <c r="V20" s="3825" t="s">
        <v>3529</v>
      </c>
      <c r="W20" s="3825"/>
      <c r="X20" s="2670"/>
      <c r="Y20" s="2670"/>
      <c r="Z20" s="2670"/>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3812" t="s">
        <v>3422</v>
      </c>
      <c r="N21" s="2669">
        <f>ROUND((N19+N20)/2,2)</f>
        <v>0.71</v>
      </c>
      <c r="O21" s="2669"/>
      <c r="P21" s="2669"/>
      <c r="Q21" s="2669"/>
      <c r="R21" s="2669"/>
      <c r="S21" s="2670" t="s">
        <v>3511</v>
      </c>
      <c r="T21" s="2670">
        <f>10*12+10*8</f>
        <v>200</v>
      </c>
      <c r="U21" s="2670">
        <v>1</v>
      </c>
      <c r="V21" s="2670">
        <v>5</v>
      </c>
      <c r="W21" s="2670">
        <f>V21*T21</f>
        <v>1000</v>
      </c>
      <c r="X21" s="2670"/>
      <c r="Y21" s="2670"/>
      <c r="Z21" s="2670"/>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2669"/>
      <c r="S22" s="2670" t="s">
        <v>3512</v>
      </c>
      <c r="T22" s="2670">
        <f>'数据-汇总表'!F19-'数据-取费表'!T21</f>
        <v>256.55</v>
      </c>
      <c r="U22" s="2670">
        <v>0.7</v>
      </c>
      <c r="V22" s="2670">
        <f>V21*U22</f>
        <v>3.5</v>
      </c>
      <c r="W22" s="2670">
        <f>V22*T22</f>
        <v>897.92500000000007</v>
      </c>
      <c r="X22" s="2670"/>
      <c r="Y22" s="2670"/>
      <c r="Z22" s="2670"/>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3825" t="s">
        <v>3510</v>
      </c>
      <c r="T23" s="3825">
        <f>T21+T22</f>
        <v>456.55</v>
      </c>
      <c r="U23" s="2670"/>
      <c r="V23" s="2670">
        <f>ROUND(W23/T23,1)</f>
        <v>4.2</v>
      </c>
      <c r="W23" s="2670">
        <f>W21+W22</f>
        <v>1897.9250000000002</v>
      </c>
      <c r="X23" s="2670"/>
      <c r="Y23" s="2670"/>
      <c r="Z23" s="2670"/>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70"/>
      <c r="T24" s="2670"/>
      <c r="U24" s="2670"/>
      <c r="V24" s="2670"/>
      <c r="W24" s="2670"/>
      <c r="X24" s="2670"/>
      <c r="Y24" s="2670"/>
      <c r="Z24" s="2670"/>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70"/>
      <c r="T25" s="2670"/>
      <c r="U25" s="2670"/>
      <c r="V25" s="2670"/>
      <c r="W25" s="2670"/>
      <c r="X25" s="2670"/>
      <c r="Y25" s="2670"/>
      <c r="Z25" s="2670"/>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70"/>
      <c r="T26" s="2670"/>
      <c r="U26" s="2670"/>
      <c r="V26" s="2670"/>
      <c r="W26" s="2670"/>
      <c r="X26" s="2670"/>
      <c r="Y26" s="2670"/>
      <c r="Z26" s="2670"/>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v>160</v>
      </c>
      <c r="C27" s="2799" t="s">
        <v>2304</v>
      </c>
      <c r="D27" s="2677"/>
      <c r="E27" s="2660"/>
      <c r="F27" s="2660"/>
      <c r="G27" s="2671"/>
      <c r="H27" s="2671"/>
      <c r="I27" s="2671"/>
      <c r="J27" s="2671"/>
      <c r="K27" s="2670"/>
      <c r="L27" s="2670"/>
      <c r="M27" s="2669"/>
      <c r="N27" s="2669"/>
      <c r="O27" s="2669"/>
      <c r="P27" s="2669"/>
      <c r="Q27" s="2669"/>
      <c r="R27" s="2669"/>
      <c r="S27" s="2670"/>
      <c r="T27" s="2670"/>
      <c r="U27" s="2670"/>
      <c r="V27" s="2670"/>
      <c r="W27" s="2670"/>
      <c r="X27" s="2670"/>
      <c r="Y27" s="2670"/>
      <c r="Z27" s="2670"/>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60"/>
      <c r="F28" s="2660"/>
      <c r="G28" s="2671"/>
      <c r="H28" s="2671"/>
      <c r="I28" s="2671"/>
      <c r="J28" s="2671"/>
      <c r="K28" s="2670"/>
      <c r="L28" s="2670"/>
      <c r="M28" s="2669"/>
      <c r="N28" s="2669"/>
      <c r="O28" s="2669"/>
      <c r="P28" s="2669"/>
      <c r="Q28" s="2669"/>
      <c r="R28" s="2669"/>
      <c r="S28" s="2670"/>
      <c r="T28" s="2670"/>
      <c r="U28" s="2670"/>
      <c r="V28" s="2670"/>
      <c r="W28" s="2670"/>
      <c r="X28" s="2670"/>
      <c r="Y28" s="2670"/>
      <c r="Z28" s="2670"/>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0" t="s">
        <v>2294</v>
      </c>
      <c r="D29" s="2677"/>
      <c r="E29" s="2660"/>
      <c r="F29" s="2660"/>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60"/>
      <c r="F30" s="2660"/>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1" t="s">
        <v>3383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1" t="s">
        <v>2295</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2296</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1" t="s">
        <v>3401</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0.03</v>
      </c>
      <c r="C37" s="2801" t="s">
        <v>3384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3385</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2310</v>
      </c>
      <c r="B40" s="1077">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0.05</v>
      </c>
      <c r="C44" s="2801" t="s">
        <v>3386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c r="C53" s="2660"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9" t="s">
        <v>2286</v>
      </c>
      <c r="B1" s="3560"/>
      <c r="C1" s="3560"/>
      <c r="D1" s="3560"/>
      <c r="E1" s="3560"/>
      <c r="F1" s="3560"/>
      <c r="G1" s="356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I15" sqref="I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456.55</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45793</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1390</v>
      </c>
      <c r="C5" s="2511">
        <f ca="1">IF(B5=D14,结果表!H102,ROUND(B5*10000/$B$1,0))</f>
        <v>30449</v>
      </c>
      <c r="D5" s="2511" t="e">
        <f ca="1">ROUND(B5*10000/$B$2,0)</f>
        <v>#DIV/0!</v>
      </c>
      <c r="E5" s="2684"/>
      <c r="F5" s="2685"/>
      <c r="G5" s="2685"/>
      <c r="H5" s="2686"/>
      <c r="I5" s="2686"/>
      <c r="J5" s="2686"/>
      <c r="K5" s="2686"/>
    </row>
    <row r="6" spans="1:11" ht="16.5">
      <c r="A6" s="2511" t="s">
        <v>656</v>
      </c>
      <c r="B6" s="2511">
        <f ca="1">SUM(G14:G23)</f>
        <v>1390</v>
      </c>
      <c r="C6" s="2511">
        <f ca="1">IF(B6=G14,结果表!H108,ROUND(B6*10000/$B$1,0))</f>
        <v>30449</v>
      </c>
      <c r="D6" s="2511" t="e">
        <f ca="1">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 ca="1">SUM(I14:I23)</f>
        <v>1356</v>
      </c>
      <c r="C8" s="2511" t="str">
        <f ca="1">IF(B8=I14,结果表!H112,ROUND(B8*10000/$B$1,0))</f>
        <v>——</v>
      </c>
      <c r="D8" s="2511" t="e">
        <f ca="1">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3356</v>
      </c>
      <c r="D10" s="2511" t="s">
        <v>3357</v>
      </c>
      <c r="E10" s="3439"/>
      <c r="F10" s="3443" t="s">
        <v>3358</v>
      </c>
      <c r="G10" s="3440"/>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'数据-汇总表'!E3</f>
        <v>456.55</v>
      </c>
      <c r="C14" s="2517"/>
      <c r="D14" s="2517">
        <f ca="1">结果表!G19</f>
        <v>1390</v>
      </c>
      <c r="E14" s="2517">
        <f ca="1">结果表!G20</f>
        <v>30449</v>
      </c>
      <c r="F14" s="2517" t="e">
        <f ca="1">ROUND(D14*10000/C14,0)</f>
        <v>#DIV/0!</v>
      </c>
      <c r="G14" s="2517">
        <f ca="1">D14</f>
        <v>1390</v>
      </c>
      <c r="H14" s="2517"/>
      <c r="I14" s="2517">
        <f ca="1">结果表!N59</f>
        <v>1356</v>
      </c>
      <c r="J14" s="2685"/>
      <c r="K14" s="2686"/>
    </row>
    <row r="15" spans="1:11" ht="16.5">
      <c r="A15" s="2516" t="s">
        <v>649</v>
      </c>
      <c r="B15" s="2518"/>
      <c r="C15" s="2518"/>
      <c r="D15" s="2518"/>
      <c r="E15" s="2517" t="e">
        <f t="shared" ref="E15:E23" si="0">ROUND(D15*10000/B15,0)</f>
        <v>#DIV/0!</v>
      </c>
      <c r="F15" s="2517" t="e">
        <f t="shared" ref="F15:F23" si="1">ROUND(D15*10000/C15,0)</f>
        <v>#DIV/0!</v>
      </c>
      <c r="G15" s="1330"/>
      <c r="H15" s="1330"/>
      <c r="I15" s="2518"/>
      <c r="J15" s="2685"/>
      <c r="K15" s="2686"/>
    </row>
    <row r="16" spans="1:11" ht="16.5">
      <c r="A16" s="2516" t="s">
        <v>648</v>
      </c>
      <c r="B16" s="2518"/>
      <c r="C16" s="2518"/>
      <c r="D16" s="2518"/>
      <c r="E16" s="2517" t="e">
        <f t="shared" si="0"/>
        <v>#DIV/0!</v>
      </c>
      <c r="F16" s="2517" t="e">
        <f t="shared" si="1"/>
        <v>#DIV/0!</v>
      </c>
      <c r="G16" s="1330"/>
      <c r="H16" s="1330"/>
      <c r="I16" s="2518"/>
      <c r="J16" s="2686"/>
      <c r="K16" s="2686"/>
    </row>
    <row r="17" spans="1:11" ht="16.5">
      <c r="A17" s="2516" t="s">
        <v>647</v>
      </c>
      <c r="B17" s="2518"/>
      <c r="C17" s="2518"/>
      <c r="D17" s="2518"/>
      <c r="E17" s="2517" t="e">
        <f t="shared" si="0"/>
        <v>#DIV/0!</v>
      </c>
      <c r="F17" s="2517" t="e">
        <f t="shared" si="1"/>
        <v>#DIV/0!</v>
      </c>
      <c r="G17" s="1330"/>
      <c r="H17" s="1330"/>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D52" zoomScaleNormal="100" zoomScaleSheetLayoutView="100" zoomScalePageLayoutView="80" workbookViewId="0">
      <selection activeCell="N61" sqref="N61"/>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5" t="str">
        <f>项目基本情况!S2</f>
        <v>北京市大兴区黄村镇兴业大街76号楼1至2层1、2号商业用房房地产</v>
      </c>
      <c r="B2" s="3596"/>
      <c r="C2" s="3596"/>
      <c r="D2" s="3596"/>
      <c r="E2" s="3596"/>
      <c r="F2" s="3596"/>
      <c r="G2" s="3596"/>
      <c r="H2" s="3596"/>
      <c r="I2" s="3597"/>
    </row>
    <row r="3" spans="1:12" ht="12.75">
      <c r="A3" s="3599" t="s">
        <v>1264</v>
      </c>
      <c r="B3" s="3600"/>
      <c r="C3" s="3600"/>
      <c r="D3" s="3600"/>
      <c r="E3" s="3600"/>
      <c r="F3" s="3600"/>
      <c r="G3" s="3600"/>
      <c r="H3" s="3600"/>
      <c r="I3" s="3600"/>
    </row>
    <row r="4" spans="1:12" ht="14.25">
      <c r="A4" s="1753" t="s">
        <v>1265</v>
      </c>
      <c r="B4" s="1754" t="s">
        <v>1266</v>
      </c>
      <c r="C4" s="1755" t="s">
        <v>3437</v>
      </c>
      <c r="D4" s="1755" t="s">
        <v>3433</v>
      </c>
      <c r="E4" s="3601" t="s">
        <v>1267</v>
      </c>
      <c r="F4" s="3602"/>
      <c r="G4" s="3602"/>
      <c r="H4" s="3602"/>
      <c r="I4" s="360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1268</v>
      </c>
      <c r="B5" s="3562">
        <v>25</v>
      </c>
      <c r="C5" s="3578"/>
      <c r="D5" s="3598"/>
      <c r="E5" s="131" t="s">
        <v>1269</v>
      </c>
      <c r="F5" s="1756"/>
      <c r="G5" s="1756"/>
      <c r="H5" s="1756"/>
      <c r="I5" s="1372"/>
    </row>
    <row r="6" spans="1:12" ht="12.75">
      <c r="A6" s="3575"/>
      <c r="B6" s="3562"/>
      <c r="C6" s="3579"/>
      <c r="D6" s="3598"/>
      <c r="E6" s="131" t="s">
        <v>1270</v>
      </c>
      <c r="F6" s="1756"/>
      <c r="G6" s="1756"/>
      <c r="H6" s="1756"/>
      <c r="I6" s="1372"/>
    </row>
    <row r="7" spans="1:12" ht="12.75">
      <c r="A7" s="3575"/>
      <c r="B7" s="3562"/>
      <c r="C7" s="3580"/>
      <c r="D7" s="3598"/>
      <c r="E7" s="131" t="s">
        <v>1271</v>
      </c>
      <c r="F7" s="1756"/>
      <c r="G7" s="1756"/>
      <c r="H7" s="1756"/>
      <c r="I7" s="1372"/>
    </row>
    <row r="8" spans="1:12" ht="12.75">
      <c r="A8" s="3575" t="s">
        <v>1272</v>
      </c>
      <c r="B8" s="3562">
        <v>15</v>
      </c>
      <c r="C8" s="3578"/>
      <c r="D8" s="3598"/>
      <c r="E8" s="131" t="s">
        <v>1273</v>
      </c>
      <c r="F8" s="1756"/>
      <c r="G8" s="1756"/>
      <c r="H8" s="1756"/>
      <c r="I8" s="1372"/>
    </row>
    <row r="9" spans="1:12" ht="12.75">
      <c r="A9" s="3575"/>
      <c r="B9" s="3562"/>
      <c r="C9" s="3580"/>
      <c r="D9" s="3598"/>
      <c r="E9" s="131" t="s">
        <v>1274</v>
      </c>
      <c r="F9" s="1756"/>
      <c r="G9" s="1756"/>
      <c r="H9" s="1756"/>
      <c r="I9" s="1372"/>
    </row>
    <row r="10" spans="1:12" ht="12.75">
      <c r="A10" s="3575" t="s">
        <v>1275</v>
      </c>
      <c r="B10" s="3562">
        <v>15</v>
      </c>
      <c r="C10" s="3578"/>
      <c r="D10" s="3598"/>
      <c r="E10" s="131" t="s">
        <v>1276</v>
      </c>
      <c r="F10" s="1756"/>
      <c r="G10" s="1756"/>
      <c r="H10" s="1756"/>
      <c r="I10" s="1372"/>
    </row>
    <row r="11" spans="1:12" ht="12.75">
      <c r="A11" s="3575"/>
      <c r="B11" s="3562"/>
      <c r="C11" s="3580"/>
      <c r="D11" s="3598"/>
      <c r="E11" s="131" t="s">
        <v>1277</v>
      </c>
      <c r="F11" s="1756"/>
      <c r="G11" s="1756"/>
      <c r="H11" s="1756"/>
      <c r="I11" s="1372"/>
    </row>
    <row r="12" spans="1:12" ht="12.75">
      <c r="A12" s="3575" t="s">
        <v>1278</v>
      </c>
      <c r="B12" s="3562">
        <v>15</v>
      </c>
      <c r="C12" s="3578"/>
      <c r="D12" s="3598"/>
      <c r="E12" s="131" t="s">
        <v>1279</v>
      </c>
      <c r="F12" s="1756"/>
      <c r="G12" s="1756"/>
      <c r="H12" s="1756"/>
      <c r="I12" s="1372"/>
    </row>
    <row r="13" spans="1:12" ht="12.75">
      <c r="A13" s="3575"/>
      <c r="B13" s="3562"/>
      <c r="C13" s="3580"/>
      <c r="D13" s="3598"/>
      <c r="E13" s="131" t="s">
        <v>1280</v>
      </c>
      <c r="F13" s="1756"/>
      <c r="G13" s="1756"/>
      <c r="H13" s="1756"/>
      <c r="I13" s="1372"/>
    </row>
    <row r="14" spans="1:12" ht="12.75">
      <c r="A14" s="3575" t="s">
        <v>1281</v>
      </c>
      <c r="B14" s="3562">
        <v>30</v>
      </c>
      <c r="C14" s="3578">
        <v>7</v>
      </c>
      <c r="D14" s="3598">
        <v>3</v>
      </c>
      <c r="E14" s="131" t="s">
        <v>1282</v>
      </c>
      <c r="F14" s="1756"/>
      <c r="G14" s="1756"/>
      <c r="H14" s="1756"/>
      <c r="I14" s="1372"/>
    </row>
    <row r="15" spans="1:12" ht="12.75">
      <c r="A15" s="3575"/>
      <c r="B15" s="3562"/>
      <c r="C15" s="3579"/>
      <c r="D15" s="3598"/>
      <c r="E15" s="131" t="s">
        <v>1283</v>
      </c>
      <c r="F15" s="1756"/>
      <c r="G15" s="1756"/>
      <c r="H15" s="1756"/>
      <c r="I15" s="1372"/>
    </row>
    <row r="16" spans="1:12" ht="12.75">
      <c r="A16" s="3575"/>
      <c r="B16" s="3562"/>
      <c r="C16" s="3580"/>
      <c r="D16" s="3598"/>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585" t="s">
        <v>2131</v>
      </c>
      <c r="F18" s="3586"/>
      <c r="G18" s="3586"/>
      <c r="H18" s="3586"/>
      <c r="I18" s="3586"/>
      <c r="K18" s="302" t="s">
        <v>1289</v>
      </c>
      <c r="L18" s="302">
        <f>IF(C1="",'数据-汇总表'!E3,SUMIF(项目类型,C1,'数据-汇总表'!E17:E26)+SUMIF(项目类型,C1,'数据-汇总表'!I17:I26))</f>
        <v>456.55</v>
      </c>
      <c r="M18" s="302">
        <f>IF(C1="",'数据-汇总表'!E3,SUMIF(项目类型,C1,'数据-汇总表'!E17:E26))</f>
        <v>456.55</v>
      </c>
    </row>
    <row r="19" spans="1:36" ht="15">
      <c r="A19" s="1760" t="s">
        <v>1290</v>
      </c>
      <c r="B19" s="1761" t="s">
        <v>1291</v>
      </c>
      <c r="C19" s="134">
        <f ca="1">SUMIF(INDIRECT("'"&amp;C4&amp;"'"&amp;"!A:A"),结果表!B19,INDIRECT("'"&amp;C4&amp;"'"&amp;"!B:B"))</f>
        <v>1703.2967000000001</v>
      </c>
      <c r="D19" s="135">
        <f ca="1">SUMIF(INDIRECT("'"&amp;D4&amp;"'"&amp;"!A:A"),结果表!B19,INDIRECT("'"&amp;D4&amp;"'"&amp;"!B:B"))</f>
        <v>659.52340000000004</v>
      </c>
      <c r="E19" s="1760" t="s">
        <v>1292</v>
      </c>
      <c r="F19" s="1761" t="s">
        <v>1291</v>
      </c>
      <c r="G19" s="136">
        <f ca="1">ROUND(C19*$C$18+D19*$D$18,0)</f>
        <v>1390</v>
      </c>
      <c r="H19" s="1762" t="s">
        <v>1293</v>
      </c>
      <c r="I19" s="129"/>
      <c r="J19" s="3820" t="s">
        <v>3495</v>
      </c>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37308</v>
      </c>
      <c r="D20" s="138">
        <f ca="1">SUMIF(INDIRECT("'"&amp;D4&amp;"'"&amp;"!A:A"),结果表!B20,INDIRECT("'"&amp;D4&amp;"'"&amp;"!B:B"))</f>
        <v>14446</v>
      </c>
      <c r="E20" s="1763"/>
      <c r="F20" s="1025" t="s">
        <v>1295</v>
      </c>
      <c r="G20" s="139">
        <f ca="1">ROUND(C20*$C$18+D20*$D$18,0)</f>
        <v>30449</v>
      </c>
      <c r="H20" s="807" t="s">
        <v>1296</v>
      </c>
      <c r="I20" s="129"/>
      <c r="J20" s="724">
        <v>31722</v>
      </c>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1.5826175386650418</v>
      </c>
      <c r="E22" s="129"/>
      <c r="F22" s="129"/>
      <c r="G22" s="129"/>
      <c r="H22" s="129"/>
      <c r="I22" s="129"/>
    </row>
    <row r="23" spans="1:36" ht="13.5" thickBot="1">
      <c r="A23" s="1746"/>
      <c r="B23" s="1746"/>
      <c r="C23" s="1746"/>
      <c r="D23" s="1746"/>
      <c r="E23" s="129"/>
      <c r="F23" s="129"/>
      <c r="G23" s="129"/>
      <c r="H23" s="129"/>
      <c r="I23" s="129"/>
    </row>
    <row r="24" spans="1:36" ht="14.25">
      <c r="A24" s="3569" t="s">
        <v>1299</v>
      </c>
      <c r="B24" s="1761" t="s">
        <v>1291</v>
      </c>
      <c r="C24" s="136">
        <f>IF(B30=0,0,D30)</f>
        <v>0</v>
      </c>
      <c r="D24" s="1768"/>
      <c r="E24" s="129"/>
      <c r="F24" s="129"/>
      <c r="G24" s="129"/>
      <c r="H24" s="129"/>
      <c r="I24" s="129"/>
    </row>
    <row r="25" spans="1:36" ht="14.25">
      <c r="A25" s="3570"/>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30449</v>
      </c>
      <c r="D32" s="1774" t="s">
        <v>3438</v>
      </c>
      <c r="E32" s="129"/>
      <c r="F32" s="129"/>
      <c r="G32" s="129"/>
      <c r="H32" s="129"/>
      <c r="I32" s="129"/>
    </row>
    <row r="33" spans="1:15" ht="15">
      <c r="A33" s="785" t="s">
        <v>1306</v>
      </c>
      <c r="B33" s="1775"/>
      <c r="C33" s="1776" t="s">
        <v>3439</v>
      </c>
      <c r="D33" s="1777" t="s">
        <v>3433</v>
      </c>
      <c r="E33" s="1778" t="s">
        <v>1307</v>
      </c>
      <c r="F33" s="1779" t="str">
        <f>IF(D32="楼面单价","取值（单价）","取值（总价）")</f>
        <v>取值（单价）</v>
      </c>
      <c r="G33" s="129"/>
      <c r="H33" s="129"/>
      <c r="I33" s="129"/>
    </row>
    <row r="34" spans="1:15" ht="15">
      <c r="A34" s="1780"/>
      <c r="B34" s="1781" t="s">
        <v>1308</v>
      </c>
      <c r="C34" s="148">
        <f ca="1">IF(C33="自定义",F34,C32-C35)</f>
        <v>24877</v>
      </c>
      <c r="D34" s="860">
        <f ca="1">IF(C33="自定义",ROUND(C34/C32,3),IF(C33="收益比率",SUMIF(INDIRECT("'"&amp;D33&amp;"'"&amp;"!b:b"),"土地收益比率",INDIRECT("'"&amp;D33&amp;"'"&amp;"!c:c")),SUMIF(INDIRECT("'"&amp;D33&amp;"'"&amp;"!b:b"),"土地成本比率",INDIRECT("'"&amp;D33&amp;"'"&amp;"!c:c"))))</f>
        <v>0.81699999999999995</v>
      </c>
      <c r="E34" s="1782" t="s">
        <v>1309</v>
      </c>
      <c r="F34" s="1329"/>
      <c r="G34" s="129"/>
      <c r="H34" s="129"/>
      <c r="I34" s="129"/>
    </row>
    <row r="35" spans="1:15" ht="15.75" thickBot="1">
      <c r="A35" s="1783"/>
      <c r="B35" s="1784" t="s">
        <v>1310</v>
      </c>
      <c r="C35" s="1169">
        <f ca="1">IF(C33="自定义",F35,ROUND(C32*D35,0))</f>
        <v>5572</v>
      </c>
      <c r="D35" s="1170">
        <f ca="1">IF(C33="自定义",ROUND(C35/C32,3),IF(C33="收益比率",SUMIF(INDIRECT("'"&amp;D33&amp;"'"&amp;"!b:b"),"建筑物收益比率",INDIRECT("'"&amp;D33&amp;"'"&amp;"!c:c")),SUMIF(INDIRECT("'"&amp;D33&amp;"'"&amp;"!b:b"),"建筑物成本比率",INDIRECT("'"&amp;D33&amp;"'"&amp;"!c:c"))))</f>
        <v>0.183</v>
      </c>
      <c r="E35" s="1785" t="s">
        <v>1311</v>
      </c>
      <c r="F35" s="154"/>
      <c r="G35" s="129"/>
      <c r="H35" s="129"/>
      <c r="I35" s="129"/>
    </row>
    <row r="36" spans="1:15" ht="15.75" thickBot="1">
      <c r="A36" s="3589" t="s">
        <v>1312</v>
      </c>
      <c r="B36" s="1786" t="s">
        <v>1313</v>
      </c>
      <c r="C36" s="145"/>
      <c r="D36" s="1787"/>
      <c r="E36" s="1788"/>
      <c r="F36" s="1789"/>
      <c r="G36" s="129"/>
      <c r="H36" s="129"/>
      <c r="I36" s="129"/>
    </row>
    <row r="37" spans="1:15" ht="15.75" thickBot="1">
      <c r="A37" s="3590"/>
      <c r="B37" s="1673" t="s">
        <v>1314</v>
      </c>
      <c r="C37" s="147"/>
      <c r="D37" s="1138"/>
      <c r="E37" s="1138"/>
      <c r="F37" s="1789"/>
      <c r="G37" s="129"/>
      <c r="H37" s="129"/>
      <c r="I37" s="129"/>
    </row>
    <row r="38" spans="1:15" ht="15.75" thickBot="1">
      <c r="A38" s="3591"/>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6" t="s">
        <v>1326</v>
      </c>
      <c r="B45" s="3567"/>
      <c r="C45" s="3568"/>
      <c r="D45" s="155">
        <f ca="1">ROUND(H101*F45,0)</f>
        <v>1390</v>
      </c>
      <c r="E45" s="156" t="s">
        <v>1327</v>
      </c>
      <c r="F45" s="157">
        <v>1</v>
      </c>
      <c r="G45" s="158" t="s">
        <v>1328</v>
      </c>
      <c r="H45" s="129"/>
      <c r="I45" s="129"/>
      <c r="J45" s="3644" t="s">
        <v>1329</v>
      </c>
      <c r="K45" s="3644"/>
      <c r="L45" s="3644"/>
      <c r="M45" s="3644"/>
      <c r="N45" s="3644"/>
      <c r="O45" s="3644"/>
    </row>
    <row r="46" spans="1:15" ht="14.25" customHeight="1">
      <c r="A46" s="3563" t="s">
        <v>1330</v>
      </c>
      <c r="B46" s="3564"/>
      <c r="C46" s="3564"/>
      <c r="D46" s="3564"/>
      <c r="E46" s="3564"/>
      <c r="F46" s="3564"/>
      <c r="G46" s="3565"/>
      <c r="H46" s="1805"/>
      <c r="I46" s="159"/>
      <c r="J46" s="2522">
        <v>1</v>
      </c>
      <c r="K46" s="3625" t="s">
        <v>1331</v>
      </c>
      <c r="L46" s="3625"/>
      <c r="M46" s="3645"/>
      <c r="N46" s="3645"/>
      <c r="O46" s="3645"/>
    </row>
    <row r="47" spans="1:15" ht="12" customHeight="1">
      <c r="A47" s="160" t="s">
        <v>1332</v>
      </c>
      <c r="B47" s="161"/>
      <c r="C47" s="162"/>
      <c r="D47" s="1086" t="s">
        <v>1333</v>
      </c>
      <c r="E47" s="302" t="s">
        <v>1334</v>
      </c>
      <c r="F47" s="163" t="s">
        <v>1335</v>
      </c>
      <c r="G47" s="2545" t="s">
        <v>1336</v>
      </c>
      <c r="H47" s="2546"/>
      <c r="I47" s="159"/>
      <c r="J47" s="2522">
        <v>2</v>
      </c>
      <c r="K47" s="3625" t="s">
        <v>1337</v>
      </c>
      <c r="L47" s="3625"/>
      <c r="M47" s="3646">
        <f>'数据-取费表'!B2</f>
        <v>45793</v>
      </c>
      <c r="N47" s="3646"/>
      <c r="O47" s="3646"/>
    </row>
    <row r="48" spans="1:15" ht="25.5">
      <c r="A48" s="3594" t="s">
        <v>1338</v>
      </c>
      <c r="B48" s="3577"/>
      <c r="C48" s="3577"/>
      <c r="D48" s="2323">
        <f ca="1">IF(H48="情况1",0,IF(H48="情况2",D52,IF(H48="情况3",D53,IF(H48="情况4",D54))))</f>
        <v>7</v>
      </c>
      <c r="E48" s="2333" t="str">
        <f>IF(H48="情况4","(销售额-原购置价)×税（费）率","销售额×税（费）率")</f>
        <v>(销售额-原购置价)×税（费）率</v>
      </c>
      <c r="F48" s="2547">
        <f>IF(H48="情况1","免征",'数据-取费表'!B41)</f>
        <v>5.5000000000000007E-2</v>
      </c>
      <c r="G48" s="2548" t="s">
        <v>1339</v>
      </c>
      <c r="H48" s="2549" t="s">
        <v>3440</v>
      </c>
      <c r="I48" s="1805"/>
      <c r="J48" s="2522">
        <v>3</v>
      </c>
      <c r="K48" s="3625" t="s">
        <v>1340</v>
      </c>
      <c r="L48" s="3625"/>
      <c r="M48" s="3647">
        <f ca="1">H101</f>
        <v>1390</v>
      </c>
      <c r="N48" s="3647"/>
      <c r="O48" s="3647"/>
    </row>
    <row r="49" spans="1:35" ht="25.5" customHeight="1">
      <c r="A49" s="2332" t="s">
        <v>1341</v>
      </c>
      <c r="B49" s="3561" t="s">
        <v>1342</v>
      </c>
      <c r="C49" s="3561"/>
      <c r="D49" s="1589">
        <v>0</v>
      </c>
      <c r="E49" s="324" t="s">
        <v>1343</v>
      </c>
      <c r="F49" s="2423" t="s">
        <v>28</v>
      </c>
      <c r="G49" s="3631"/>
      <c r="H49" s="2309" t="s">
        <v>2134</v>
      </c>
      <c r="I49" s="2310"/>
      <c r="J49" s="2522">
        <v>4</v>
      </c>
      <c r="K49" s="3625" t="str">
        <f>IF(项目基本情况!E8="房地产抵押价值","房地产抵押价值","抵押担保权已注销时的房地产抵押价值")</f>
        <v>房地产抵押价值</v>
      </c>
      <c r="L49" s="3625"/>
      <c r="M49" s="3647">
        <f ca="1">IF(项目基本情况!E8="房地产抵押价值",H107,H109)</f>
        <v>1390</v>
      </c>
      <c r="N49" s="3647"/>
      <c r="O49" s="3647"/>
    </row>
    <row r="50" spans="1:35" ht="25.5" customHeight="1">
      <c r="A50" s="2550"/>
      <c r="B50" s="3561" t="s">
        <v>1344</v>
      </c>
      <c r="C50" s="3561"/>
      <c r="D50" s="2551"/>
      <c r="E50" s="332"/>
      <c r="F50" s="2423"/>
      <c r="G50" s="3632"/>
      <c r="H50" s="2311" t="s">
        <v>2135</v>
      </c>
      <c r="I50" s="2310"/>
      <c r="J50" s="3644" t="s">
        <v>1345</v>
      </c>
      <c r="K50" s="3644"/>
      <c r="L50" s="3644"/>
      <c r="M50" s="3644"/>
      <c r="N50" s="3644"/>
      <c r="O50" s="3644"/>
    </row>
    <row r="51" spans="1:35" ht="20.45" customHeight="1">
      <c r="A51" s="2552"/>
      <c r="B51" s="3561" t="s">
        <v>1346</v>
      </c>
      <c r="C51" s="3561"/>
      <c r="D51" s="1086"/>
      <c r="E51" s="327"/>
      <c r="F51" s="2423"/>
      <c r="G51" s="3633"/>
      <c r="H51" s="2311" t="s">
        <v>2136</v>
      </c>
      <c r="I51" s="2310"/>
      <c r="J51" s="2523" t="s">
        <v>1347</v>
      </c>
      <c r="K51" s="3625" t="s">
        <v>1348</v>
      </c>
      <c r="L51" s="3625"/>
      <c r="M51" s="2523" t="s">
        <v>1349</v>
      </c>
      <c r="N51" s="2523" t="s">
        <v>1350</v>
      </c>
      <c r="O51" s="2523" t="s">
        <v>1351</v>
      </c>
    </row>
    <row r="52" spans="1:35" ht="24" customHeight="1">
      <c r="A52" s="2334" t="s">
        <v>1352</v>
      </c>
      <c r="B52" s="3561" t="s">
        <v>1353</v>
      </c>
      <c r="C52" s="3561"/>
      <c r="D52" s="1086">
        <f ca="1">ROUND(D45*'数据-取费表'!B41/(1+'数据-取费表'!C42),0)</f>
        <v>73</v>
      </c>
      <c r="E52" s="2333" t="s">
        <v>1354</v>
      </c>
      <c r="F52" s="2553">
        <f>'数据-取费表'!B41</f>
        <v>5.5000000000000007E-2</v>
      </c>
      <c r="G52" s="2554"/>
      <c r="H52" s="2543"/>
      <c r="I52" s="1806"/>
      <c r="J52" s="2522">
        <v>1</v>
      </c>
      <c r="K52" s="3626" t="s">
        <v>1355</v>
      </c>
      <c r="L52" s="3626"/>
      <c r="M52" s="2524">
        <f ca="1">D48</f>
        <v>7</v>
      </c>
      <c r="N52" s="2522" t="str">
        <f>E48</f>
        <v>(销售额-原购置价)×税（费）率</v>
      </c>
      <c r="O52" s="2525">
        <f>F48</f>
        <v>5.5000000000000007E-2</v>
      </c>
    </row>
    <row r="53" spans="1:35" ht="12" customHeight="1">
      <c r="A53" s="2334" t="s">
        <v>1356</v>
      </c>
      <c r="B53" s="3587" t="s">
        <v>2291</v>
      </c>
      <c r="C53" s="3588"/>
      <c r="D53" s="1086">
        <f ca="1">ROUND(D45*'数据-取费表'!B41/(1+'数据-取费表'!C42),0)</f>
        <v>73</v>
      </c>
      <c r="E53" s="2333" t="s">
        <v>1354</v>
      </c>
      <c r="F53" s="2553">
        <f>'数据-取费表'!B41</f>
        <v>5.5000000000000007E-2</v>
      </c>
      <c r="G53" s="2554"/>
      <c r="H53" s="2543"/>
      <c r="I53" s="1806"/>
      <c r="J53" s="2522">
        <v>2</v>
      </c>
      <c r="K53" s="3626" t="s">
        <v>1357</v>
      </c>
      <c r="L53" s="3626"/>
      <c r="M53" s="2524">
        <f t="shared" ref="M53:O54" ca="1" si="0">D55</f>
        <v>1</v>
      </c>
      <c r="N53" s="2522" t="str">
        <f t="shared" si="0"/>
        <v>销售额×税（费）率</v>
      </c>
      <c r="O53" s="2525">
        <f t="shared" si="0"/>
        <v>5.0000000000000001E-4</v>
      </c>
    </row>
    <row r="54" spans="1:35" ht="12" customHeight="1">
      <c r="A54" s="2334" t="s">
        <v>1358</v>
      </c>
      <c r="B54" s="3587" t="s">
        <v>2292</v>
      </c>
      <c r="C54" s="3588"/>
      <c r="D54" s="1086">
        <f ca="1">C68</f>
        <v>7</v>
      </c>
      <c r="E54" s="327" t="s">
        <v>1359</v>
      </c>
      <c r="F54" s="2553">
        <f>'数据-取费表'!B41</f>
        <v>5.5000000000000007E-2</v>
      </c>
      <c r="G54" s="2554"/>
      <c r="H54" s="2555"/>
      <c r="I54" s="1806"/>
      <c r="J54" s="2522">
        <v>3</v>
      </c>
      <c r="K54" s="3626" t="s">
        <v>1360</v>
      </c>
      <c r="L54" s="3626"/>
      <c r="M54" s="2524">
        <f t="shared" ca="1" si="0"/>
        <v>0</v>
      </c>
      <c r="N54" s="2522" t="str">
        <f t="shared" si="0"/>
        <v>增值额×税（费）率</v>
      </c>
      <c r="O54" s="2526" t="str">
        <f t="shared" si="0"/>
        <v>——</v>
      </c>
    </row>
    <row r="55" spans="1:35" ht="24" customHeight="1">
      <c r="A55" s="3576" t="s">
        <v>1361</v>
      </c>
      <c r="B55" s="3577"/>
      <c r="C55" s="3577"/>
      <c r="D55" s="2323">
        <f ca="1">IF(H55="个人住宅",0,ROUND(D45*I55,0))</f>
        <v>1</v>
      </c>
      <c r="E55" s="2333" t="s">
        <v>1362</v>
      </c>
      <c r="F55" s="2553">
        <f>IF(H55="正常",I55,"免征")</f>
        <v>5.0000000000000001E-4</v>
      </c>
      <c r="G55" s="2554"/>
      <c r="H55" s="2549" t="s">
        <v>3441</v>
      </c>
      <c r="I55" s="165">
        <f>'数据-取费表'!B49</f>
        <v>5.0000000000000001E-4</v>
      </c>
      <c r="J55" s="2522">
        <f>IF(H59="非个人房产","",4)</f>
        <v>4</v>
      </c>
      <c r="K55" s="3626" t="str">
        <f>IF(H59="非个人房产","——","个人所得税")</f>
        <v>个人所得税</v>
      </c>
      <c r="L55" s="3626"/>
      <c r="M55" s="2527">
        <f ca="1">D59</f>
        <v>26</v>
      </c>
      <c r="N55" s="2039" t="str">
        <f>E59</f>
        <v>差额计税</v>
      </c>
      <c r="O55" s="2528">
        <f>F59</f>
        <v>0.2</v>
      </c>
    </row>
    <row r="56" spans="1:35" ht="24.75">
      <c r="A56" s="3576" t="s">
        <v>1363</v>
      </c>
      <c r="B56" s="3577"/>
      <c r="C56" s="3577"/>
      <c r="D56" s="2323">
        <f ca="1">IF(H56="个人住宅",D57,D58)</f>
        <v>0</v>
      </c>
      <c r="E56" s="2333" t="s">
        <v>1364</v>
      </c>
      <c r="F56" s="2553" t="str">
        <f>IF(H56="正常",F58,"免征")</f>
        <v>——</v>
      </c>
      <c r="G56" s="2556" t="s">
        <v>1365</v>
      </c>
      <c r="H56" s="2557" t="s">
        <v>3441</v>
      </c>
      <c r="I56" s="1807"/>
      <c r="J56" s="2522" t="str">
        <f>IF(项目基本情况!K6="上海银行",IF(J55="",4,J55+1),"")</f>
        <v/>
      </c>
      <c r="K56" s="3649" t="str">
        <f>IF(项目基本情况!K6="上海银行","其他处置费用","")</f>
        <v/>
      </c>
      <c r="L56" s="3650"/>
      <c r="M56" s="2524" t="str">
        <f>IF(项目基本情况!K6="上海银行",M69,"")</f>
        <v/>
      </c>
      <c r="N56" s="3649" t="str">
        <f>IF(项目基本情况!K6="上海银行","包含处置中涉及的律师、诉讼、拍卖、评估等费用","")</f>
        <v/>
      </c>
      <c r="O56" s="3652"/>
    </row>
    <row r="57" spans="1:35" ht="12.75">
      <c r="A57" s="2334" t="s">
        <v>1341</v>
      </c>
      <c r="B57" s="3587" t="s">
        <v>1366</v>
      </c>
      <c r="C57" s="3588"/>
      <c r="D57" s="1589">
        <v>0</v>
      </c>
      <c r="E57" s="324" t="s">
        <v>1343</v>
      </c>
      <c r="F57" s="302"/>
      <c r="G57" s="2554"/>
      <c r="H57" s="2558"/>
      <c r="I57" s="1807"/>
      <c r="J57" s="3626">
        <f>IF(AND(J55="",J56=""),4,IF(项目基本情况!K6="上海银行",结果表!J56+1,结果表!J55+1))</f>
        <v>5</v>
      </c>
      <c r="K57" s="3626" t="s">
        <v>1367</v>
      </c>
      <c r="L57" s="2529" t="s">
        <v>1368</v>
      </c>
      <c r="M57" s="2530"/>
      <c r="N57" s="2531">
        <f ca="1">SUMIF(M52:M56,"&lt;9e307")</f>
        <v>34</v>
      </c>
      <c r="O57" s="2532"/>
      <c r="P57" s="2688">
        <f ca="1">N57/M49</f>
        <v>2.4460431654676259E-2</v>
      </c>
    </row>
    <row r="58" spans="1:35" ht="24.75">
      <c r="A58" s="2334" t="s">
        <v>1352</v>
      </c>
      <c r="B58" s="3587" t="s">
        <v>1369</v>
      </c>
      <c r="C58" s="3561"/>
      <c r="D58" s="2323">
        <f ca="1">IF(H58="转让取得",C81,C97)</f>
        <v>0</v>
      </c>
      <c r="E58" s="2333" t="s">
        <v>1364</v>
      </c>
      <c r="F58" s="302" t="s">
        <v>28</v>
      </c>
      <c r="G58" s="2554"/>
      <c r="H58" s="2557" t="s">
        <v>3442</v>
      </c>
      <c r="I58" s="1807"/>
      <c r="J58" s="3626"/>
      <c r="K58" s="3626"/>
      <c r="L58" s="2529" t="s">
        <v>1370</v>
      </c>
      <c r="M58" s="2533"/>
      <c r="N58" s="2534" t="str">
        <f ca="1">NUMBERSTRING(INT(N57*10000),2)&amp;"元整"</f>
        <v>叁拾肆万元整</v>
      </c>
      <c r="O58" s="2535"/>
    </row>
    <row r="59" spans="1:35" ht="24.75" thickBot="1">
      <c r="A59" s="3629" t="s">
        <v>1371</v>
      </c>
      <c r="B59" s="3630"/>
      <c r="C59" s="3630"/>
      <c r="D59" s="2559">
        <f ca="1">IF(H59="非个人房产","——",IF(H59="个人住宅（满五唯一有凭证）",0,IF(H59="个人其他（无凭证）",ROUND(D45*F59,0),ROUND(C67*F59,0))))</f>
        <v>26</v>
      </c>
      <c r="E59" s="2560" t="str">
        <f>IF(H59="非个人房产","——",IF(H59="个人其他（无凭证）","销售额×税（费）率",IF(H59="个人住宅（满五唯一有凭证）","免征","差额计税")))</f>
        <v>差额计税</v>
      </c>
      <c r="F59" s="2561">
        <f>IF(OR(H59="非个人房产",H59="个人住宅（满五唯一有凭证）"),"——",IF(H59="个人其他（有凭证）",20%,1%))</f>
        <v>0.2</v>
      </c>
      <c r="G59" s="2562" t="s">
        <v>1365</v>
      </c>
      <c r="H59" s="2313" t="s">
        <v>3443</v>
      </c>
      <c r="I59" s="2312" t="s">
        <v>2137</v>
      </c>
      <c r="J59" s="3627">
        <f>J57+1</f>
        <v>6</v>
      </c>
      <c r="K59" s="3626" t="s">
        <v>1372</v>
      </c>
      <c r="L59" s="2522" t="s">
        <v>1368</v>
      </c>
      <c r="M59" s="2536"/>
      <c r="N59" s="2537">
        <f ca="1">M49-N57</f>
        <v>1356</v>
      </c>
      <c r="O59" s="2538"/>
    </row>
    <row r="60" spans="1:35" ht="12" customHeight="1">
      <c r="A60" s="1808"/>
      <c r="B60" s="1746"/>
      <c r="C60" s="1746"/>
      <c r="D60" s="1746"/>
      <c r="E60" s="1577"/>
      <c r="F60" s="1807"/>
      <c r="G60" s="1807"/>
      <c r="H60" s="1809"/>
      <c r="I60" s="129"/>
      <c r="J60" s="3628"/>
      <c r="K60" s="3626"/>
      <c r="L60" s="2529" t="s">
        <v>1370</v>
      </c>
      <c r="M60" s="2533"/>
      <c r="N60" s="2534" t="str">
        <f ca="1">NUMBERSTRING(INT(N59*10000),2)&amp;"元整"</f>
        <v>壹仟叁佰伍拾陆万元整</v>
      </c>
      <c r="O60" s="2535"/>
    </row>
    <row r="61" spans="1:35" ht="13.5" thickBot="1">
      <c r="A61" s="3574" t="s">
        <v>1373</v>
      </c>
      <c r="B61" s="3574"/>
      <c r="C61" s="3574"/>
      <c r="D61" s="3574"/>
      <c r="E61" s="3574"/>
      <c r="F61" s="1807"/>
      <c r="G61" s="1807"/>
      <c r="H61" s="1809"/>
      <c r="I61" s="129"/>
      <c r="J61" s="2522">
        <f>J59+1</f>
        <v>7</v>
      </c>
      <c r="K61" s="3626" t="s">
        <v>1374</v>
      </c>
      <c r="L61" s="3626"/>
      <c r="M61" s="2539"/>
      <c r="N61" s="2540">
        <f ca="1">ROUND(N59*10000/'数据-汇总表'!E3,0)</f>
        <v>29701</v>
      </c>
      <c r="O61" s="2541"/>
    </row>
    <row r="62" spans="1:35" ht="12.75">
      <c r="A62" s="3592" t="s">
        <v>1375</v>
      </c>
      <c r="B62" s="3593"/>
      <c r="C62" s="2020"/>
      <c r="D62" s="2020" t="s">
        <v>1376</v>
      </c>
      <c r="E62" s="166" t="s">
        <v>1377</v>
      </c>
      <c r="F62" s="1807"/>
      <c r="G62" s="1807"/>
      <c r="H62" s="1809"/>
      <c r="I62" s="129"/>
    </row>
    <row r="63" spans="1:35" ht="12.75">
      <c r="A63" s="173" t="s">
        <v>330</v>
      </c>
      <c r="B63" s="167" t="s">
        <v>1378</v>
      </c>
      <c r="C63" s="2563">
        <f ca="1">ROUND((C64+C65)/(1+'数据-取费表'!C42),0)</f>
        <v>1324</v>
      </c>
      <c r="D63" s="167"/>
      <c r="E63" s="168"/>
      <c r="F63" s="1807"/>
      <c r="G63" s="1807"/>
      <c r="H63" s="1809"/>
      <c r="I63" s="129"/>
      <c r="J63" s="3651" t="s">
        <v>1379</v>
      </c>
      <c r="K63" s="1331" t="s">
        <v>1380</v>
      </c>
      <c r="L63" s="1331">
        <f ca="1">IF(M49&gt;10000,M49*0.5%,IF(AND(M49&gt;1000,M49&lt;=10000),M49*1%,IF(AND(M49&gt;100,M49&lt;=1000),M49*3%,IF(AND(M49&gt;10,M49&lt;=100),M49*5%,M49*8%))))</f>
        <v>13.9</v>
      </c>
      <c r="M63" s="302">
        <f ca="1">ROUND(L63,1)</f>
        <v>13.9</v>
      </c>
      <c r="N63" s="2542"/>
      <c r="Z63" s="1751"/>
      <c r="AI63" s="1752"/>
    </row>
    <row r="64" spans="1:35" ht="14.25" customHeight="1">
      <c r="A64" s="169" t="s">
        <v>325</v>
      </c>
      <c r="B64" s="170" t="s">
        <v>1381</v>
      </c>
      <c r="C64" s="2564">
        <f ca="1">D45</f>
        <v>1390</v>
      </c>
      <c r="D64" s="170" t="s">
        <v>26</v>
      </c>
      <c r="E64" s="172"/>
      <c r="F64" s="1807"/>
      <c r="G64" s="1807"/>
      <c r="H64" s="1809"/>
      <c r="I64" s="129"/>
      <c r="J64" s="3651"/>
      <c r="K64" s="1331" t="s">
        <v>1382</v>
      </c>
      <c r="L64" s="1331">
        <f ca="1">IF(M49&gt;2000,M49*0.5%,IF(AND(M49&gt;1000,M49&lt;=2000),M49*0.6%,IF(AND(M49&gt;500,M49&lt;=1000),M49*0.7%,IF(AND(M49&gt;200,M49&lt;=500),M49*0.8%,IF(AND(M49&gt;100,M49&lt;=200),M49*0.9%,IF(AND(M49&gt;50,M49&lt;=100),M49*1%,IF(AND(M49&gt;20,M49&lt;=50),M49*1.5%,IF(AND(M49&gt;10,M49&lt;=20),M49*2%,IF(AND(M49&gt;1,M49&lt;=10),M49*2.5%)))))))))</f>
        <v>8.34</v>
      </c>
      <c r="M64" s="302">
        <f t="shared" ref="M64:M65" ca="1" si="1">ROUND(L64,1)</f>
        <v>8.3000000000000007</v>
      </c>
      <c r="N64" s="2543" t="s">
        <v>1383</v>
      </c>
      <c r="Z64" s="1751"/>
      <c r="AI64" s="1752"/>
    </row>
    <row r="65" spans="1:35" ht="14.25" customHeight="1">
      <c r="A65" s="169" t="s">
        <v>326</v>
      </c>
      <c r="B65" s="170" t="s">
        <v>1384</v>
      </c>
      <c r="C65" s="2565"/>
      <c r="D65" s="170"/>
      <c r="E65" s="172"/>
      <c r="F65" s="1807"/>
      <c r="G65" s="1807"/>
      <c r="H65" s="1809"/>
      <c r="I65" s="129"/>
      <c r="J65" s="3651"/>
      <c r="K65" s="1331" t="s">
        <v>1385</v>
      </c>
      <c r="L65" s="1331">
        <f ca="1">IF(M49&gt;1000,M49*0.1%,IF(AND(M49&gt;500,M49&lt;=1000),M49*0.5%,IF(AND(M49&gt;50,M49&lt;=500),M49*1%,IF(AND(M49&gt;1,M49&lt;=50),M49*1.5%))))</f>
        <v>1.3900000000000001</v>
      </c>
      <c r="M65" s="302">
        <f t="shared" ca="1" si="1"/>
        <v>1.4</v>
      </c>
      <c r="N65" s="2543" t="s">
        <v>1383</v>
      </c>
      <c r="Z65" s="1751"/>
      <c r="AI65" s="1752"/>
    </row>
    <row r="66" spans="1:35" ht="14.25" customHeight="1">
      <c r="A66" s="173" t="s">
        <v>327</v>
      </c>
      <c r="B66" s="174" t="s">
        <v>1386</v>
      </c>
      <c r="C66" s="2566">
        <f>C75</f>
        <v>1192.93308</v>
      </c>
      <c r="D66" s="174" t="s">
        <v>26</v>
      </c>
      <c r="E66" s="1337" t="s">
        <v>671</v>
      </c>
      <c r="F66" s="1807"/>
      <c r="G66" s="1807"/>
      <c r="H66" s="1809"/>
      <c r="I66" s="129"/>
      <c r="J66" s="3651"/>
      <c r="K66" s="1331" t="s">
        <v>1387</v>
      </c>
      <c r="L66" s="1331">
        <f ca="1">M49*0.5%</f>
        <v>6.95</v>
      </c>
      <c r="M66" s="302">
        <f ca="1">IF(L66&gt;0.5,0.5,ROUND(L66,0))</f>
        <v>0.5</v>
      </c>
      <c r="N66" s="2543" t="s">
        <v>1388</v>
      </c>
      <c r="Z66" s="1751"/>
      <c r="AI66" s="1752"/>
    </row>
    <row r="67" spans="1:35" ht="14.25" customHeight="1">
      <c r="A67" s="173" t="s">
        <v>328</v>
      </c>
      <c r="B67" s="174" t="s">
        <v>1389</v>
      </c>
      <c r="C67" s="2567">
        <f ca="1">C63-C66</f>
        <v>131.06691999999998</v>
      </c>
      <c r="D67" s="170" t="s">
        <v>26</v>
      </c>
      <c r="E67" s="172"/>
      <c r="F67" s="1807"/>
      <c r="G67" s="1807"/>
      <c r="H67" s="1809"/>
      <c r="I67" s="129"/>
      <c r="J67" s="3651"/>
      <c r="K67" s="1331" t="s">
        <v>1390</v>
      </c>
      <c r="L67" s="1331">
        <f ca="1">IF(M49&gt;=10000,(8.25+(M49-10000)*0.01%),IF(AND(M49&gt;=8000,M49&lt;10000),(7.85+(M49-8000)*0.02%),IF(AND(M49&gt;=5000,M49&lt;8000),(6.65+(M49-5000)*0.04%),IF(AND(M49&gt;=2000,M49&lt;5000),(4.25+(PM49-2000)*0.08%),IF(AND(M49&gt;=1000,M49&lt;2000),(2.75+(M49-1000)*0.15%),IF(AND(M49&gt;=100,M49&lt;1000),(0.5+(M49-100)*0.25%),IF(AND(M49&gt;0,M49&lt;100),M49*0.5%)))))))</f>
        <v>3.335</v>
      </c>
      <c r="M67" s="302">
        <f ca="1">ROUND(L67*0.9,1)</f>
        <v>3</v>
      </c>
      <c r="N67" s="2542"/>
      <c r="Z67" s="1751"/>
      <c r="AI67" s="1752"/>
    </row>
    <row r="68" spans="1:35" ht="14.25" customHeight="1" thickBot="1">
      <c r="A68" s="176" t="s">
        <v>329</v>
      </c>
      <c r="B68" s="177" t="s">
        <v>1391</v>
      </c>
      <c r="C68" s="2568">
        <f ca="1">IF(C67&lt;=0,0,ROUND(C67*D68,0))</f>
        <v>7</v>
      </c>
      <c r="D68" s="2569">
        <f>'数据-取费表'!B41</f>
        <v>5.5000000000000007E-2</v>
      </c>
      <c r="E68" s="178"/>
      <c r="F68" s="1807"/>
      <c r="G68" s="1807"/>
      <c r="H68" s="1809"/>
      <c r="I68" s="129"/>
      <c r="J68" s="3651"/>
      <c r="K68" s="1331" t="s">
        <v>1392</v>
      </c>
      <c r="L68" s="1331">
        <f ca="1">IF(M49&gt;10000,M49*0.5%,IF(AND(M49&gt;5000,M49&lt;=10000),M49*1%,IF(AND(M49&gt;1000,M49&lt;=5000),M49*2%,IF(AND(M49&gt;200,M49&lt;=1000),M49*3%,M49*5%))))</f>
        <v>27.8</v>
      </c>
      <c r="M68" s="302">
        <f ca="1">ROUND(L68,1)</f>
        <v>27.8</v>
      </c>
      <c r="N68" s="2542"/>
      <c r="Z68" s="1751"/>
      <c r="AI68" s="1752"/>
    </row>
    <row r="69" spans="1:35" s="1771" customFormat="1" ht="16.5" customHeight="1">
      <c r="A69" s="1810"/>
      <c r="B69" s="1811"/>
      <c r="C69" s="1812"/>
      <c r="D69" s="1813"/>
      <c r="E69" s="1814"/>
      <c r="F69" s="1577"/>
      <c r="G69" s="1577"/>
      <c r="H69" s="1576"/>
      <c r="I69" s="1746"/>
      <c r="J69" s="3651"/>
      <c r="K69" s="1331" t="s">
        <v>1393</v>
      </c>
      <c r="L69" s="1331"/>
      <c r="M69" s="302">
        <f ca="1">ROUND(SUM(M63:M68),0)</f>
        <v>55</v>
      </c>
      <c r="N69" s="2544">
        <f ca="1">M69/M49</f>
        <v>3.9568345323741004E-2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3" t="s">
        <v>1394</v>
      </c>
      <c r="B70" s="3614"/>
      <c r="C70" s="3614"/>
      <c r="D70" s="3614"/>
      <c r="E70" s="3614"/>
      <c r="F70" s="3614"/>
      <c r="G70" s="3614"/>
      <c r="H70" s="3614"/>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2" t="s">
        <v>1375</v>
      </c>
      <c r="B71" s="3593"/>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1324</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2131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2124</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v>1192.93308</v>
      </c>
      <c r="D75" s="170" t="s">
        <v>26</v>
      </c>
      <c r="E75" s="184" t="s">
        <v>1399</v>
      </c>
      <c r="F75" s="2571" t="s">
        <v>3444</v>
      </c>
      <c r="G75" s="184" t="s">
        <v>1400</v>
      </c>
      <c r="H75" s="2572">
        <v>15</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895</v>
      </c>
      <c r="D76" s="2573">
        <v>0.05</v>
      </c>
      <c r="E76" s="3587" t="s">
        <v>1402</v>
      </c>
      <c r="F76" s="3561"/>
      <c r="G76" s="3561"/>
      <c r="H76" s="361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36</v>
      </c>
      <c r="D77" s="2574">
        <f>'数据-取费表'!B48+'数据-取费表'!B49</f>
        <v>3.0499999999999999E-2</v>
      </c>
      <c r="E77" s="2323" t="s">
        <v>1404</v>
      </c>
      <c r="F77" s="186"/>
      <c r="G77" s="1821" t="s">
        <v>3445</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7</v>
      </c>
      <c r="D78" s="2576">
        <f>'数据-取费表'!B43</f>
        <v>5.000000000000001E-3</v>
      </c>
      <c r="E78" s="3571" t="s">
        <v>1406</v>
      </c>
      <c r="F78" s="3572"/>
      <c r="G78" s="3572"/>
      <c r="H78" s="358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-807</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0</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3" t="s">
        <v>1410</v>
      </c>
      <c r="B83" s="3614"/>
      <c r="C83" s="3614"/>
      <c r="D83" s="3614"/>
      <c r="E83" s="3614"/>
      <c r="F83" s="3614"/>
      <c r="G83" s="3614"/>
      <c r="H83" s="361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2" t="s">
        <v>1375</v>
      </c>
      <c r="B84" s="359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1324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7</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53" t="s">
        <v>2129</v>
      </c>
      <c r="H90" s="3654"/>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71" t="s">
        <v>1419</v>
      </c>
      <c r="F91" s="3572"/>
      <c r="G91" s="357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71" t="s">
        <v>1422</v>
      </c>
      <c r="F92" s="3572"/>
      <c r="G92" s="3572"/>
      <c r="H92" s="3581"/>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7</v>
      </c>
      <c r="D93" s="2576">
        <f>'数据-取费表'!B43</f>
        <v>5.000000000000001E-3</v>
      </c>
      <c r="E93" s="3571" t="s">
        <v>1406</v>
      </c>
      <c r="F93" s="3572"/>
      <c r="G93" s="3572"/>
      <c r="H93" s="358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82" t="s">
        <v>1426</v>
      </c>
      <c r="F94" s="3583"/>
      <c r="G94" s="3583"/>
      <c r="H94" s="358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1317</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188.14285714285714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788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5" t="s">
        <v>1428</v>
      </c>
      <c r="B100" s="3556"/>
      <c r="C100" s="3556"/>
      <c r="D100" s="3573"/>
      <c r="E100" s="3556" t="s">
        <v>1429</v>
      </c>
      <c r="F100" s="3556"/>
      <c r="G100" s="3556"/>
      <c r="H100" s="3573"/>
      <c r="I100" s="129"/>
    </row>
    <row r="101" spans="1:35" ht="18.75" customHeight="1">
      <c r="A101" s="3634" t="s">
        <v>1430</v>
      </c>
      <c r="B101" s="3635"/>
      <c r="C101" s="2584" t="str">
        <f>C4</f>
        <v>比较法-商业</v>
      </c>
      <c r="D101" s="2585" t="str">
        <f>D4</f>
        <v>收益法 (元)</v>
      </c>
      <c r="E101" s="3648" t="s">
        <v>1431</v>
      </c>
      <c r="F101" s="3605"/>
      <c r="G101" s="1826" t="s">
        <v>1432</v>
      </c>
      <c r="H101" s="2594">
        <f ca="1">H118</f>
        <v>1390</v>
      </c>
      <c r="I101" s="129"/>
    </row>
    <row r="102" spans="1:35" ht="18.75" customHeight="1">
      <c r="A102" s="3607" t="s">
        <v>1433</v>
      </c>
      <c r="B102" s="2583" t="s">
        <v>1432</v>
      </c>
      <c r="C102" s="2584">
        <f ca="1">IF(D32="楼面单价",ROUND(C19,0),C19)</f>
        <v>1703</v>
      </c>
      <c r="D102" s="2585">
        <f ca="1">IF(D32="楼面单价",ROUND(D19,0),D19)</f>
        <v>660</v>
      </c>
      <c r="E102" s="3648"/>
      <c r="F102" s="3605"/>
      <c r="G102" s="1826" t="s">
        <v>1434</v>
      </c>
      <c r="H102" s="2554">
        <f ca="1">I118</f>
        <v>30449</v>
      </c>
      <c r="I102" s="129"/>
    </row>
    <row r="103" spans="1:35" ht="42.75" customHeight="1">
      <c r="A103" s="3607"/>
      <c r="B103" s="2583" t="s">
        <v>1434</v>
      </c>
      <c r="C103" s="2586">
        <f ca="1">C20</f>
        <v>37308</v>
      </c>
      <c r="D103" s="2587">
        <f ca="1">D20</f>
        <v>14446</v>
      </c>
      <c r="E103" s="3642" t="s">
        <v>1435</v>
      </c>
      <c r="F103" s="3643"/>
      <c r="G103" s="1827" t="s">
        <v>1436</v>
      </c>
      <c r="H103" s="2594">
        <f>IF(D36="正常操作",H104+H105+H106,H105+H106)</f>
        <v>0</v>
      </c>
      <c r="I103" s="129"/>
    </row>
    <row r="104" spans="1:35" ht="18.75" customHeight="1">
      <c r="A104" s="3607" t="s">
        <v>1437</v>
      </c>
      <c r="B104" s="2588" t="s">
        <v>1432</v>
      </c>
      <c r="C104" s="2589">
        <f ca="1">H118</f>
        <v>1390</v>
      </c>
      <c r="D104" s="2590"/>
      <c r="E104" s="1673" t="s">
        <v>1438</v>
      </c>
      <c r="F104" s="1665"/>
      <c r="G104" s="1827" t="s">
        <v>1436</v>
      </c>
      <c r="H104" s="2595">
        <f>IF(D36="同一抵押权人同一抵押物续贷",C36&amp;"（续贷，未扣减，详见特别提示）",C36)</f>
        <v>0</v>
      </c>
      <c r="I104" s="129"/>
    </row>
    <row r="105" spans="1:35" ht="18.75" customHeight="1" thickBot="1">
      <c r="A105" s="3608"/>
      <c r="B105" s="2591" t="s">
        <v>1434</v>
      </c>
      <c r="C105" s="2592">
        <f ca="1">I118</f>
        <v>30449</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4" t="str">
        <f>IF(项目基本情况!E8="已注销","——","3.房地产抵押价值")</f>
        <v>3.房地产抵押价值</v>
      </c>
      <c r="F107" s="3605"/>
      <c r="G107" s="1826" t="s">
        <v>1432</v>
      </c>
      <c r="H107" s="2594">
        <f ca="1">IF(E107="——","——",H101-H103)</f>
        <v>1390</v>
      </c>
      <c r="I107" s="129"/>
    </row>
    <row r="108" spans="1:35" ht="18.75" customHeight="1">
      <c r="A108" s="129"/>
      <c r="B108" s="129"/>
      <c r="C108" s="129"/>
      <c r="D108" s="129"/>
      <c r="E108" s="3604"/>
      <c r="F108" s="3605"/>
      <c r="G108" s="1826" t="s">
        <v>1434</v>
      </c>
      <c r="H108" s="2554">
        <f ca="1">IF(H107=H101,H102,ROUND(H107*10000/'数据-汇总表'!E3,0))</f>
        <v>30449</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605"/>
      <c r="G109" s="1826" t="s">
        <v>1432</v>
      </c>
      <c r="H109" s="2597" t="str">
        <f>IF(E109="——","——",H101-H105-H106)</f>
        <v>——</v>
      </c>
      <c r="I109" s="129"/>
    </row>
    <row r="110" spans="1:35" ht="18.75" customHeight="1">
      <c r="A110" s="129"/>
      <c r="B110" s="129"/>
      <c r="C110" s="129"/>
      <c r="D110" s="129"/>
      <c r="E110" s="3604"/>
      <c r="F110" s="3605"/>
      <c r="G110" s="1826" t="s">
        <v>1434</v>
      </c>
      <c r="H110" s="2554" t="str">
        <f>IF(H109="——","——",ROUND(H109*10000/'数据-汇总表'!E3,0))</f>
        <v>——</v>
      </c>
      <c r="I110" s="129"/>
    </row>
    <row r="111" spans="1:35" ht="18.75" customHeight="1">
      <c r="A111" s="129"/>
      <c r="B111" s="129"/>
      <c r="C111" s="129"/>
      <c r="D111" s="129"/>
      <c r="E111" s="3636" t="str">
        <f>IF(项目基本情况!E9="抵押净值",IF(OR(项目基本情况!E8="已注销",项目基本情况!E8="房地产抵押价值"),"4.抵押净值","5.抵押净值"),"——")</f>
        <v>——</v>
      </c>
      <c r="F111" s="3606"/>
      <c r="G111" s="1826" t="s">
        <v>1432</v>
      </c>
      <c r="H111" s="2594" t="str">
        <f>IF(E111="——","——",N59)</f>
        <v>——</v>
      </c>
      <c r="I111" s="129"/>
    </row>
    <row r="112" spans="1:35" ht="18.75" customHeight="1" thickBot="1">
      <c r="A112" s="129"/>
      <c r="B112" s="129"/>
      <c r="C112" s="129"/>
      <c r="D112" s="129"/>
      <c r="E112" s="3637"/>
      <c r="F112" s="3638"/>
      <c r="G112" s="1829" t="s">
        <v>1434</v>
      </c>
      <c r="H112" s="2598" t="str">
        <f>IF(E111="——","——",N61)</f>
        <v>——</v>
      </c>
      <c r="I112" s="129"/>
    </row>
    <row r="113" spans="1:27" ht="18.75" customHeight="1">
      <c r="A113" s="129"/>
      <c r="B113" s="129"/>
      <c r="C113" s="129"/>
      <c r="D113" s="129"/>
      <c r="E113" s="3609" t="s">
        <v>1440</v>
      </c>
      <c r="F113" s="3609"/>
      <c r="G113" s="3609"/>
      <c r="H113" s="3609"/>
      <c r="I113" s="129"/>
    </row>
    <row r="114" spans="1:27" ht="3.75" customHeight="1">
      <c r="A114" s="1746"/>
      <c r="B114" s="1746"/>
      <c r="C114" s="1746"/>
      <c r="D114" s="1746"/>
      <c r="E114" s="1808"/>
      <c r="F114" s="1808"/>
      <c r="G114" s="1808"/>
      <c r="H114" s="1808"/>
      <c r="I114" s="1746"/>
    </row>
    <row r="115" spans="1:27" ht="18.75" customHeight="1">
      <c r="A115" s="3619" t="s">
        <v>1442</v>
      </c>
      <c r="B115" s="3620"/>
      <c r="C115" s="3620"/>
      <c r="D115" s="3620"/>
      <c r="E115" s="3620"/>
      <c r="F115" s="3620"/>
      <c r="G115" s="3620"/>
      <c r="H115" s="3620"/>
      <c r="I115" s="3621"/>
    </row>
    <row r="116" spans="1:27" ht="27" customHeight="1">
      <c r="A116" s="3575" t="s">
        <v>1443</v>
      </c>
      <c r="B116" s="3610" t="s">
        <v>1444</v>
      </c>
      <c r="C116" s="3610" t="s">
        <v>1445</v>
      </c>
      <c r="D116" s="3623" t="s">
        <v>1446</v>
      </c>
      <c r="E116" s="3624"/>
      <c r="F116" s="3618" t="s">
        <v>1447</v>
      </c>
      <c r="G116" s="3618"/>
      <c r="H116" s="3575" t="s">
        <v>1448</v>
      </c>
      <c r="I116" s="3575"/>
    </row>
    <row r="117" spans="1:27" ht="18.75" customHeight="1">
      <c r="A117" s="3575"/>
      <c r="B117" s="3611"/>
      <c r="C117" s="3611"/>
      <c r="D117" s="2328" t="s">
        <v>1449</v>
      </c>
      <c r="E117" s="2328" t="s">
        <v>1450</v>
      </c>
      <c r="F117" s="2328" t="s">
        <v>1449</v>
      </c>
      <c r="G117" s="2328" t="s">
        <v>1451</v>
      </c>
      <c r="H117" s="2328" t="s">
        <v>1449</v>
      </c>
      <c r="I117" s="2328" t="s">
        <v>1451</v>
      </c>
    </row>
    <row r="118" spans="1:27" ht="24.75" customHeight="1">
      <c r="A118" s="2599" t="str">
        <f>项目基本情况!S2</f>
        <v>北京市大兴区黄村镇兴业大街76号楼1至2层1、2号商业用房房地产</v>
      </c>
      <c r="B118" s="2328">
        <f>M18</f>
        <v>456.55</v>
      </c>
      <c r="C118" s="2328">
        <f>M19</f>
        <v>0</v>
      </c>
      <c r="D118" s="2328">
        <f ca="1">ROUND(IF(D32="总价",C34,E118*B118/10000),0)</f>
        <v>1136</v>
      </c>
      <c r="E118" s="2328">
        <f ca="1">ROUND(IF(C33="自定义",IF(D32="楼面单价",C34,D118*10000/B118),I118-G118),0)</f>
        <v>24877</v>
      </c>
      <c r="F118" s="2328">
        <f ca="1">ROUND(IF(D32="总价",C35,G118*B118/10000),0)</f>
        <v>254</v>
      </c>
      <c r="G118" s="2328">
        <f ca="1">ROUND(IF(D32="楼面单价",C35,F118*10000/B118),0)</f>
        <v>5572</v>
      </c>
      <c r="H118" s="2328">
        <f ca="1">ROUND(IF(D32="总价",C32,I118*B118/10000),0)</f>
        <v>1390</v>
      </c>
      <c r="I118" s="2328">
        <f ca="1">ROUND(IF(D32="楼面单价",C32,H118*10000/B118),0)</f>
        <v>30449</v>
      </c>
    </row>
    <row r="119" spans="1:27" ht="18.75" customHeight="1">
      <c r="A119" s="3575" t="s">
        <v>1452</v>
      </c>
      <c r="B119" s="3575"/>
      <c r="C119" s="3575"/>
      <c r="D119" s="3615" t="str">
        <f ca="1">NUMBERSTRING(INT(D118*10000),2)&amp;"元整"</f>
        <v>壹仟壹佰叁拾陆万元整</v>
      </c>
      <c r="E119" s="3617"/>
      <c r="F119" s="3615" t="str">
        <f ca="1">NUMBERSTRING(INT(F118*10000),2)&amp;"元整"</f>
        <v>贰佰伍拾肆万元整</v>
      </c>
      <c r="G119" s="3617"/>
      <c r="H119" s="3615" t="str">
        <f ca="1">NUMBERSTRING(INT(H118*10000),2)&amp;"元整"</f>
        <v>壹仟叁佰玖拾万元整</v>
      </c>
      <c r="I119" s="3617"/>
    </row>
    <row r="120" spans="1:27" ht="18.75" customHeight="1">
      <c r="A120" s="3639" t="str">
        <f>IF(项目基本情况!B9="房地产市场价值","",MID(E103,3,LEN(E103)-2))</f>
        <v>估价师知悉的法定优先受偿款</v>
      </c>
      <c r="B120" s="3640"/>
      <c r="C120" s="3641"/>
      <c r="D120" s="3639">
        <f>H103</f>
        <v>0</v>
      </c>
      <c r="E120" s="3640"/>
      <c r="F120" s="3640"/>
      <c r="G120" s="3640"/>
      <c r="H120" s="3640"/>
      <c r="I120" s="364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5" t="s">
        <v>1452</v>
      </c>
      <c r="B121" s="3616"/>
      <c r="C121" s="3617"/>
      <c r="D121" s="3615" t="str">
        <f>IF(D120=0,"零元整",NUMBERSTRING(INT(D120*10000),2)&amp;"元整")</f>
        <v>零元整</v>
      </c>
      <c r="E121" s="3616"/>
      <c r="F121" s="3616"/>
      <c r="G121" s="3616"/>
      <c r="H121" s="3616"/>
      <c r="I121" s="3617"/>
      <c r="AA121" s="724"/>
    </row>
    <row r="122" spans="1:27" ht="18.75" customHeight="1">
      <c r="A122" s="3606" t="str">
        <f>IF(项目基本情况!B9="房地产市场价值","",MID(E107,3,LEN(E107)-2))</f>
        <v>房地产抵押价值</v>
      </c>
      <c r="B122" s="3606"/>
      <c r="C122" s="3606"/>
      <c r="D122" s="3639">
        <f ca="1">H107</f>
        <v>1390</v>
      </c>
      <c r="E122" s="3640"/>
      <c r="F122" s="3640"/>
      <c r="G122" s="3640"/>
      <c r="H122" s="3640"/>
      <c r="I122" s="3641"/>
      <c r="AA122" s="724"/>
    </row>
    <row r="123" spans="1:27" ht="18.75" customHeight="1">
      <c r="A123" s="3575" t="s">
        <v>1452</v>
      </c>
      <c r="B123" s="3575"/>
      <c r="C123" s="3575"/>
      <c r="D123" s="3615" t="str">
        <f ca="1">NUMBERSTRING(INT(D122*10000),2)&amp;"元整"</f>
        <v>壹仟叁佰玖拾万元整</v>
      </c>
      <c r="E123" s="3616"/>
      <c r="F123" s="3616"/>
      <c r="G123" s="3616"/>
      <c r="H123" s="3616"/>
      <c r="I123" s="3617"/>
      <c r="AA123" s="724"/>
    </row>
    <row r="124" spans="1:27" ht="18.75" customHeight="1">
      <c r="A124" s="3606" t="str">
        <f>IF(项目基本情况!B9="房地产市场价值","",MID(E109,3,LEN(E109)-2))</f>
        <v/>
      </c>
      <c r="B124" s="3606"/>
      <c r="C124" s="3606"/>
      <c r="D124" s="3639" t="str">
        <f>H109</f>
        <v>——</v>
      </c>
      <c r="E124" s="3640"/>
      <c r="F124" s="3640"/>
      <c r="G124" s="3640"/>
      <c r="H124" s="3640"/>
      <c r="I124" s="3641"/>
      <c r="AA124" s="724"/>
    </row>
    <row r="125" spans="1:27" ht="18.75" customHeight="1">
      <c r="A125" s="3575" t="s">
        <v>1452</v>
      </c>
      <c r="B125" s="3575"/>
      <c r="C125" s="3575"/>
      <c r="D125" s="3615" t="e">
        <f>NUMBERSTRING(INT(D124*10000),2)&amp;"元整"</f>
        <v>#VALUE!</v>
      </c>
      <c r="E125" s="3616"/>
      <c r="F125" s="3616"/>
      <c r="G125" s="3616"/>
      <c r="H125" s="3616"/>
      <c r="I125" s="3617"/>
      <c r="AA125" s="724"/>
    </row>
    <row r="126" spans="1:27" ht="18.75" customHeight="1">
      <c r="A126" s="3606" t="str">
        <f>IF(项目基本情况!B9="房地产市场价值","",MID(E111,3,LEN(E111)-2))</f>
        <v/>
      </c>
      <c r="B126" s="3606"/>
      <c r="C126" s="3606"/>
      <c r="D126" s="3639" t="str">
        <f>H111</f>
        <v>——</v>
      </c>
      <c r="E126" s="3640"/>
      <c r="F126" s="3640"/>
      <c r="G126" s="3640"/>
      <c r="H126" s="3640"/>
      <c r="I126" s="3641"/>
      <c r="AA126" s="724"/>
    </row>
    <row r="127" spans="1:27" ht="18.75" customHeight="1">
      <c r="A127" s="3575" t="s">
        <v>1452</v>
      </c>
      <c r="B127" s="3575"/>
      <c r="C127" s="3575"/>
      <c r="D127" s="3615" t="e">
        <f>NUMBERSTRING(INT(D126*10000),2)&amp;"元整"</f>
        <v>#VALUE!</v>
      </c>
      <c r="E127" s="3616"/>
      <c r="F127" s="3616"/>
      <c r="G127" s="3616"/>
      <c r="H127" s="3616"/>
      <c r="I127" s="3617"/>
      <c r="AA127" s="724"/>
    </row>
    <row r="128" spans="1:27" ht="21.75" customHeight="1">
      <c r="A128" s="3622" t="s">
        <v>1453</v>
      </c>
      <c r="B128" s="3622"/>
      <c r="C128" s="3622"/>
      <c r="D128" s="3622"/>
      <c r="E128" s="3622"/>
      <c r="F128" s="3622"/>
      <c r="G128" s="3622"/>
      <c r="H128" s="3622"/>
      <c r="I128" s="362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158</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3461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9</v>
      </c>
      <c r="D10" s="844">
        <f ca="1">IF(B1="",'数据-汇总表'!E6,IF(INDIRECT("'数据-取费表'!c"&amp;$G$1)="住宅",INDIRECT("'数据-取费表'!s"&amp;$G$1),INDIRECT("'数据-取费表'!k"&amp;$G$1)+INDIRECT("'数据-取费表'!s"&amp;$G$1)))</f>
        <v>456.55</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9</v>
      </c>
      <c r="D19" s="848">
        <f ca="1">D9+D10</f>
        <v>456.55</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1</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156</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137</v>
      </c>
      <c r="D34" s="217"/>
      <c r="E34" s="220"/>
      <c r="F34" s="257">
        <f ca="1">IF('数据-取费表'!B24=0,1,IF(B1="",'数据-取费表'!N16,INDIRECT("'数据-取费表'!n"&amp;$G$1)))</f>
        <v>1</v>
      </c>
      <c r="G34" s="219" t="s">
        <v>1526</v>
      </c>
    </row>
    <row r="35" spans="1:7" ht="13.5" customHeight="1">
      <c r="A35" s="779" t="s">
        <v>351</v>
      </c>
      <c r="B35" s="215" t="s">
        <v>1527</v>
      </c>
      <c r="C35" s="220">
        <f ca="1">ROUND(C34*F35,0)</f>
        <v>7</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9</v>
      </c>
      <c r="D37" s="217">
        <f ca="1">D19</f>
        <v>456.55</v>
      </c>
      <c r="E37" s="249">
        <f>'数据-取费表'!B35</f>
        <v>200</v>
      </c>
      <c r="F37" s="259"/>
      <c r="G37" s="261" t="s">
        <v>1532</v>
      </c>
    </row>
    <row r="38" spans="1:7" ht="13.5" customHeight="1">
      <c r="A38" s="779" t="s">
        <v>354</v>
      </c>
      <c r="B38" s="215" t="s">
        <v>1533</v>
      </c>
      <c r="C38" s="220">
        <f ca="1">ROUND(C34*F38,0)</f>
        <v>3</v>
      </c>
      <c r="D38" s="220"/>
      <c r="E38" s="220"/>
      <c r="F38" s="259">
        <f>'数据-取费表'!B36</f>
        <v>0.02</v>
      </c>
      <c r="G38" s="219" t="s">
        <v>1528</v>
      </c>
    </row>
    <row r="39" spans="1:7" s="214" customFormat="1" ht="13.5" customHeight="1">
      <c r="A39" s="255" t="s">
        <v>1534</v>
      </c>
      <c r="B39" s="210" t="s">
        <v>1535</v>
      </c>
      <c r="C39" s="232">
        <f ca="1">ROUND(C33*F20,0)</f>
        <v>5</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5</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5</v>
      </c>
      <c r="D42" s="238"/>
      <c r="E42" s="238"/>
      <c r="F42" s="239"/>
      <c r="G42" s="3655" t="s">
        <v>1544</v>
      </c>
    </row>
    <row r="43" spans="1:7" ht="13.5" customHeight="1">
      <c r="A43" s="779" t="s">
        <v>347</v>
      </c>
      <c r="B43" s="215" t="s">
        <v>1545</v>
      </c>
      <c r="C43" s="238">
        <f ca="1">ROUND(IF('数据-取费表'!B22&lt;=1,C39*F22*'数据-取费表'!B21/2,C39*(POWER((1+F22),'数据-取费表'!B21/2)-1)),0)</f>
        <v>0</v>
      </c>
      <c r="D43" s="238"/>
      <c r="E43" s="238"/>
      <c r="F43" s="239"/>
      <c r="G43" s="3656"/>
    </row>
    <row r="44" spans="1:7" ht="13.5" customHeight="1">
      <c r="A44" s="779" t="s">
        <v>348</v>
      </c>
      <c r="B44" s="215" t="s">
        <v>1546</v>
      </c>
      <c r="C44" s="238">
        <f ca="1">ROUND(IF('数据-取费表'!B22&lt;=1,C40*F22*'数据-取费表'!B21/2,C40*(POWER((1+F22),'数据-取费表'!B21/2)-1)),4)</f>
        <v>5.9999999999999995E-4</v>
      </c>
      <c r="D44" s="238"/>
      <c r="E44" s="238"/>
      <c r="F44" s="239"/>
      <c r="G44" s="3657"/>
    </row>
    <row r="45" spans="1:7" s="214" customFormat="1" ht="13.5" customHeight="1">
      <c r="A45" s="255" t="s">
        <v>1547</v>
      </c>
      <c r="B45" s="244" t="s">
        <v>1513</v>
      </c>
      <c r="C45" s="245">
        <f ca="1">C46</f>
        <v>24</v>
      </c>
      <c r="D45" s="235">
        <f ca="1">C47</f>
        <v>3.0000000000000001E-3</v>
      </c>
      <c r="E45" s="236" t="s">
        <v>1539</v>
      </c>
      <c r="F45" s="246">
        <f ca="1">F27</f>
        <v>0.15</v>
      </c>
      <c r="G45" s="247" t="s">
        <v>1548</v>
      </c>
    </row>
    <row r="46" spans="1:7" s="214" customFormat="1" ht="13.5" customHeight="1">
      <c r="A46" s="779" t="s">
        <v>346</v>
      </c>
      <c r="B46" s="248" t="s">
        <v>1549</v>
      </c>
      <c r="C46" s="249">
        <f ca="1">ROUND((C33+C39)*F27,0)</f>
        <v>24</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206</v>
      </c>
      <c r="D49" s="232"/>
      <c r="E49" s="232"/>
      <c r="F49" s="264"/>
      <c r="G49" s="234" t="s">
        <v>1554</v>
      </c>
    </row>
    <row r="50" spans="1:7" s="258" customFormat="1" ht="24">
      <c r="A50" s="255" t="s">
        <v>1555</v>
      </c>
      <c r="B50" s="210" t="s">
        <v>1556</v>
      </c>
      <c r="C50" s="232"/>
      <c r="D50" s="232"/>
      <c r="E50" s="232"/>
      <c r="F50" s="264">
        <f>IF('数据-取费表'!B24=0,'数据-取费表'!N16,1)</f>
        <v>0.71</v>
      </c>
      <c r="G50" s="247" t="s">
        <v>1557</v>
      </c>
    </row>
    <row r="51" spans="1:7" ht="16.5" customHeight="1">
      <c r="A51" s="255" t="s">
        <v>1558</v>
      </c>
      <c r="B51" s="210" t="s">
        <v>1559</v>
      </c>
      <c r="C51" s="232">
        <f ca="1">ROUND(C49*F50,0)</f>
        <v>146</v>
      </c>
      <c r="D51" s="232"/>
      <c r="E51" s="232"/>
      <c r="F51" s="264"/>
      <c r="G51" s="234" t="s">
        <v>1560</v>
      </c>
    </row>
    <row r="52" spans="1:7" s="208" customFormat="1" ht="16.5" thickBot="1">
      <c r="A52" s="265" t="s">
        <v>1561</v>
      </c>
      <c r="B52" s="266"/>
      <c r="C52" s="267">
        <f ca="1">C31+C51</f>
        <v>158</v>
      </c>
      <c r="D52" s="266"/>
      <c r="E52" s="266"/>
      <c r="F52" s="266"/>
      <c r="G52" s="268"/>
    </row>
    <row r="55" spans="1:7" ht="15">
      <c r="B55" s="270" t="s">
        <v>1562</v>
      </c>
      <c r="C55" s="271"/>
    </row>
    <row r="56" spans="1:7">
      <c r="B56" s="273" t="s">
        <v>802</v>
      </c>
      <c r="C56" s="275">
        <f ca="1">1-C57</f>
        <v>7.5999999999999956E-2</v>
      </c>
    </row>
    <row r="57" spans="1:7">
      <c r="B57" s="273" t="s">
        <v>803</v>
      </c>
      <c r="C57" s="274">
        <f ca="1">ROUND(C51/C52,3)</f>
        <v>0.92400000000000004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2" t="str">
        <f>项目基本情况!B1</f>
        <v>北京市大兴区黄村镇兴业大街76号楼1至2层1、2号商业用房房地产抵押价值预评估</v>
      </c>
      <c r="C37" s="3472"/>
      <c r="D37" s="3472"/>
      <c r="E37" s="3472"/>
      <c r="F37" s="3472"/>
      <c r="G37" s="3472"/>
      <c r="H37" s="3472"/>
      <c r="I37" s="347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170.19130000000001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3728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91310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91310</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91310</v>
      </c>
      <c r="D10" s="844">
        <f ca="1">IF(B1="",'数据-汇总表'!E6,IF(INDIRECT("'数据-取费表'!c"&amp;$G$1)="住宅",INDIRECT("'数据-取费表'!s"&amp;$G$1),INDIRECT("'数据-取费表'!k"&amp;$G$1)+INDIRECT("'数据-取费表'!s"&amp;$G$1)))</f>
        <v>456.55</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91310</v>
      </c>
      <c r="D19" s="848">
        <f ca="1">D9+D10</f>
        <v>456.55</v>
      </c>
      <c r="E19" s="211">
        <f>'数据-取费表'!B31</f>
        <v>200</v>
      </c>
      <c r="F19" s="231"/>
      <c r="G19" s="1855"/>
    </row>
    <row r="20" spans="1:7" s="214" customFormat="1" ht="13.5" customHeight="1">
      <c r="A20" s="255" t="s">
        <v>1574</v>
      </c>
      <c r="B20" s="210" t="s">
        <v>1575</v>
      </c>
      <c r="C20" s="232">
        <f ca="1">ROUND((C5+C19)*F20,0)</f>
        <v>5479</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11668</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5749</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5749</v>
      </c>
      <c r="D24" s="238"/>
      <c r="E24" s="238"/>
      <c r="F24" s="239"/>
      <c r="G24" s="240" t="s">
        <v>1586</v>
      </c>
    </row>
    <row r="25" spans="1:7" s="214" customFormat="1" ht="24">
      <c r="A25" s="779" t="s">
        <v>1476</v>
      </c>
      <c r="B25" s="215" t="s">
        <v>1587</v>
      </c>
      <c r="C25" s="1127">
        <f ca="1">ROUND(IF('数据-取费表'!B22&lt;=1,C20*F22*'数据-取费表'!B22/2,C20*(POWER((1+F22),'数据-取费表'!B22/2)-1)),0)</f>
        <v>170</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28215</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28215</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246734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1556836</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1369650</v>
      </c>
      <c r="D34" s="217"/>
      <c r="E34" s="220"/>
      <c r="F34" s="257"/>
      <c r="G34" s="219"/>
    </row>
    <row r="35" spans="1:7" ht="13.5" customHeight="1">
      <c r="A35" s="779" t="s">
        <v>351</v>
      </c>
      <c r="B35" s="215" t="s">
        <v>1527</v>
      </c>
      <c r="C35" s="220">
        <f ca="1">ROUND(C34*F35,0)</f>
        <v>68483</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91310</v>
      </c>
      <c r="D37" s="217">
        <f ca="1">D19</f>
        <v>456.55</v>
      </c>
      <c r="E37" s="249">
        <f>'数据-取费表'!B35</f>
        <v>200</v>
      </c>
      <c r="F37" s="259"/>
      <c r="G37" s="261"/>
    </row>
    <row r="38" spans="1:7" ht="13.5" customHeight="1">
      <c r="A38" s="779" t="s">
        <v>354</v>
      </c>
      <c r="B38" s="215" t="s">
        <v>1533</v>
      </c>
      <c r="C38" s="220">
        <f ca="1">ROUND(C34*F38,0)</f>
        <v>27393</v>
      </c>
      <c r="D38" s="220"/>
      <c r="E38" s="220"/>
      <c r="F38" s="259">
        <f>'数据-取费表'!B36</f>
        <v>0.02</v>
      </c>
      <c r="G38" s="219" t="s">
        <v>1528</v>
      </c>
    </row>
    <row r="39" spans="1:7" s="214" customFormat="1" ht="13.5" customHeight="1">
      <c r="A39" s="255" t="s">
        <v>1534</v>
      </c>
      <c r="B39" s="210" t="s">
        <v>1535</v>
      </c>
      <c r="C39" s="232">
        <f ca="1">ROUND(C33*F20,0)</f>
        <v>46705</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49710</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48262</v>
      </c>
      <c r="D42" s="238"/>
      <c r="E42" s="238"/>
      <c r="F42" s="239"/>
      <c r="G42" s="3655" t="s">
        <v>1591</v>
      </c>
    </row>
    <row r="43" spans="1:7" ht="13.5" customHeight="1">
      <c r="A43" s="779" t="s">
        <v>347</v>
      </c>
      <c r="B43" s="215" t="s">
        <v>1545</v>
      </c>
      <c r="C43" s="238">
        <f ca="1">ROUND(IF('数据-取费表'!B22&lt;=1,C39*F22*'数据-取费表'!B20/2,C39*(POWER((1+F22),'数据-取费表'!B20/2)-1)),0)</f>
        <v>1448</v>
      </c>
      <c r="D43" s="238"/>
      <c r="E43" s="238"/>
      <c r="F43" s="239"/>
      <c r="G43" s="3656"/>
    </row>
    <row r="44" spans="1:7" ht="13.5" customHeight="1">
      <c r="A44" s="779" t="s">
        <v>348</v>
      </c>
      <c r="B44" s="215" t="s">
        <v>1546</v>
      </c>
      <c r="C44" s="238">
        <f ca="1">ROUND(IF('数据-取费表'!B22&lt;=1,C40*F22*'数据-取费表'!B20/2,C40*(POWER((1+F22),'数据-取费表'!B20/2)-1)),4)</f>
        <v>5.9999999999999995E-4</v>
      </c>
      <c r="D44" s="238"/>
      <c r="E44" s="238"/>
      <c r="F44" s="239"/>
      <c r="G44" s="3657"/>
    </row>
    <row r="45" spans="1:7" s="214" customFormat="1" ht="13.5" customHeight="1">
      <c r="A45" s="255" t="s">
        <v>1547</v>
      </c>
      <c r="B45" s="244" t="s">
        <v>1513</v>
      </c>
      <c r="C45" s="245">
        <f ca="1">C46</f>
        <v>240531</v>
      </c>
      <c r="D45" s="235">
        <f ca="1">C47</f>
        <v>3.0000000000000001E-3</v>
      </c>
      <c r="E45" s="236" t="s">
        <v>1539</v>
      </c>
      <c r="F45" s="246">
        <f ca="1">F27</f>
        <v>0.15</v>
      </c>
      <c r="G45" s="247" t="s">
        <v>1548</v>
      </c>
    </row>
    <row r="46" spans="1:7" s="214" customFormat="1" ht="13.5" customHeight="1">
      <c r="A46" s="779" t="s">
        <v>346</v>
      </c>
      <c r="B46" s="248" t="s">
        <v>1549</v>
      </c>
      <c r="C46" s="249">
        <f ca="1">ROUND((C33+C39)*F27,0)</f>
        <v>240531</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2049548</v>
      </c>
      <c r="D49" s="232"/>
      <c r="E49" s="232"/>
      <c r="F49" s="264"/>
      <c r="G49" s="234" t="s">
        <v>1554</v>
      </c>
    </row>
    <row r="50" spans="1:7" s="258" customFormat="1">
      <c r="A50" s="255" t="s">
        <v>1555</v>
      </c>
      <c r="B50" s="210" t="s">
        <v>1556</v>
      </c>
      <c r="C50" s="232"/>
      <c r="D50" s="232"/>
      <c r="E50" s="232"/>
      <c r="F50" s="264">
        <f>IF('数据-取费表'!B24=0,'数据-取费表'!N16,1)</f>
        <v>0.71</v>
      </c>
      <c r="G50" s="247"/>
    </row>
    <row r="51" spans="1:7" ht="16.5" customHeight="1">
      <c r="A51" s="255" t="s">
        <v>1558</v>
      </c>
      <c r="B51" s="210" t="s">
        <v>1593</v>
      </c>
      <c r="C51" s="232">
        <f ca="1">ROUND(C49*F50,0)</f>
        <v>1455179</v>
      </c>
      <c r="D51" s="232"/>
      <c r="E51" s="232"/>
      <c r="F51" s="264"/>
      <c r="G51" s="234" t="s">
        <v>1560</v>
      </c>
    </row>
    <row r="52" spans="1:7" s="208" customFormat="1" ht="16.5" thickBot="1">
      <c r="A52" s="265" t="s">
        <v>1561</v>
      </c>
      <c r="B52" s="266"/>
      <c r="C52" s="267">
        <f ca="1">C31+C51</f>
        <v>1701913</v>
      </c>
      <c r="D52" s="266"/>
      <c r="E52" s="266"/>
      <c r="F52" s="266"/>
      <c r="G52" s="268"/>
    </row>
    <row r="55" spans="1:7" ht="15">
      <c r="B55" s="270" t="s">
        <v>1562</v>
      </c>
      <c r="C55" s="271"/>
    </row>
    <row r="56" spans="1:7">
      <c r="B56" s="273" t="s">
        <v>802</v>
      </c>
      <c r="C56" s="275">
        <f ca="1">1-C57</f>
        <v>0.14500000000000002</v>
      </c>
    </row>
    <row r="57" spans="1:7">
      <c r="B57" s="273" t="s">
        <v>803</v>
      </c>
      <c r="C57" s="274">
        <f ca="1">ROUND(C51/C52,3)</f>
        <v>0.85499999999999998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-10</v>
      </c>
      <c r="C2" s="276" t="s">
        <v>1595</v>
      </c>
      <c r="D2" s="276"/>
      <c r="E2" s="2804"/>
      <c r="F2" s="2804"/>
      <c r="G2" s="2804"/>
      <c r="H2" s="2804"/>
      <c r="I2" s="2804"/>
      <c r="J2" s="2804"/>
      <c r="K2" s="2804"/>
    </row>
    <row r="3" spans="1:33" ht="18" customHeight="1" thickBot="1">
      <c r="A3" s="203" t="s">
        <v>1464</v>
      </c>
      <c r="B3" s="204">
        <f ca="1">ROUND(B2*10000/IF(C1="",'数据-汇总表'!E3,INDIRECT("'数据-取费表'!K"&amp;$K$1)),0)</f>
        <v>-219</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456.55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456.55</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9</v>
      </c>
      <c r="D20" s="845">
        <f ca="1">IF(C1="",'数据-汇总表'!E6,IF(INDIRECT("'数据-取费表'!c"&amp;$K$1)="住宅",INDIRECT("'数据-取费表'!s"&amp;$K$1),INDIRECT("'数据-取费表'!k"&amp;$K$1)+INDIRECT("'数据-取费表'!s"&amp;$K$1)))</f>
        <v>456.55</v>
      </c>
      <c r="E20" s="21">
        <f>'数据-取费表'!B28</f>
        <v>200</v>
      </c>
      <c r="F20" s="803"/>
      <c r="G20" s="12"/>
      <c r="H20" s="808"/>
      <c r="I20" s="808"/>
      <c r="J20" s="808"/>
      <c r="K20" s="809"/>
    </row>
    <row r="21" spans="1:33" s="802" customFormat="1" ht="13.5" customHeight="1">
      <c r="A21" s="789" t="s">
        <v>357</v>
      </c>
      <c r="B21" s="812" t="s">
        <v>1628</v>
      </c>
      <c r="C21" s="813">
        <f ca="1">C16+C17+C18</f>
        <v>9</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1</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-10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0" t="s">
        <v>694</v>
      </c>
      <c r="C6" s="1073">
        <f ca="1">ROUND(F6*F8*F7*(1-F9)/10000,0)</f>
        <v>0</v>
      </c>
      <c r="D6" s="155" t="s">
        <v>2109</v>
      </c>
      <c r="E6" s="302" t="s">
        <v>696</v>
      </c>
      <c r="F6" s="303">
        <f ca="1">INDIRECT("'数据-取费表'!u"&amp;$G$1)</f>
        <v>0</v>
      </c>
      <c r="G6" s="1383"/>
      <c r="H6" s="1068" t="s">
        <v>398</v>
      </c>
      <c r="I6" s="3660" t="s">
        <v>694</v>
      </c>
      <c r="J6" s="301">
        <f ca="1">ROUND(M6*M8*M7*(1-M9)/10000,0)</f>
        <v>0</v>
      </c>
      <c r="K6" s="155" t="s">
        <v>2108</v>
      </c>
      <c r="L6" s="302" t="s">
        <v>696</v>
      </c>
      <c r="M6" s="303">
        <f ca="1">INDIRECT("'数据-取费表'!z"&amp;$G$1)</f>
        <v>0</v>
      </c>
    </row>
    <row r="7" spans="1:37" ht="18" customHeight="1">
      <c r="A7" s="1072"/>
      <c r="B7" s="3661"/>
      <c r="C7" s="1074"/>
      <c r="D7" s="307"/>
      <c r="E7" s="1075" t="s">
        <v>697</v>
      </c>
      <c r="F7" s="303">
        <f ca="1">IF(INDIRECT("'数据-取费表'!ah"&amp;$G$1)="",INDIRECT("'数据-取费表'!k"&amp;$G$1),INDIRECT("'数据-取费表'!ah"&amp;$G$1))</f>
        <v>0</v>
      </c>
      <c r="G7" s="1383"/>
      <c r="H7" s="304"/>
      <c r="I7" s="3661"/>
      <c r="J7" s="306"/>
      <c r="K7" s="307"/>
      <c r="L7" s="302" t="s">
        <v>697</v>
      </c>
      <c r="M7" s="303">
        <f ca="1">F7</f>
        <v>0</v>
      </c>
    </row>
    <row r="8" spans="1:37" ht="18" customHeight="1">
      <c r="A8" s="304"/>
      <c r="B8" s="3661"/>
      <c r="C8" s="306"/>
      <c r="D8" s="307"/>
      <c r="E8" s="302" t="s">
        <v>698</v>
      </c>
      <c r="F8" s="303">
        <f ca="1">INDIRECT("'数据-取费表'!ai"&amp;$G$1)</f>
        <v>0</v>
      </c>
      <c r="G8" s="1383"/>
      <c r="H8" s="304"/>
      <c r="I8" s="3661"/>
      <c r="J8" s="306"/>
      <c r="K8" s="307"/>
      <c r="L8" s="302" t="s">
        <v>698</v>
      </c>
      <c r="M8" s="303">
        <f ca="1">INDIRECT("'数据-取费表'!ai"&amp;$G$1)</f>
        <v>0</v>
      </c>
    </row>
    <row r="9" spans="1:37" ht="18" customHeight="1">
      <c r="A9" s="304"/>
      <c r="B9" s="3662"/>
      <c r="C9" s="306"/>
      <c r="D9" s="307"/>
      <c r="E9" s="302" t="s">
        <v>699</v>
      </c>
      <c r="F9" s="312">
        <f ca="1">INDIRECT("'数据-取费表'!w"&amp;$G$1)</f>
        <v>0</v>
      </c>
      <c r="G9" s="1383"/>
      <c r="H9" s="304"/>
      <c r="I9" s="3662"/>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4"/>
      <c r="L30" s="2696"/>
      <c r="M30" s="2697"/>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6" t="s">
        <v>2306</v>
      </c>
      <c r="I31" s="1397"/>
      <c r="J31" s="1398"/>
      <c r="K31" s="2474"/>
      <c r="L31" s="2696"/>
      <c r="M31" s="2697"/>
    </row>
    <row r="32" spans="1:37" ht="18" customHeight="1">
      <c r="A32" s="981" t="s">
        <v>397</v>
      </c>
      <c r="B32" s="302" t="s">
        <v>723</v>
      </c>
      <c r="C32" s="21" t="str">
        <f>IF(项目基本情况!B11="自然人","——",ROUND(C6*F32/(1+'数据-取费表'!C42),2))</f>
        <v>——</v>
      </c>
      <c r="D32" s="1343" t="s">
        <v>724</v>
      </c>
      <c r="E32" s="302" t="s">
        <v>712</v>
      </c>
      <c r="F32" s="331">
        <f>'数据-取费表'!B41</f>
        <v>5.5000000000000007E-2</v>
      </c>
      <c r="G32" s="1383"/>
      <c r="H32" s="2695"/>
      <c r="I32" s="1397"/>
      <c r="J32" s="1398"/>
      <c r="K32" s="2474"/>
      <c r="L32" s="2696"/>
      <c r="M32" s="2697"/>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3336</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t="str">
        <f>IF(项目基本情况!B11="自然人","——",ROUND(F34*F35/10000,2))</f>
        <v>——</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3"/>
      <c r="L36" s="2698"/>
      <c r="M36" s="2698"/>
    </row>
    <row r="37" spans="1:18" ht="18" customHeight="1">
      <c r="A37" s="981" t="s">
        <v>437</v>
      </c>
      <c r="B37" s="302" t="s">
        <v>742</v>
      </c>
      <c r="C37" s="21">
        <f ca="1">ROUND(C13*F37,2)</f>
        <v>0</v>
      </c>
      <c r="D37" s="1343" t="s">
        <v>743</v>
      </c>
      <c r="E37" s="302" t="s">
        <v>744</v>
      </c>
      <c r="F37" s="330">
        <f ca="1">INDIRECT("'数据-取费表'!Al"&amp;$G$1)</f>
        <v>0</v>
      </c>
      <c r="G37" s="1383"/>
      <c r="H37" s="2698"/>
      <c r="I37" s="1397"/>
      <c r="J37" s="1398"/>
      <c r="K37" s="2543"/>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58" t="s">
        <v>837</v>
      </c>
      <c r="L53" s="3659"/>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6" zoomScale="90" zoomScaleNormal="90" zoomScaleSheetLayoutView="90"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3431</v>
      </c>
      <c r="E1" s="3424" t="s">
        <v>3446</v>
      </c>
      <c r="F1" s="1878" t="s">
        <v>3447</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1703.2967000000001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37308</v>
      </c>
      <c r="C3" s="354" t="s">
        <v>1768</v>
      </c>
      <c r="D3" s="353">
        <f>IF(D1="",'数据-汇总表'!E3,SUMIF('数据-汇总表'!$C19:$C33,D1,'数据-汇总表'!$E19:$E33))</f>
        <v>456.55</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702" t="s">
        <v>1770</v>
      </c>
      <c r="D4" s="3703"/>
      <c r="E4" s="3704" t="s">
        <v>1771</v>
      </c>
      <c r="F4" s="3705"/>
      <c r="G4" s="3702" t="s">
        <v>1772</v>
      </c>
      <c r="H4" s="3703"/>
      <c r="I4" s="3702" t="s">
        <v>1773</v>
      </c>
      <c r="J4" s="3703"/>
      <c r="K4" s="559" t="s">
        <v>1774</v>
      </c>
      <c r="L4" s="2713"/>
      <c r="M4" s="2714"/>
      <c r="N4" s="2714"/>
      <c r="O4" s="2714"/>
      <c r="P4" s="3706" t="s">
        <v>1775</v>
      </c>
      <c r="Q4" s="3707"/>
      <c r="R4" s="3712" t="s">
        <v>1771</v>
      </c>
      <c r="S4" s="3713"/>
      <c r="T4" s="3712" t="s">
        <v>1772</v>
      </c>
      <c r="U4" s="3713"/>
      <c r="V4" s="3718" t="s">
        <v>1773</v>
      </c>
      <c r="W4" s="3718"/>
      <c r="X4" s="1354"/>
      <c r="Y4" s="3712" t="s">
        <v>1775</v>
      </c>
      <c r="Z4" s="3713"/>
      <c r="AA4" s="3699" t="s">
        <v>1771</v>
      </c>
      <c r="AB4" s="3718" t="s">
        <v>1772</v>
      </c>
      <c r="AC4" s="3699" t="s">
        <v>1773</v>
      </c>
    </row>
    <row r="5" spans="1:29" ht="15">
      <c r="A5" s="358"/>
      <c r="B5" s="359"/>
      <c r="C5" s="3721" t="s">
        <v>1673</v>
      </c>
      <c r="D5" s="3722"/>
      <c r="E5" s="3826" t="s">
        <v>3523</v>
      </c>
      <c r="F5" s="3729"/>
      <c r="G5" s="3827" t="s">
        <v>3524</v>
      </c>
      <c r="H5" s="3722"/>
      <c r="I5" s="3827" t="s">
        <v>3514</v>
      </c>
      <c r="J5" s="3722"/>
      <c r="K5" s="559"/>
      <c r="L5" s="2713"/>
      <c r="M5" s="2714"/>
      <c r="N5" s="2714"/>
      <c r="O5" s="2714"/>
      <c r="P5" s="3708"/>
      <c r="Q5" s="3709"/>
      <c r="R5" s="3714"/>
      <c r="S5" s="3715"/>
      <c r="T5" s="3714"/>
      <c r="U5" s="3715"/>
      <c r="V5" s="3718"/>
      <c r="W5" s="3718"/>
      <c r="X5" s="1354"/>
      <c r="Y5" s="3714"/>
      <c r="Z5" s="3715"/>
      <c r="AA5" s="3700"/>
      <c r="AB5" s="3718"/>
      <c r="AC5" s="3700"/>
    </row>
    <row r="6" spans="1:29" ht="15.75" thickBot="1">
      <c r="A6" s="360"/>
      <c r="B6" s="361"/>
      <c r="C6" s="3719" t="s">
        <v>1677</v>
      </c>
      <c r="D6" s="3720"/>
      <c r="E6" s="3726" t="s">
        <v>1677</v>
      </c>
      <c r="F6" s="3727"/>
      <c r="G6" s="3719" t="s">
        <v>1677</v>
      </c>
      <c r="H6" s="3720"/>
      <c r="I6" s="3719" t="s">
        <v>1677</v>
      </c>
      <c r="J6" s="3720"/>
      <c r="K6" s="559" t="s">
        <v>1678</v>
      </c>
      <c r="L6" s="2713"/>
      <c r="M6" s="2714"/>
      <c r="N6" s="2714"/>
      <c r="O6" s="2714"/>
      <c r="P6" s="3710"/>
      <c r="Q6" s="3711"/>
      <c r="R6" s="3714"/>
      <c r="S6" s="3715"/>
      <c r="T6" s="3716"/>
      <c r="U6" s="3717"/>
      <c r="V6" s="3718"/>
      <c r="W6" s="3718"/>
      <c r="X6" s="1354"/>
      <c r="Y6" s="3716"/>
      <c r="Z6" s="3717"/>
      <c r="AA6" s="3701"/>
      <c r="AB6" s="3718"/>
      <c r="AC6" s="3701"/>
    </row>
    <row r="7" spans="1:29" s="108" customFormat="1" ht="15.75" thickBot="1">
      <c r="A7" s="362" t="s">
        <v>1679</v>
      </c>
      <c r="B7" s="363"/>
      <c r="C7" s="364">
        <f>'数据-取费表'!B2</f>
        <v>45793</v>
      </c>
      <c r="D7" s="365">
        <v>100</v>
      </c>
      <c r="E7" s="366">
        <f>C7</f>
        <v>45793</v>
      </c>
      <c r="F7" s="367">
        <f>SUMIF(58:58,YEAR(E7)&amp;"-"&amp;MONTH(E7),59:59)</f>
        <v>100</v>
      </c>
      <c r="G7" s="366">
        <f>C7</f>
        <v>45793</v>
      </c>
      <c r="H7" s="365">
        <f>SUMIF(58:58,YEAR(G7)&amp;"-"&amp;MONTH(G7),59:59)</f>
        <v>100</v>
      </c>
      <c r="I7" s="366">
        <f>C7</f>
        <v>45793</v>
      </c>
      <c r="J7" s="365">
        <f>SUMIF(58:58,YEAR(I7)&amp;"-"&amp;MONTH(I7),59:59)</f>
        <v>100</v>
      </c>
      <c r="K7" s="560"/>
      <c r="L7" s="2715"/>
      <c r="M7" s="2716"/>
      <c r="N7" s="2716"/>
      <c r="O7" s="2716"/>
      <c r="P7" s="3723" t="s">
        <v>1680</v>
      </c>
      <c r="Q7" s="3725"/>
      <c r="R7" s="700" t="s">
        <v>14</v>
      </c>
      <c r="S7" s="701">
        <f t="shared" ref="S7:S15" si="0">F7</f>
        <v>100</v>
      </c>
      <c r="T7" s="700" t="s">
        <v>14</v>
      </c>
      <c r="U7" s="701">
        <f t="shared" ref="U7:U15" si="1">H7</f>
        <v>100</v>
      </c>
      <c r="V7" s="700" t="s">
        <v>14</v>
      </c>
      <c r="W7" s="701">
        <f t="shared" ref="W7:W15" si="2">J7</f>
        <v>100</v>
      </c>
      <c r="X7" s="702"/>
      <c r="Y7" s="3723" t="s">
        <v>1680</v>
      </c>
      <c r="Z7" s="3724"/>
      <c r="AA7" s="703">
        <f>D7/F7</f>
        <v>1</v>
      </c>
      <c r="AB7" s="703">
        <f>D7/H7</f>
        <v>1</v>
      </c>
      <c r="AC7" s="703">
        <f>D7/J7</f>
        <v>1</v>
      </c>
    </row>
    <row r="8" spans="1:29" s="108" customFormat="1" ht="15.75" thickBot="1">
      <c r="A8" s="362" t="s">
        <v>1681</v>
      </c>
      <c r="B8" s="363"/>
      <c r="C8" s="368" t="s">
        <v>3441</v>
      </c>
      <c r="D8" s="365">
        <v>100</v>
      </c>
      <c r="E8" s="368" t="s">
        <v>3448</v>
      </c>
      <c r="F8" s="367">
        <f>SUMIF(61:61,E8,62:62)-SUMIF(61:61,C8,62:62)+100</f>
        <v>103</v>
      </c>
      <c r="G8" s="368" t="s">
        <v>3448</v>
      </c>
      <c r="H8" s="365">
        <f>SUMIF(61:61,G8,62:62)-SUMIF(61:61,C8,62:62)+100</f>
        <v>103</v>
      </c>
      <c r="I8" s="368" t="s">
        <v>3448</v>
      </c>
      <c r="J8" s="365">
        <f>SUMIF(61:61,I8,62:62)-SUMIF(61:61,C8,62:62)+100</f>
        <v>103</v>
      </c>
      <c r="K8" s="560"/>
      <c r="L8" s="2715"/>
      <c r="M8" s="2716"/>
      <c r="N8" s="2716"/>
      <c r="O8" s="2716"/>
      <c r="P8" s="3723" t="s">
        <v>1683</v>
      </c>
      <c r="Q8" s="3724"/>
      <c r="R8" s="700" t="s">
        <v>14</v>
      </c>
      <c r="S8" s="701">
        <f t="shared" si="0"/>
        <v>103</v>
      </c>
      <c r="T8" s="700" t="s">
        <v>14</v>
      </c>
      <c r="U8" s="701">
        <f t="shared" si="1"/>
        <v>103</v>
      </c>
      <c r="V8" s="700" t="s">
        <v>14</v>
      </c>
      <c r="W8" s="701">
        <f t="shared" si="2"/>
        <v>103</v>
      </c>
      <c r="X8" s="702"/>
      <c r="Y8" s="3723" t="s">
        <v>1683</v>
      </c>
      <c r="Z8" s="3724"/>
      <c r="AA8" s="703">
        <f t="shared" ref="AA8:AA46" si="3">D8/F8</f>
        <v>0.970873786407767</v>
      </c>
      <c r="AB8" s="703">
        <f t="shared" ref="AB8:AB46" si="4">D8/H8</f>
        <v>0.970873786407767</v>
      </c>
      <c r="AC8" s="703">
        <f t="shared" ref="AC8:AC46" si="5">D8/J8</f>
        <v>0.970873786407767</v>
      </c>
    </row>
    <row r="9" spans="1:29" s="108" customFormat="1" ht="15">
      <c r="A9" s="369" t="s">
        <v>1684</v>
      </c>
      <c r="B9" s="63" t="s">
        <v>1685</v>
      </c>
      <c r="C9" s="3819" t="s">
        <v>3493</v>
      </c>
      <c r="D9" s="126">
        <v>100</v>
      </c>
      <c r="E9" s="3819" t="s">
        <v>3493</v>
      </c>
      <c r="F9" s="372">
        <f>SUMIF(63:63,E9,64:64)-SUMIF(63:63,C9,64:64)+100</f>
        <v>100</v>
      </c>
      <c r="G9" s="3819" t="s">
        <v>3493</v>
      </c>
      <c r="H9" s="126">
        <f>SUMIF(63:63,G9,64:64)-SUMIF(63:63,C9,64:64)+100</f>
        <v>100</v>
      </c>
      <c r="I9" s="3819" t="s">
        <v>3493</v>
      </c>
      <c r="J9" s="126">
        <f>SUMIF(63:63,I9,64:64)-SUMIF(63:63,C9,64:64)+100</f>
        <v>100</v>
      </c>
      <c r="K9" s="560"/>
      <c r="L9" s="2715"/>
      <c r="M9" s="2716"/>
      <c r="N9" s="2716"/>
      <c r="O9" s="2716"/>
      <c r="P9" s="3698"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29" s="378" customFormat="1" ht="27">
      <c r="A10" s="374"/>
      <c r="B10" s="375" t="s">
        <v>1688</v>
      </c>
      <c r="C10" s="3432" t="str">
        <f>E65</f>
        <v>20（含）~10</v>
      </c>
      <c r="D10" s="127">
        <v>100</v>
      </c>
      <c r="E10" s="3433" t="str">
        <f>D65</f>
        <v>30（含）~20</v>
      </c>
      <c r="F10" s="376">
        <f>SUMIF(65:65,E10,66:66)-SUMIF(65:65,C10,66:66)+100</f>
        <v>102</v>
      </c>
      <c r="G10" s="3432" t="str">
        <f>D65</f>
        <v>30（含）~20</v>
      </c>
      <c r="H10" s="127">
        <f>SUMIF(65:65,G10,66:66)-SUMIF(65:65,C10,66:66)+100</f>
        <v>102</v>
      </c>
      <c r="I10" s="3432" t="str">
        <f>D65</f>
        <v>30（含）~20</v>
      </c>
      <c r="J10" s="127">
        <f>SUMIF(65:65,I10,66:66)-SUMIF(65:65,C10,66:66)+100</f>
        <v>102</v>
      </c>
      <c r="K10" s="560"/>
      <c r="L10" s="2717"/>
      <c r="M10" s="2718"/>
      <c r="N10" s="2718"/>
      <c r="O10" s="2718"/>
      <c r="P10" s="3698"/>
      <c r="Q10" s="1342" t="str">
        <f t="shared" si="6"/>
        <v>土地使用年限（年）</v>
      </c>
      <c r="R10" s="700" t="s">
        <v>14</v>
      </c>
      <c r="S10" s="701">
        <f t="shared" si="0"/>
        <v>102</v>
      </c>
      <c r="T10" s="700" t="s">
        <v>14</v>
      </c>
      <c r="U10" s="701">
        <f t="shared" si="1"/>
        <v>102</v>
      </c>
      <c r="V10" s="700" t="s">
        <v>14</v>
      </c>
      <c r="W10" s="701">
        <f t="shared" si="2"/>
        <v>102</v>
      </c>
      <c r="X10" s="702"/>
      <c r="Y10" s="3562"/>
      <c r="Z10" s="52" t="str">
        <f t="shared" si="7"/>
        <v>土地使用年限（年）</v>
      </c>
      <c r="AA10" s="703">
        <f t="shared" si="3"/>
        <v>0.98039215686274506</v>
      </c>
      <c r="AB10" s="703">
        <f t="shared" si="4"/>
        <v>0.98039215686274506</v>
      </c>
      <c r="AC10" s="703">
        <f t="shared" si="5"/>
        <v>0.98039215686274506</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98"/>
      <c r="Q11" s="1342" t="str">
        <f t="shared" si="6"/>
        <v>容积率</v>
      </c>
      <c r="R11" s="700" t="s">
        <v>14</v>
      </c>
      <c r="S11" s="701">
        <f t="shared" si="0"/>
        <v>100</v>
      </c>
      <c r="T11" s="700" t="s">
        <v>14</v>
      </c>
      <c r="U11" s="701">
        <f t="shared" si="1"/>
        <v>100</v>
      </c>
      <c r="V11" s="700" t="s">
        <v>14</v>
      </c>
      <c r="W11" s="701">
        <f t="shared" si="2"/>
        <v>100</v>
      </c>
      <c r="X11" s="702"/>
      <c r="Y11" s="3562"/>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8"/>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8"/>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8"/>
      <c r="Q14" s="1342">
        <f t="shared" si="6"/>
        <v>111</v>
      </c>
      <c r="R14" s="700" t="s">
        <v>14</v>
      </c>
      <c r="S14" s="701">
        <f t="shared" si="0"/>
        <v>100</v>
      </c>
      <c r="T14" s="700" t="s">
        <v>14</v>
      </c>
      <c r="U14" s="701">
        <f t="shared" si="1"/>
        <v>100</v>
      </c>
      <c r="V14" s="700" t="s">
        <v>14</v>
      </c>
      <c r="W14" s="701">
        <f t="shared" si="2"/>
        <v>100</v>
      </c>
      <c r="X14" s="702"/>
      <c r="Y14" s="3562"/>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102</v>
      </c>
      <c r="I15" s="393"/>
      <c r="J15" s="392">
        <f>SUMIF(76:76,I16,77:77)-SUMIF(76:76,C16,77:77)+100</f>
        <v>100</v>
      </c>
      <c r="K15" s="563">
        <v>2</v>
      </c>
      <c r="L15" s="2720"/>
      <c r="M15" s="2714"/>
      <c r="N15" s="2714"/>
      <c r="O15" s="2714"/>
      <c r="P15" s="3696" t="s">
        <v>1691</v>
      </c>
      <c r="Q15" s="1351" t="str">
        <f t="shared" si="6"/>
        <v>商业繁华度</v>
      </c>
      <c r="R15" s="704" t="s">
        <v>14</v>
      </c>
      <c r="S15" s="705">
        <f t="shared" si="0"/>
        <v>100</v>
      </c>
      <c r="T15" s="704" t="s">
        <v>14</v>
      </c>
      <c r="U15" s="705">
        <f t="shared" si="1"/>
        <v>102</v>
      </c>
      <c r="V15" s="704" t="s">
        <v>14</v>
      </c>
      <c r="W15" s="705">
        <f t="shared" si="2"/>
        <v>100</v>
      </c>
      <c r="X15" s="1354"/>
      <c r="Y15" s="3689" t="s">
        <v>1691</v>
      </c>
      <c r="Z15" s="1355" t="str">
        <f t="shared" si="7"/>
        <v>商业繁华度</v>
      </c>
      <c r="AA15" s="1352">
        <f t="shared" si="3"/>
        <v>1</v>
      </c>
      <c r="AB15" s="1352">
        <f t="shared" si="4"/>
        <v>0.98039215686274506</v>
      </c>
      <c r="AC15" s="1352">
        <f t="shared" si="5"/>
        <v>1</v>
      </c>
    </row>
    <row r="16" spans="1:29" ht="15">
      <c r="A16" s="379"/>
      <c r="B16" s="397"/>
      <c r="C16" s="398" t="s">
        <v>3459</v>
      </c>
      <c r="D16" s="399"/>
      <c r="E16" s="398" t="s">
        <v>3459</v>
      </c>
      <c r="F16" s="400"/>
      <c r="G16" s="398" t="s">
        <v>3458</v>
      </c>
      <c r="H16" s="401"/>
      <c r="I16" s="398" t="s">
        <v>3459</v>
      </c>
      <c r="J16" s="399"/>
      <c r="K16" s="564"/>
      <c r="L16" s="2720"/>
      <c r="M16" s="2714"/>
      <c r="N16" s="2714"/>
      <c r="O16" s="2714"/>
      <c r="P16" s="3697"/>
      <c r="Q16" s="1351"/>
      <c r="R16" s="704"/>
      <c r="S16" s="705"/>
      <c r="T16" s="704"/>
      <c r="U16" s="705"/>
      <c r="V16" s="704"/>
      <c r="W16" s="705"/>
      <c r="X16" s="1354"/>
      <c r="Y16" s="3690"/>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97"/>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352">
        <f t="shared" si="5"/>
        <v>1</v>
      </c>
    </row>
    <row r="18" spans="1:29" ht="15">
      <c r="A18" s="379"/>
      <c r="B18" s="407"/>
      <c r="C18" s="1900" t="s">
        <v>3458</v>
      </c>
      <c r="D18" s="401"/>
      <c r="E18" s="1900" t="s">
        <v>3458</v>
      </c>
      <c r="F18" s="404"/>
      <c r="G18" s="1900" t="s">
        <v>3458</v>
      </c>
      <c r="H18" s="399"/>
      <c r="I18" s="1900" t="s">
        <v>3458</v>
      </c>
      <c r="J18" s="399"/>
      <c r="K18" s="564"/>
      <c r="L18" s="2720"/>
      <c r="M18" s="2714"/>
      <c r="N18" s="2714"/>
      <c r="O18" s="2714"/>
      <c r="P18" s="3697"/>
      <c r="Q18" s="1351"/>
      <c r="R18" s="704"/>
      <c r="S18" s="705"/>
      <c r="T18" s="704"/>
      <c r="U18" s="705"/>
      <c r="V18" s="704"/>
      <c r="W18" s="705"/>
      <c r="X18" s="1354"/>
      <c r="Y18" s="3690"/>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97"/>
      <c r="Q19" s="1351" t="str">
        <f>B19</f>
        <v>公共配套设施</v>
      </c>
      <c r="R19" s="704" t="s">
        <v>14</v>
      </c>
      <c r="S19" s="705">
        <f>F19</f>
        <v>100</v>
      </c>
      <c r="T19" s="704" t="s">
        <v>14</v>
      </c>
      <c r="U19" s="705">
        <f>H19</f>
        <v>100</v>
      </c>
      <c r="V19" s="704" t="s">
        <v>14</v>
      </c>
      <c r="W19" s="705">
        <f>J19</f>
        <v>100</v>
      </c>
      <c r="X19" s="1354"/>
      <c r="Y19" s="3690"/>
      <c r="Z19" s="1355" t="str">
        <f>Q19</f>
        <v>公共配套设施</v>
      </c>
      <c r="AA19" s="1352">
        <f t="shared" si="3"/>
        <v>1</v>
      </c>
      <c r="AB19" s="1352">
        <f t="shared" si="4"/>
        <v>1</v>
      </c>
      <c r="AC19" s="1352">
        <f t="shared" si="5"/>
        <v>1</v>
      </c>
    </row>
    <row r="20" spans="1:29" ht="15">
      <c r="A20" s="379"/>
      <c r="B20" s="407"/>
      <c r="C20" s="398" t="s">
        <v>3458</v>
      </c>
      <c r="D20" s="399"/>
      <c r="E20" s="398" t="s">
        <v>3458</v>
      </c>
      <c r="F20" s="400"/>
      <c r="G20" s="398" t="s">
        <v>3458</v>
      </c>
      <c r="H20" s="399"/>
      <c r="I20" s="398" t="s">
        <v>3458</v>
      </c>
      <c r="J20" s="399"/>
      <c r="K20" s="564"/>
      <c r="L20" s="2720"/>
      <c r="M20" s="2714"/>
      <c r="N20" s="2714"/>
      <c r="O20" s="2714"/>
      <c r="P20" s="3697"/>
      <c r="Q20" s="1351"/>
      <c r="R20" s="704"/>
      <c r="S20" s="705"/>
      <c r="T20" s="704"/>
      <c r="U20" s="705"/>
      <c r="V20" s="704"/>
      <c r="W20" s="705"/>
      <c r="X20" s="1354"/>
      <c r="Y20" s="3690"/>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97"/>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t="s">
        <v>3480</v>
      </c>
      <c r="D22" s="399"/>
      <c r="E22" s="1900" t="s">
        <v>3480</v>
      </c>
      <c r="F22" s="400"/>
      <c r="G22" s="1900" t="s">
        <v>3480</v>
      </c>
      <c r="H22" s="399"/>
      <c r="I22" s="1900" t="s">
        <v>3480</v>
      </c>
      <c r="J22" s="399"/>
      <c r="K22" s="1129"/>
      <c r="L22" s="2720"/>
      <c r="M22" s="2714"/>
      <c r="N22" s="2714"/>
      <c r="O22" s="2714"/>
      <c r="P22" s="3697"/>
      <c r="Q22" s="1351"/>
      <c r="R22" s="704"/>
      <c r="S22" s="705"/>
      <c r="T22" s="704"/>
      <c r="U22" s="705"/>
      <c r="V22" s="704"/>
      <c r="W22" s="705"/>
      <c r="X22" s="1354"/>
      <c r="Y22" s="3690"/>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97"/>
      <c r="Q23" s="1351" t="str">
        <f>B23</f>
        <v>自然及人文环境</v>
      </c>
      <c r="R23" s="704" t="s">
        <v>14</v>
      </c>
      <c r="S23" s="705">
        <f>F23</f>
        <v>100</v>
      </c>
      <c r="T23" s="704" t="s">
        <v>14</v>
      </c>
      <c r="U23" s="705">
        <f>H23</f>
        <v>100</v>
      </c>
      <c r="V23" s="704" t="s">
        <v>14</v>
      </c>
      <c r="W23" s="705">
        <f>J23</f>
        <v>100</v>
      </c>
      <c r="X23" s="1354"/>
      <c r="Y23" s="3690"/>
      <c r="Z23" s="1355" t="str">
        <f>Q23</f>
        <v>自然及人文环境</v>
      </c>
      <c r="AA23" s="1352">
        <f t="shared" si="3"/>
        <v>1</v>
      </c>
      <c r="AB23" s="1352">
        <f t="shared" si="4"/>
        <v>1</v>
      </c>
      <c r="AC23" s="1352">
        <f t="shared" si="5"/>
        <v>1</v>
      </c>
    </row>
    <row r="24" spans="1:29" ht="15">
      <c r="A24" s="379"/>
      <c r="B24" s="407"/>
      <c r="C24" s="398" t="s">
        <v>3458</v>
      </c>
      <c r="D24" s="399"/>
      <c r="E24" s="398" t="s">
        <v>3458</v>
      </c>
      <c r="F24" s="400"/>
      <c r="G24" s="398" t="s">
        <v>3458</v>
      </c>
      <c r="H24" s="399"/>
      <c r="I24" s="398" t="s">
        <v>3458</v>
      </c>
      <c r="J24" s="399"/>
      <c r="K24" s="564"/>
      <c r="L24" s="2720"/>
      <c r="M24" s="2714"/>
      <c r="N24" s="2714"/>
      <c r="O24" s="2714"/>
      <c r="P24" s="3697"/>
      <c r="Q24" s="1351"/>
      <c r="R24" s="704"/>
      <c r="S24" s="705"/>
      <c r="T24" s="704"/>
      <c r="U24" s="705"/>
      <c r="V24" s="704"/>
      <c r="W24" s="705"/>
      <c r="X24" s="1354"/>
      <c r="Y24" s="3690"/>
      <c r="Z24" s="1355"/>
      <c r="AA24" s="1352">
        <v>1</v>
      </c>
      <c r="AB24" s="1352">
        <v>1</v>
      </c>
      <c r="AC24" s="1352">
        <v>1</v>
      </c>
    </row>
    <row r="25" spans="1:29" ht="15">
      <c r="A25" s="379"/>
      <c r="B25" s="375" t="s">
        <v>1780</v>
      </c>
      <c r="C25" s="565" t="s">
        <v>3454</v>
      </c>
      <c r="D25" s="386">
        <v>100</v>
      </c>
      <c r="E25" s="565" t="s">
        <v>3454</v>
      </c>
      <c r="F25" s="412">
        <f>SUMIF(86:86,E25,87:87)-SUMIF(86:86,C25,87:87)+100</f>
        <v>100</v>
      </c>
      <c r="G25" s="565" t="s">
        <v>3454</v>
      </c>
      <c r="H25" s="386">
        <f>SUMIF(86:86,G25,87:87)-SUMIF(86:86,C25,87:87)+100</f>
        <v>100</v>
      </c>
      <c r="I25" s="565" t="s">
        <v>3454</v>
      </c>
      <c r="J25" s="386">
        <f>SUMIF(86:86,I25,87:87)-SUMIF(86:86,C25,87:87)+100</f>
        <v>100</v>
      </c>
      <c r="K25" s="561">
        <v>3</v>
      </c>
      <c r="L25" s="2720"/>
      <c r="M25" s="2714"/>
      <c r="N25" s="2714"/>
      <c r="O25" s="2714"/>
      <c r="P25" s="3697"/>
      <c r="Q25" s="1351" t="str">
        <f t="shared" ref="Q25:Q46" si="11">B25</f>
        <v>临街状况</v>
      </c>
      <c r="R25" s="704" t="s">
        <v>14</v>
      </c>
      <c r="S25" s="705">
        <f>F25</f>
        <v>100</v>
      </c>
      <c r="T25" s="704" t="s">
        <v>14</v>
      </c>
      <c r="U25" s="705">
        <f>H25</f>
        <v>100</v>
      </c>
      <c r="V25" s="704" t="s">
        <v>14</v>
      </c>
      <c r="W25" s="705">
        <f>J25</f>
        <v>100</v>
      </c>
      <c r="X25" s="1354"/>
      <c r="Y25" s="3690"/>
      <c r="Z25" s="1355" t="str">
        <f>Q25</f>
        <v>临街状况</v>
      </c>
      <c r="AA25" s="1352">
        <f t="shared" si="3"/>
        <v>1</v>
      </c>
      <c r="AB25" s="1352">
        <f t="shared" si="4"/>
        <v>1</v>
      </c>
      <c r="AC25" s="1352">
        <f t="shared" si="5"/>
        <v>1</v>
      </c>
    </row>
    <row r="26" spans="1:29" ht="15">
      <c r="A26" s="379"/>
      <c r="B26" s="1132" t="s">
        <v>1781</v>
      </c>
      <c r="C26" s="3818" t="s">
        <v>3490</v>
      </c>
      <c r="D26" s="386">
        <v>100</v>
      </c>
      <c r="E26" s="3818" t="s">
        <v>3490</v>
      </c>
      <c r="F26" s="412">
        <f>SUMIF(88:88,E26,89:89)-SUMIF(88:88,C26,89:89)+100</f>
        <v>100</v>
      </c>
      <c r="G26" s="3818" t="s">
        <v>3490</v>
      </c>
      <c r="H26" s="386">
        <f>SUMIF(88:88,G26,89:89)-SUMIF(88:88,C26,89:89)+100</f>
        <v>100</v>
      </c>
      <c r="I26" s="3818" t="s">
        <v>3490</v>
      </c>
      <c r="J26" s="386">
        <f>SUMIF(88:88,I26,89:89)-SUMIF(88:88,C26,89:89)+100</f>
        <v>100</v>
      </c>
      <c r="K26" s="562"/>
      <c r="L26" s="2720"/>
      <c r="M26" s="2714"/>
      <c r="N26" s="2714"/>
      <c r="O26" s="2714"/>
      <c r="P26" s="3697"/>
      <c r="Q26" s="1351" t="str">
        <f t="shared" si="11"/>
        <v>平面位置/可视性</v>
      </c>
      <c r="R26" s="704" t="s">
        <v>14</v>
      </c>
      <c r="S26" s="705">
        <f>F26</f>
        <v>100</v>
      </c>
      <c r="T26" s="704" t="s">
        <v>14</v>
      </c>
      <c r="U26" s="705">
        <f>H26</f>
        <v>100</v>
      </c>
      <c r="V26" s="704" t="s">
        <v>14</v>
      </c>
      <c r="W26" s="705">
        <f>J26</f>
        <v>100</v>
      </c>
      <c r="X26" s="1354"/>
      <c r="Y26" s="3690"/>
      <c r="Z26" s="1355" t="str">
        <f>Q26</f>
        <v>平面位置/可视性</v>
      </c>
      <c r="AA26" s="1352">
        <f t="shared" si="3"/>
        <v>1</v>
      </c>
      <c r="AB26" s="1352">
        <f t="shared" si="4"/>
        <v>1</v>
      </c>
      <c r="AC26" s="1352">
        <f t="shared" si="5"/>
        <v>1</v>
      </c>
    </row>
    <row r="27" spans="1:29" s="108" customFormat="1" ht="15">
      <c r="A27" s="382"/>
      <c r="B27" s="402" t="s">
        <v>1782</v>
      </c>
      <c r="C27" s="1955" t="s">
        <v>3459</v>
      </c>
      <c r="D27" s="413">
        <v>100</v>
      </c>
      <c r="E27" s="1955" t="s">
        <v>3459</v>
      </c>
      <c r="F27" s="415">
        <f>SUMIF(90:90,E27,91:91)-SUMIF(90:90,C27,91:91)+100</f>
        <v>100</v>
      </c>
      <c r="G27" s="1955" t="s">
        <v>3463</v>
      </c>
      <c r="H27" s="413">
        <f>SUMIF(90:90,G27,91:91)-SUMIF(90:90,C27,91:91)+100</f>
        <v>103</v>
      </c>
      <c r="I27" s="1955" t="s">
        <v>3459</v>
      </c>
      <c r="J27" s="413">
        <f>SUMIF(90:90,I27,91:91)-SUMIF(90:90,C27,91:91)+100</f>
        <v>100</v>
      </c>
      <c r="K27" s="561">
        <v>3</v>
      </c>
      <c r="L27" s="2715"/>
      <c r="M27" s="2716"/>
      <c r="N27" s="2716"/>
      <c r="O27" s="2716"/>
      <c r="P27" s="3697"/>
      <c r="Q27" s="1342" t="str">
        <f t="shared" si="11"/>
        <v>人流量</v>
      </c>
      <c r="R27" s="700" t="s">
        <v>14</v>
      </c>
      <c r="S27" s="701">
        <f>F27</f>
        <v>100</v>
      </c>
      <c r="T27" s="700" t="s">
        <v>14</v>
      </c>
      <c r="U27" s="701">
        <f>H27</f>
        <v>103</v>
      </c>
      <c r="V27" s="700" t="s">
        <v>14</v>
      </c>
      <c r="W27" s="701">
        <f>J27</f>
        <v>100</v>
      </c>
      <c r="X27" s="702"/>
      <c r="Y27" s="3690"/>
      <c r="Z27" s="52" t="str">
        <f>Q27</f>
        <v>人流量</v>
      </c>
      <c r="AA27" s="1352">
        <f>D27/F27</f>
        <v>1</v>
      </c>
      <c r="AB27" s="1352">
        <f>D27/H27</f>
        <v>0.970873786407767</v>
      </c>
      <c r="AC27" s="1352">
        <f>D27/J27</f>
        <v>1</v>
      </c>
    </row>
    <row r="28" spans="1:29" ht="15">
      <c r="A28" s="379"/>
      <c r="B28" s="375" t="s">
        <v>1783</v>
      </c>
      <c r="C28" s="565" t="s">
        <v>3491</v>
      </c>
      <c r="D28" s="386">
        <v>100</v>
      </c>
      <c r="E28" s="565" t="s">
        <v>3494</v>
      </c>
      <c r="F28" s="412">
        <f>SUMIF(92:92,E28,93:93)-SUMIF(92:92,C28,93:93)+100</f>
        <v>118</v>
      </c>
      <c r="G28" s="565" t="s">
        <v>3494</v>
      </c>
      <c r="H28" s="386">
        <f>SUMIF(92:92,G28,93:93)-SUMIF(92:92,C28,93:93)+100</f>
        <v>118</v>
      </c>
      <c r="I28" s="565" t="s">
        <v>3494</v>
      </c>
      <c r="J28" s="386">
        <f>SUMIF(92:92,I28,93:93)-SUMIF(92:92,C28,93:93)+100</f>
        <v>118</v>
      </c>
      <c r="K28" s="562"/>
      <c r="L28" s="2720"/>
      <c r="M28" s="2714"/>
      <c r="N28" s="2714"/>
      <c r="O28" s="2714"/>
      <c r="P28" s="3697"/>
      <c r="Q28" s="1351" t="str">
        <f t="shared" si="11"/>
        <v>楼层</v>
      </c>
      <c r="R28" s="704" t="s">
        <v>14</v>
      </c>
      <c r="S28" s="705">
        <f t="shared" ref="S28:S46" si="12">F28</f>
        <v>118</v>
      </c>
      <c r="T28" s="704" t="s">
        <v>14</v>
      </c>
      <c r="U28" s="705">
        <f t="shared" ref="U28:U46" si="13">H28</f>
        <v>118</v>
      </c>
      <c r="V28" s="704" t="s">
        <v>14</v>
      </c>
      <c r="W28" s="705">
        <f t="shared" ref="W28:W46" si="14">J28</f>
        <v>118</v>
      </c>
      <c r="X28" s="1354"/>
      <c r="Y28" s="3690"/>
      <c r="Z28" s="1355" t="str">
        <f t="shared" ref="Z28:Z46" si="15">Q28</f>
        <v>楼层</v>
      </c>
      <c r="AA28" s="1352">
        <f t="shared" si="3"/>
        <v>0.84745762711864403</v>
      </c>
      <c r="AB28" s="1352">
        <f t="shared" si="4"/>
        <v>0.84745762711864403</v>
      </c>
      <c r="AC28" s="1352">
        <f t="shared" si="5"/>
        <v>0.84745762711864403</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7"/>
      <c r="Q29" s="1351">
        <f t="shared" si="11"/>
        <v>111</v>
      </c>
      <c r="R29" s="704" t="s">
        <v>14</v>
      </c>
      <c r="S29" s="705">
        <f t="shared" si="12"/>
        <v>100</v>
      </c>
      <c r="T29" s="704" t="s">
        <v>14</v>
      </c>
      <c r="U29" s="705">
        <f t="shared" si="13"/>
        <v>100</v>
      </c>
      <c r="V29" s="704" t="s">
        <v>14</v>
      </c>
      <c r="W29" s="705">
        <f t="shared" si="14"/>
        <v>100</v>
      </c>
      <c r="X29" s="1354"/>
      <c r="Y29" s="3690"/>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7"/>
      <c r="Q30" s="1351">
        <f t="shared" si="11"/>
        <v>111</v>
      </c>
      <c r="R30" s="704" t="s">
        <v>14</v>
      </c>
      <c r="S30" s="705">
        <f t="shared" si="12"/>
        <v>100</v>
      </c>
      <c r="T30" s="704" t="s">
        <v>14</v>
      </c>
      <c r="U30" s="705">
        <f t="shared" si="13"/>
        <v>100</v>
      </c>
      <c r="V30" s="704" t="s">
        <v>14</v>
      </c>
      <c r="W30" s="705">
        <f t="shared" si="14"/>
        <v>100</v>
      </c>
      <c r="X30" s="1354"/>
      <c r="Y30" s="3690"/>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7"/>
      <c r="Q31" s="1351">
        <f t="shared" si="11"/>
        <v>111</v>
      </c>
      <c r="R31" s="704" t="s">
        <v>14</v>
      </c>
      <c r="S31" s="705">
        <f t="shared" si="12"/>
        <v>100</v>
      </c>
      <c r="T31" s="704" t="s">
        <v>14</v>
      </c>
      <c r="U31" s="705">
        <f t="shared" si="13"/>
        <v>100</v>
      </c>
      <c r="V31" s="704" t="s">
        <v>14</v>
      </c>
      <c r="W31" s="705">
        <f t="shared" si="14"/>
        <v>100</v>
      </c>
      <c r="X31" s="1354"/>
      <c r="Y31" s="3690"/>
      <c r="Z31" s="1355">
        <f t="shared" si="15"/>
        <v>111</v>
      </c>
      <c r="AA31" s="1352">
        <f t="shared" si="3"/>
        <v>1</v>
      </c>
      <c r="AB31" s="1352">
        <f t="shared" si="4"/>
        <v>1</v>
      </c>
      <c r="AC31" s="1352">
        <f t="shared" si="5"/>
        <v>1</v>
      </c>
    </row>
    <row r="32" spans="1:29" ht="15">
      <c r="A32" s="391" t="s">
        <v>1694</v>
      </c>
      <c r="B32" s="63" t="s">
        <v>1784</v>
      </c>
      <c r="C32" s="1909" t="s">
        <v>3471</v>
      </c>
      <c r="D32" s="418">
        <v>100</v>
      </c>
      <c r="E32" s="1909" t="s">
        <v>3471</v>
      </c>
      <c r="F32" s="412">
        <f>SUMIF(100:100,E32,101:101)-SUMIF(100:100,C32,101:101)+100</f>
        <v>100</v>
      </c>
      <c r="G32" s="1909" t="s">
        <v>3471</v>
      </c>
      <c r="H32" s="386">
        <f>SUMIF(100:100,G32,101:101)-SUMIF(100:100,C32,101:101)+100</f>
        <v>100</v>
      </c>
      <c r="I32" s="1909" t="s">
        <v>3471</v>
      </c>
      <c r="J32" s="418">
        <f>SUMIF(100:100,I32,101:101)-SUMIF(100:100,C32,101:101)+100</f>
        <v>100</v>
      </c>
      <c r="K32" s="561">
        <v>1</v>
      </c>
      <c r="L32" s="2720"/>
      <c r="M32" s="2714"/>
      <c r="N32" s="2714"/>
      <c r="O32" s="2714"/>
      <c r="P32" s="3691" t="s">
        <v>1696</v>
      </c>
      <c r="Q32" s="1351" t="str">
        <f t="shared" si="11"/>
        <v>商业类型</v>
      </c>
      <c r="R32" s="704" t="s">
        <v>14</v>
      </c>
      <c r="S32" s="705">
        <f t="shared" si="12"/>
        <v>100</v>
      </c>
      <c r="T32" s="704" t="s">
        <v>14</v>
      </c>
      <c r="U32" s="705">
        <f t="shared" si="13"/>
        <v>100</v>
      </c>
      <c r="V32" s="704" t="s">
        <v>14</v>
      </c>
      <c r="W32" s="705">
        <f t="shared" si="14"/>
        <v>100</v>
      </c>
      <c r="X32" s="1354"/>
      <c r="Y32" s="3694" t="s">
        <v>1696</v>
      </c>
      <c r="Z32" s="1355" t="str">
        <f t="shared" si="15"/>
        <v>商业类型</v>
      </c>
      <c r="AA32" s="1352">
        <f t="shared" si="3"/>
        <v>1</v>
      </c>
      <c r="AB32" s="1352">
        <f t="shared" si="4"/>
        <v>1</v>
      </c>
      <c r="AC32" s="1352">
        <f t="shared" si="5"/>
        <v>1</v>
      </c>
    </row>
    <row r="33" spans="1:29" s="422" customFormat="1" ht="15">
      <c r="A33" s="419"/>
      <c r="B33" s="375" t="s">
        <v>1697</v>
      </c>
      <c r="C33" s="420" t="s">
        <v>3492</v>
      </c>
      <c r="D33" s="127">
        <v>100</v>
      </c>
      <c r="E33" s="381">
        <v>58.26</v>
      </c>
      <c r="F33" s="376">
        <f>LOOKUP(E33,103:103,104:104)-LOOKUP(C33,103:103,104:104)+100</f>
        <v>102</v>
      </c>
      <c r="G33" s="380">
        <v>131.91</v>
      </c>
      <c r="H33" s="127">
        <f>LOOKUP(G33,103:103,104:104)-LOOKUP(C33,103:103,104:104)+100</f>
        <v>102</v>
      </c>
      <c r="I33" s="380">
        <v>160.5</v>
      </c>
      <c r="J33" s="127">
        <f>LOOKUP(I33,103:103,104:104)-LOOKUP(C33,103:103,104:104)+100</f>
        <v>101</v>
      </c>
      <c r="K33" s="562"/>
      <c r="L33" s="2719"/>
      <c r="M33" s="2721"/>
      <c r="N33" s="2721"/>
      <c r="O33" s="2721"/>
      <c r="P33" s="3692"/>
      <c r="Q33" s="706" t="str">
        <f t="shared" si="11"/>
        <v>项目建筑规模</v>
      </c>
      <c r="R33" s="707" t="s">
        <v>14</v>
      </c>
      <c r="S33" s="708">
        <f t="shared" si="12"/>
        <v>102</v>
      </c>
      <c r="T33" s="707" t="s">
        <v>14</v>
      </c>
      <c r="U33" s="708">
        <f t="shared" si="13"/>
        <v>102</v>
      </c>
      <c r="V33" s="707" t="s">
        <v>14</v>
      </c>
      <c r="W33" s="708">
        <f t="shared" si="14"/>
        <v>101</v>
      </c>
      <c r="X33" s="709"/>
      <c r="Y33" s="3694"/>
      <c r="Z33" s="710" t="str">
        <f t="shared" si="15"/>
        <v>项目建筑规模</v>
      </c>
      <c r="AA33" s="1352">
        <f t="shared" si="3"/>
        <v>0.98039215686274506</v>
      </c>
      <c r="AB33" s="1352">
        <f t="shared" si="4"/>
        <v>0.98039215686274506</v>
      </c>
      <c r="AC33" s="1352">
        <f t="shared" si="5"/>
        <v>0.99009900990099009</v>
      </c>
    </row>
    <row r="34" spans="1:29" ht="15">
      <c r="A34" s="423"/>
      <c r="B34" s="375" t="s">
        <v>1698</v>
      </c>
      <c r="C34" s="1911" t="s">
        <v>3435</v>
      </c>
      <c r="D34" s="386">
        <v>100</v>
      </c>
      <c r="E34" s="1911" t="s">
        <v>3435</v>
      </c>
      <c r="F34" s="412">
        <f>SUMIF(105:105,E34,106:106)-SUMIF(105:105,C34,106:106)+100</f>
        <v>100</v>
      </c>
      <c r="G34" s="1911" t="s">
        <v>3435</v>
      </c>
      <c r="H34" s="386">
        <f>SUMIF(105:105,G34,106:106)-SUMIF(105:105,C34,106:106)+100</f>
        <v>100</v>
      </c>
      <c r="I34" s="1911" t="s">
        <v>3435</v>
      </c>
      <c r="J34" s="386">
        <f>SUMIF(105:105,I34,106:106)-SUMIF(105:105,C34,106:106)+100</f>
        <v>100</v>
      </c>
      <c r="K34" s="561">
        <v>1</v>
      </c>
      <c r="L34" s="2720"/>
      <c r="M34" s="2714"/>
      <c r="N34" s="2714"/>
      <c r="O34" s="2714"/>
      <c r="P34" s="3692"/>
      <c r="Q34" s="1351" t="str">
        <f t="shared" si="11"/>
        <v>建筑结构</v>
      </c>
      <c r="R34" s="704" t="s">
        <v>14</v>
      </c>
      <c r="S34" s="705">
        <f t="shared" si="12"/>
        <v>100</v>
      </c>
      <c r="T34" s="704" t="s">
        <v>14</v>
      </c>
      <c r="U34" s="705">
        <f t="shared" si="13"/>
        <v>100</v>
      </c>
      <c r="V34" s="704" t="s">
        <v>14</v>
      </c>
      <c r="W34" s="705">
        <f t="shared" si="14"/>
        <v>100</v>
      </c>
      <c r="X34" s="1354"/>
      <c r="Y34" s="3694"/>
      <c r="Z34" s="1355" t="str">
        <f t="shared" si="15"/>
        <v>建筑结构</v>
      </c>
      <c r="AA34" s="1352">
        <f t="shared" si="3"/>
        <v>1</v>
      </c>
      <c r="AB34" s="1352">
        <f t="shared" si="4"/>
        <v>1</v>
      </c>
      <c r="AC34" s="1352">
        <f t="shared" si="5"/>
        <v>1</v>
      </c>
    </row>
    <row r="35" spans="1:29" ht="15">
      <c r="A35" s="423"/>
      <c r="B35" s="375" t="s">
        <v>1785</v>
      </c>
      <c r="C35" s="1905" t="s">
        <v>3474</v>
      </c>
      <c r="D35" s="386">
        <v>100</v>
      </c>
      <c r="E35" s="1905" t="s">
        <v>3474</v>
      </c>
      <c r="F35" s="412">
        <f>SUMIF(107:107,E35,108:108)-SUMIF(107:107,C35,108:108)+100</f>
        <v>100</v>
      </c>
      <c r="G35" s="1905" t="s">
        <v>3474</v>
      </c>
      <c r="H35" s="386">
        <f>SUMIF(107:107,G35,108:108)-SUMIF(107:107,C35,108:108)+100</f>
        <v>100</v>
      </c>
      <c r="I35" s="1905" t="s">
        <v>3474</v>
      </c>
      <c r="J35" s="386">
        <f>SUMIF(107:107,I35,108:108)-SUMIF(107:107,C35,108:108)+100</f>
        <v>100</v>
      </c>
      <c r="K35" s="561">
        <v>1</v>
      </c>
      <c r="L35" s="2720"/>
      <c r="M35" s="2714"/>
      <c r="N35" s="2714"/>
      <c r="O35" s="2714"/>
      <c r="P35" s="3692"/>
      <c r="Q35" s="1351" t="str">
        <f t="shared" si="11"/>
        <v>公共部分装修</v>
      </c>
      <c r="R35" s="704" t="s">
        <v>14</v>
      </c>
      <c r="S35" s="705">
        <f t="shared" si="12"/>
        <v>100</v>
      </c>
      <c r="T35" s="704" t="s">
        <v>14</v>
      </c>
      <c r="U35" s="705">
        <f t="shared" si="13"/>
        <v>100</v>
      </c>
      <c r="V35" s="704" t="s">
        <v>14</v>
      </c>
      <c r="W35" s="705">
        <f t="shared" si="14"/>
        <v>100</v>
      </c>
      <c r="X35" s="1354"/>
      <c r="Y35" s="3694"/>
      <c r="Z35" s="1355" t="str">
        <f t="shared" si="15"/>
        <v>公共部分装修</v>
      </c>
      <c r="AA35" s="1352">
        <f t="shared" si="3"/>
        <v>1</v>
      </c>
      <c r="AB35" s="1352">
        <f t="shared" si="4"/>
        <v>1</v>
      </c>
      <c r="AC35" s="1352">
        <f t="shared" si="5"/>
        <v>1</v>
      </c>
    </row>
    <row r="36" spans="1:29" ht="15">
      <c r="A36" s="423"/>
      <c r="B36" s="375" t="s">
        <v>1786</v>
      </c>
      <c r="C36" s="425">
        <f>'数据-取费表'!N6</f>
        <v>0.71</v>
      </c>
      <c r="D36" s="386">
        <v>100</v>
      </c>
      <c r="E36" s="425">
        <v>0.76</v>
      </c>
      <c r="F36" s="412">
        <f>LOOKUP(E36,110:110,111:111)-LOOKUP(C36,110:110,111:111)+100</f>
        <v>100</v>
      </c>
      <c r="G36" s="425">
        <v>0.8</v>
      </c>
      <c r="H36" s="412">
        <f>LOOKUP(G36,110:110,111:111)-LOOKUP(C36,110:110,111:111)+100</f>
        <v>101</v>
      </c>
      <c r="I36" s="425">
        <v>0.84</v>
      </c>
      <c r="J36" s="386">
        <f>LOOKUP(I36,110:110,111:111)-LOOKUP(C36,110:110,111:111)+100</f>
        <v>101</v>
      </c>
      <c r="K36" s="561">
        <v>1</v>
      </c>
      <c r="L36" s="2720"/>
      <c r="M36" s="2714"/>
      <c r="N36" s="2714"/>
      <c r="O36" s="2714"/>
      <c r="P36" s="3692"/>
      <c r="Q36" s="1351" t="str">
        <f t="shared" si="11"/>
        <v>成新度</v>
      </c>
      <c r="R36" s="704" t="s">
        <v>14</v>
      </c>
      <c r="S36" s="705">
        <f t="shared" si="12"/>
        <v>100</v>
      </c>
      <c r="T36" s="704" t="s">
        <v>14</v>
      </c>
      <c r="U36" s="705">
        <f t="shared" si="13"/>
        <v>101</v>
      </c>
      <c r="V36" s="704" t="s">
        <v>14</v>
      </c>
      <c r="W36" s="705">
        <f t="shared" si="14"/>
        <v>101</v>
      </c>
      <c r="X36" s="1354"/>
      <c r="Y36" s="3694"/>
      <c r="Z36" s="1355" t="str">
        <f t="shared" si="15"/>
        <v>成新度</v>
      </c>
      <c r="AA36" s="1352">
        <f t="shared" si="3"/>
        <v>1</v>
      </c>
      <c r="AB36" s="1352">
        <f t="shared" si="4"/>
        <v>0.99009900990099009</v>
      </c>
      <c r="AC36" s="1352">
        <f t="shared" si="5"/>
        <v>0.99009900990099009</v>
      </c>
    </row>
    <row r="37" spans="1:29" s="108" customFormat="1" ht="15" hidden="1">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692"/>
      <c r="Q37" s="1342" t="str">
        <f t="shared" si="11"/>
        <v>市政基础设施</v>
      </c>
      <c r="R37" s="700" t="s">
        <v>14</v>
      </c>
      <c r="S37" s="701">
        <f t="shared" si="12"/>
        <v>100</v>
      </c>
      <c r="T37" s="700" t="s">
        <v>14</v>
      </c>
      <c r="U37" s="701">
        <f t="shared" si="13"/>
        <v>100</v>
      </c>
      <c r="V37" s="700" t="s">
        <v>14</v>
      </c>
      <c r="W37" s="701">
        <f t="shared" si="14"/>
        <v>100</v>
      </c>
      <c r="X37" s="702"/>
      <c r="Y37" s="3694"/>
      <c r="Z37" s="52" t="str">
        <f t="shared" si="15"/>
        <v>市政基础设施</v>
      </c>
      <c r="AA37" s="703">
        <f t="shared" si="3"/>
        <v>1</v>
      </c>
      <c r="AB37" s="703">
        <f t="shared" si="4"/>
        <v>1</v>
      </c>
      <c r="AC37" s="703">
        <f t="shared" si="5"/>
        <v>1</v>
      </c>
    </row>
    <row r="38" spans="1:29" ht="15">
      <c r="A38" s="423"/>
      <c r="B38" s="375" t="s">
        <v>1788</v>
      </c>
      <c r="C38" s="1905" t="s">
        <v>3484</v>
      </c>
      <c r="D38" s="386">
        <v>100</v>
      </c>
      <c r="E38" s="1905" t="s">
        <v>3486</v>
      </c>
      <c r="F38" s="412">
        <f>SUMIF(114:114,E38,115:115)-SUMIF(114:114,C38,115:115)+100</f>
        <v>98</v>
      </c>
      <c r="G38" s="1905" t="s">
        <v>3486</v>
      </c>
      <c r="H38" s="386">
        <f>SUMIF(114:114,G38,115:115)-SUMIF(114:114,C38,115:115)+100</f>
        <v>98</v>
      </c>
      <c r="I38" s="1905" t="s">
        <v>3486</v>
      </c>
      <c r="J38" s="386">
        <f>SUMIF(114:114,I38,115:115)-SUMIF(114:114,C38,115:115)+100</f>
        <v>98</v>
      </c>
      <c r="K38" s="561">
        <v>2</v>
      </c>
      <c r="L38" s="2720"/>
      <c r="M38" s="2714"/>
      <c r="N38" s="2714"/>
      <c r="O38" s="2714"/>
      <c r="P38" s="3692" t="s">
        <v>1696</v>
      </c>
      <c r="Q38" s="1351" t="str">
        <f t="shared" si="11"/>
        <v>业态</v>
      </c>
      <c r="R38" s="704" t="s">
        <v>14</v>
      </c>
      <c r="S38" s="705">
        <f t="shared" si="12"/>
        <v>98</v>
      </c>
      <c r="T38" s="704" t="s">
        <v>14</v>
      </c>
      <c r="U38" s="705">
        <f t="shared" si="13"/>
        <v>98</v>
      </c>
      <c r="V38" s="704" t="s">
        <v>14</v>
      </c>
      <c r="W38" s="705">
        <f t="shared" si="14"/>
        <v>98</v>
      </c>
      <c r="X38" s="1354"/>
      <c r="Y38" s="3694" t="s">
        <v>1696</v>
      </c>
      <c r="Z38" s="1355" t="str">
        <f t="shared" si="15"/>
        <v>业态</v>
      </c>
      <c r="AA38" s="1352">
        <f t="shared" si="3"/>
        <v>1.0204081632653061</v>
      </c>
      <c r="AB38" s="1352">
        <f t="shared" si="4"/>
        <v>1.0204081632653061</v>
      </c>
      <c r="AC38" s="1352">
        <f t="shared" si="5"/>
        <v>1.0204081632653061</v>
      </c>
    </row>
    <row r="39" spans="1:29" ht="15">
      <c r="A39" s="423"/>
      <c r="B39" s="375" t="s">
        <v>1789</v>
      </c>
      <c r="C39" s="1905" t="s">
        <v>3488</v>
      </c>
      <c r="D39" s="386">
        <v>100</v>
      </c>
      <c r="E39" s="1905" t="s">
        <v>3488</v>
      </c>
      <c r="F39" s="412">
        <f>SUMIF(116:116,E39,117:117)-SUMIF(116:116,C39,117:117)+100</f>
        <v>100</v>
      </c>
      <c r="G39" s="1905" t="s">
        <v>3520</v>
      </c>
      <c r="H39" s="386">
        <f>SUMIF(116:116,G39,117:117)-SUMIF(116:116,C39,117:117)+100</f>
        <v>97</v>
      </c>
      <c r="I39" s="1905" t="s">
        <v>3488</v>
      </c>
      <c r="J39" s="386">
        <f>SUMIF(116:116,I39,117:117)-SUMIF(116:116,C39,117:117)+100</f>
        <v>100</v>
      </c>
      <c r="K39" s="561">
        <v>3</v>
      </c>
      <c r="L39" s="2720"/>
      <c r="M39" s="2714"/>
      <c r="N39" s="2714"/>
      <c r="O39" s="2714"/>
      <c r="P39" s="3692"/>
      <c r="Q39" s="1351" t="str">
        <f t="shared" si="11"/>
        <v>层高</v>
      </c>
      <c r="R39" s="704" t="s">
        <v>14</v>
      </c>
      <c r="S39" s="705">
        <f t="shared" si="12"/>
        <v>100</v>
      </c>
      <c r="T39" s="704" t="s">
        <v>14</v>
      </c>
      <c r="U39" s="705">
        <f t="shared" si="13"/>
        <v>97</v>
      </c>
      <c r="V39" s="704" t="s">
        <v>14</v>
      </c>
      <c r="W39" s="705">
        <f t="shared" si="14"/>
        <v>100</v>
      </c>
      <c r="X39" s="1354"/>
      <c r="Y39" s="3694"/>
      <c r="Z39" s="1355" t="str">
        <f t="shared" si="15"/>
        <v>层高</v>
      </c>
      <c r="AA39" s="1352">
        <f t="shared" si="3"/>
        <v>1</v>
      </c>
      <c r="AB39" s="1352">
        <f t="shared" si="4"/>
        <v>1.0309278350515463</v>
      </c>
      <c r="AC39" s="1352">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692"/>
      <c r="Q40" s="1351" t="str">
        <f t="shared" si="11"/>
        <v>单套建筑面积</v>
      </c>
      <c r="R40" s="704" t="s">
        <v>14</v>
      </c>
      <c r="S40" s="705">
        <f t="shared" si="12"/>
        <v>100</v>
      </c>
      <c r="T40" s="704" t="s">
        <v>14</v>
      </c>
      <c r="U40" s="705">
        <f t="shared" si="13"/>
        <v>100</v>
      </c>
      <c r="V40" s="704" t="s">
        <v>14</v>
      </c>
      <c r="W40" s="705">
        <f t="shared" si="14"/>
        <v>100</v>
      </c>
      <c r="X40" s="1354"/>
      <c r="Y40" s="3694"/>
      <c r="Z40" s="1355" t="str">
        <f t="shared" si="15"/>
        <v>单套建筑面积</v>
      </c>
      <c r="AA40" s="1352">
        <f t="shared" si="3"/>
        <v>1</v>
      </c>
      <c r="AB40" s="1352">
        <f t="shared" si="4"/>
        <v>1</v>
      </c>
      <c r="AC40" s="1352">
        <f t="shared" si="5"/>
        <v>1</v>
      </c>
    </row>
    <row r="41" spans="1:29" s="422" customFormat="1" ht="15" hidden="1">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2"/>
      <c r="Q41" s="706" t="str">
        <f t="shared" si="11"/>
        <v>进深比</v>
      </c>
      <c r="R41" s="707" t="s">
        <v>14</v>
      </c>
      <c r="S41" s="708">
        <f t="shared" si="12"/>
        <v>100</v>
      </c>
      <c r="T41" s="707" t="s">
        <v>14</v>
      </c>
      <c r="U41" s="708">
        <f t="shared" si="13"/>
        <v>100</v>
      </c>
      <c r="V41" s="707" t="s">
        <v>14</v>
      </c>
      <c r="W41" s="708">
        <f t="shared" si="14"/>
        <v>100</v>
      </c>
      <c r="X41" s="709"/>
      <c r="Y41" s="3694"/>
      <c r="Z41" s="710" t="str">
        <f t="shared" si="15"/>
        <v>进深比</v>
      </c>
      <c r="AA41" s="1352">
        <f t="shared" si="3"/>
        <v>1</v>
      </c>
      <c r="AB41" s="1352">
        <f t="shared" si="4"/>
        <v>1</v>
      </c>
      <c r="AC41" s="1352">
        <f t="shared" si="5"/>
        <v>1</v>
      </c>
    </row>
    <row r="42" spans="1:29" ht="15">
      <c r="A42" s="423"/>
      <c r="B42" s="375" t="s">
        <v>1792</v>
      </c>
      <c r="C42" s="1905" t="s">
        <v>3476</v>
      </c>
      <c r="D42" s="386">
        <v>100</v>
      </c>
      <c r="E42" s="1905" t="s">
        <v>3476</v>
      </c>
      <c r="F42" s="412">
        <f>SUMIF(122:122,E42,123:123)-SUMIF(122:122,C42,123:123)+100</f>
        <v>100</v>
      </c>
      <c r="G42" s="1905" t="s">
        <v>3476</v>
      </c>
      <c r="H42" s="386">
        <f>SUMIF(122:122,G42,123:123)-SUMIF(122:122,C42,123:123)+100</f>
        <v>100</v>
      </c>
      <c r="I42" s="1905" t="s">
        <v>3476</v>
      </c>
      <c r="J42" s="386">
        <f>SUMIF(122:122,I42,123:123)-SUMIF(122:122,C42,123:123)+100</f>
        <v>100</v>
      </c>
      <c r="K42" s="561">
        <v>1</v>
      </c>
      <c r="L42" s="2720"/>
      <c r="M42" s="2714"/>
      <c r="N42" s="2714"/>
      <c r="O42" s="2714"/>
      <c r="P42" s="3692"/>
      <c r="Q42" s="1351" t="str">
        <f t="shared" si="11"/>
        <v>内部装修</v>
      </c>
      <c r="R42" s="704" t="s">
        <v>14</v>
      </c>
      <c r="S42" s="705">
        <f t="shared" si="12"/>
        <v>100</v>
      </c>
      <c r="T42" s="704" t="s">
        <v>14</v>
      </c>
      <c r="U42" s="705">
        <f t="shared" si="13"/>
        <v>100</v>
      </c>
      <c r="V42" s="704" t="s">
        <v>14</v>
      </c>
      <c r="W42" s="705">
        <f t="shared" si="14"/>
        <v>100</v>
      </c>
      <c r="X42" s="1354"/>
      <c r="Y42" s="3694"/>
      <c r="Z42" s="1355" t="str">
        <f t="shared" si="15"/>
        <v>内部装修</v>
      </c>
      <c r="AA42" s="1352">
        <f t="shared" si="3"/>
        <v>1</v>
      </c>
      <c r="AB42" s="1352">
        <f t="shared" si="4"/>
        <v>1</v>
      </c>
      <c r="AC42" s="1352">
        <f t="shared" si="5"/>
        <v>1</v>
      </c>
    </row>
    <row r="43" spans="1:29" ht="15">
      <c r="A43" s="423"/>
      <c r="B43" s="375" t="s">
        <v>1707</v>
      </c>
      <c r="C43" s="1905" t="s">
        <v>3458</v>
      </c>
      <c r="D43" s="386">
        <v>100</v>
      </c>
      <c r="E43" s="1905" t="s">
        <v>3458</v>
      </c>
      <c r="F43" s="412">
        <f>SUMIF(124:124,E43,125:125)-SUMIF(124:124,C43,125:125)+100</f>
        <v>100</v>
      </c>
      <c r="G43" s="1905" t="s">
        <v>3458</v>
      </c>
      <c r="H43" s="386">
        <f>SUMIF(124:124,G43,125:125)-SUMIF(124:124,C43,125:125)+100</f>
        <v>100</v>
      </c>
      <c r="I43" s="1905" t="s">
        <v>3458</v>
      </c>
      <c r="J43" s="386">
        <f>SUMIF(124:124,I43,125:125)-SUMIF(124:124,C43,125:125)+100</f>
        <v>100</v>
      </c>
      <c r="K43" s="561">
        <v>1</v>
      </c>
      <c r="L43" s="2720"/>
      <c r="M43" s="2714"/>
      <c r="N43" s="2714"/>
      <c r="O43" s="2714"/>
      <c r="P43" s="3692"/>
      <c r="Q43" s="1351" t="str">
        <f t="shared" si="11"/>
        <v>内部装修维护情况</v>
      </c>
      <c r="R43" s="704" t="s">
        <v>14</v>
      </c>
      <c r="S43" s="705">
        <f t="shared" si="12"/>
        <v>100</v>
      </c>
      <c r="T43" s="704" t="s">
        <v>14</v>
      </c>
      <c r="U43" s="705">
        <f t="shared" si="13"/>
        <v>100</v>
      </c>
      <c r="V43" s="704" t="s">
        <v>14</v>
      </c>
      <c r="W43" s="705">
        <f t="shared" si="14"/>
        <v>100</v>
      </c>
      <c r="X43" s="1354"/>
      <c r="Y43" s="3694"/>
      <c r="Z43" s="1355" t="str">
        <f t="shared" si="15"/>
        <v>内部装修维护情况</v>
      </c>
      <c r="AA43" s="1352">
        <f t="shared" si="3"/>
        <v>1</v>
      </c>
      <c r="AB43" s="1352">
        <f t="shared" si="4"/>
        <v>1</v>
      </c>
      <c r="AC43" s="1352">
        <f t="shared" si="5"/>
        <v>1</v>
      </c>
    </row>
    <row r="44" spans="1:29" s="108" customFormat="1" ht="15">
      <c r="A44" s="424"/>
      <c r="B44" s="3828" t="s">
        <v>3515</v>
      </c>
      <c r="C44" s="420">
        <v>2002</v>
      </c>
      <c r="D44" s="127">
        <v>100</v>
      </c>
      <c r="E44" s="385" t="s">
        <v>3516</v>
      </c>
      <c r="F44" s="376">
        <f>SUMIF(126:126,E44,127:127)-SUMIF(126:126,C44,127:127)+100</f>
        <v>100</v>
      </c>
      <c r="G44" s="385">
        <v>2013</v>
      </c>
      <c r="H44" s="127">
        <f>SUMIF(126:126,G44,127:127)-SUMIF(126:126,C44,127:127)+100</f>
        <v>100</v>
      </c>
      <c r="I44" s="385">
        <v>2017</v>
      </c>
      <c r="J44" s="127">
        <f>SUMIF(126:126,I44,127:127)-SUMIF(126:126,C44,127:127)+100</f>
        <v>100</v>
      </c>
      <c r="K44" s="562"/>
      <c r="L44" s="2715"/>
      <c r="M44" s="2716"/>
      <c r="N44" s="2716"/>
      <c r="O44" s="2716"/>
      <c r="P44" s="3692"/>
      <c r="Q44" s="1342" t="str">
        <f t="shared" si="11"/>
        <v>建成年代</v>
      </c>
      <c r="R44" s="700" t="s">
        <v>14</v>
      </c>
      <c r="S44" s="701">
        <f t="shared" si="12"/>
        <v>100</v>
      </c>
      <c r="T44" s="700" t="s">
        <v>14</v>
      </c>
      <c r="U44" s="701">
        <f t="shared" si="13"/>
        <v>100</v>
      </c>
      <c r="V44" s="700" t="s">
        <v>14</v>
      </c>
      <c r="W44" s="701">
        <f t="shared" si="14"/>
        <v>100</v>
      </c>
      <c r="X44" s="702"/>
      <c r="Y44" s="3694"/>
      <c r="Z44" s="52" t="str">
        <f t="shared" si="15"/>
        <v>建成年代</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t="s">
        <v>3522</v>
      </c>
      <c r="H45" s="386">
        <f>SUMIF(128:128,G45,129:129)-SUMIF(128:128,C45,129:129)+100</f>
        <v>100</v>
      </c>
      <c r="I45" s="385"/>
      <c r="J45" s="386">
        <f>SUMIF(128:128,I45,129:129)-SUMIF(128:128,C45,129:129)+100</f>
        <v>100</v>
      </c>
      <c r="K45" s="562"/>
      <c r="L45" s="2720"/>
      <c r="M45" s="2714"/>
      <c r="N45" s="2714"/>
      <c r="O45" s="2714"/>
      <c r="P45" s="3692"/>
      <c r="Q45" s="1351">
        <f t="shared" si="11"/>
        <v>111</v>
      </c>
      <c r="R45" s="704" t="s">
        <v>14</v>
      </c>
      <c r="S45" s="705">
        <f t="shared" si="12"/>
        <v>100</v>
      </c>
      <c r="T45" s="704" t="s">
        <v>14</v>
      </c>
      <c r="U45" s="705">
        <f t="shared" si="13"/>
        <v>100</v>
      </c>
      <c r="V45" s="704" t="s">
        <v>14</v>
      </c>
      <c r="W45" s="705">
        <f t="shared" si="14"/>
        <v>100</v>
      </c>
      <c r="X45" s="1354"/>
      <c r="Y45" s="369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3"/>
      <c r="Q46" s="1351">
        <f t="shared" si="11"/>
        <v>111</v>
      </c>
      <c r="R46" s="704" t="s">
        <v>14</v>
      </c>
      <c r="S46" s="705">
        <f t="shared" si="12"/>
        <v>100</v>
      </c>
      <c r="T46" s="704" t="s">
        <v>14</v>
      </c>
      <c r="U46" s="705">
        <f t="shared" si="13"/>
        <v>100</v>
      </c>
      <c r="V46" s="704" t="s">
        <v>14</v>
      </c>
      <c r="W46" s="705">
        <f t="shared" si="14"/>
        <v>100</v>
      </c>
      <c r="X46" s="1354"/>
      <c r="Y46" s="3695"/>
      <c r="Z46" s="1355">
        <f t="shared" si="15"/>
        <v>111</v>
      </c>
      <c r="AA46" s="1352">
        <f t="shared" si="3"/>
        <v>1</v>
      </c>
      <c r="AB46" s="1352">
        <f t="shared" si="4"/>
        <v>1</v>
      </c>
      <c r="AC46" s="1352">
        <f t="shared" si="5"/>
        <v>1</v>
      </c>
    </row>
    <row r="47" spans="1:29" ht="15">
      <c r="A47" s="430" t="s">
        <v>1708</v>
      </c>
      <c r="B47" s="431"/>
      <c r="C47" s="1153" t="s">
        <v>0</v>
      </c>
      <c r="D47" s="1154"/>
      <c r="E47" s="1155">
        <v>48061</v>
      </c>
      <c r="F47" s="1156"/>
      <c r="G47" s="1157">
        <v>49686</v>
      </c>
      <c r="H47" s="1158"/>
      <c r="I47" s="1155">
        <v>42368</v>
      </c>
      <c r="J47" s="1158"/>
      <c r="K47" s="713"/>
      <c r="L47" s="2722"/>
      <c r="M47" s="2723"/>
      <c r="N47" s="2714"/>
      <c r="O47" s="2723"/>
      <c r="P47" s="3687" t="str">
        <f>A47</f>
        <v>成交单价（元/平方米）</v>
      </c>
      <c r="Q47" s="3687"/>
      <c r="R47" s="3718">
        <f>E47</f>
        <v>48061</v>
      </c>
      <c r="S47" s="3718"/>
      <c r="T47" s="3718">
        <f>G47</f>
        <v>49686</v>
      </c>
      <c r="U47" s="3718"/>
      <c r="V47" s="3718">
        <f>I47</f>
        <v>42368</v>
      </c>
      <c r="W47" s="3718"/>
      <c r="X47" s="689"/>
      <c r="Y47" s="711"/>
      <c r="Z47" s="689"/>
      <c r="AA47" s="689"/>
      <c r="AB47" s="689"/>
      <c r="AC47" s="689"/>
    </row>
    <row r="48" spans="1:29" ht="15.75" thickBot="1">
      <c r="A48" s="437" t="s">
        <v>1793</v>
      </c>
      <c r="B48" s="438"/>
      <c r="C48" s="1159">
        <f>R49</f>
        <v>37308</v>
      </c>
      <c r="D48" s="2316" t="s">
        <v>2138</v>
      </c>
      <c r="E48" s="1160">
        <f>R48</f>
        <v>38784</v>
      </c>
      <c r="F48" s="2317"/>
      <c r="G48" s="1159">
        <f>T48</f>
        <v>38955</v>
      </c>
      <c r="H48" s="2317"/>
      <c r="I48" s="1160">
        <f>V48</f>
        <v>34186</v>
      </c>
      <c r="J48" s="2317"/>
      <c r="K48" s="2319">
        <f>F48+H48+J48</f>
        <v>0</v>
      </c>
      <c r="L48" s="2722"/>
      <c r="M48" s="2723"/>
      <c r="N48" s="2714"/>
      <c r="O48" s="2723"/>
      <c r="P48" s="3687" t="str">
        <f>A48</f>
        <v>比较价值（元/平方米）</v>
      </c>
      <c r="Q48" s="3687"/>
      <c r="R48" s="3688">
        <f>IF(F1="售价",ROUND(PRODUCT(R47,AA7:AA46),0),ROUND(PRODUCT(R47,AA7:AA46),1))</f>
        <v>38784</v>
      </c>
      <c r="S48" s="3688"/>
      <c r="T48" s="3688">
        <f>IF(F1="售价",ROUND(PRODUCT(T47,AB7:AB46),0),ROUND(PRODUCT(T47,AB7:AB46),1))</f>
        <v>38955</v>
      </c>
      <c r="U48" s="3688"/>
      <c r="V48" s="3688">
        <f>IF(F1="售价",ROUND(PRODUCT(V47,AC7:AC46),0),ROUND(PRODUCT(V47,AC7:AC46),1))</f>
        <v>34186</v>
      </c>
      <c r="W48" s="3688"/>
      <c r="X48" s="689"/>
      <c r="Y48" s="689"/>
      <c r="Z48" s="689"/>
      <c r="AA48" s="689"/>
      <c r="AB48" s="689"/>
      <c r="AC48" s="689"/>
    </row>
    <row r="49" spans="1:29" ht="15.75" thickBot="1">
      <c r="A49" s="441" t="s">
        <v>1794</v>
      </c>
      <c r="B49" s="442"/>
      <c r="C49" s="1162">
        <f>R49</f>
        <v>37308</v>
      </c>
      <c r="D49" s="1162"/>
      <c r="E49" s="1162"/>
      <c r="F49" s="1162"/>
      <c r="G49" s="1162"/>
      <c r="H49" s="1162"/>
      <c r="I49" s="1162"/>
      <c r="J49" s="1162"/>
      <c r="K49" s="714"/>
      <c r="L49" s="2722"/>
      <c r="M49" s="2723"/>
      <c r="N49" s="2714"/>
      <c r="O49" s="2723"/>
      <c r="P49" s="3684" t="str">
        <f>A49</f>
        <v>估价对象XX用房的比较价值（楼面单价，元/平方米）</v>
      </c>
      <c r="Q49" s="3685"/>
      <c r="R49" s="3686">
        <f>IF(F1="售价",ROUND(IF(D48="简单平均",AVERAGE(R48:V48),R48*F48+T48*H48+V48*J48),0),ROUND(IF(D48="简单平均",AVERAGE(R48:V48),R48*F48+T48*H48+V48*J48),1))</f>
        <v>37308</v>
      </c>
      <c r="S49" s="3686"/>
      <c r="T49" s="3686"/>
      <c r="U49" s="3686"/>
      <c r="V49" s="3686"/>
      <c r="W49" s="3686"/>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0.23919657590759069</v>
      </c>
      <c r="F52" s="449" t="str">
        <f>IF(OR(E52&gt;=0.3,E52&lt;=-0.3),"超过30%","")</f>
        <v/>
      </c>
      <c r="G52" s="448">
        <f>IF(G47&lt;G48,G48/G47-1,G47/G48-1)</f>
        <v>0.27547169811320749</v>
      </c>
      <c r="H52" s="449" t="str">
        <f>IF(OR(G52&gt;=0.3,G52&lt;=-0.3),"超过30%","")</f>
        <v/>
      </c>
      <c r="I52" s="448">
        <f>IF(I47&lt;I48,I48/I47-1,I47/I48-1)</f>
        <v>0.23933774059556545</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4.4090346534653158E-3</v>
      </c>
      <c r="F53" s="449" t="str">
        <f>IF(OR(E53&gt;=0.2,E53&lt;=-0.2),"超过20%","")</f>
        <v/>
      </c>
      <c r="G53" s="448">
        <f>IF(G48&lt;I48,I48/G48-1,G48/I48-1)</f>
        <v>0.13950155034224543</v>
      </c>
      <c r="H53" s="449" t="str">
        <f>IF(OR(G53&gt;=0.2,G53&lt;=-0.2),"超过20%","")</f>
        <v/>
      </c>
      <c r="I53" s="448">
        <f>IF(I48&lt;E48,E48/I48-1,I48/E48-1)</f>
        <v>0.13449950272041189</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3.3811198268866693E-2</v>
      </c>
      <c r="F54" s="449" t="str">
        <f>IF(OR(E54&gt;=0.3,E54&lt;=-0.3),"超过30%","")</f>
        <v/>
      </c>
      <c r="G54" s="448">
        <f>IF(G47&lt;I47,I47/G47-1,G47/I47-1)</f>
        <v>0.1727246978851964</v>
      </c>
      <c r="H54" s="449" t="str">
        <f>IF(OR(G54&gt;=0.3,G54&lt;=-0.3),"超过30%","")</f>
        <v/>
      </c>
      <c r="I54" s="448">
        <f>IF(I47&lt;E47,E47/I47-1,I47/E47-1)</f>
        <v>0.1343702794561934</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2025-5</v>
      </c>
      <c r="D58" s="1184">
        <f>EDATE(C58,-1)</f>
        <v>45748</v>
      </c>
      <c r="E58" s="1184">
        <f t="shared" ref="E58:N58" si="16">EDATE(D58,-1)</f>
        <v>45717</v>
      </c>
      <c r="F58" s="1184">
        <f t="shared" si="16"/>
        <v>45689</v>
      </c>
      <c r="G58" s="1184">
        <f t="shared" si="16"/>
        <v>45658</v>
      </c>
      <c r="H58" s="1184">
        <f t="shared" si="16"/>
        <v>45627</v>
      </c>
      <c r="I58" s="1184">
        <f t="shared" si="16"/>
        <v>45597</v>
      </c>
      <c r="J58" s="1184">
        <f t="shared" si="16"/>
        <v>45566</v>
      </c>
      <c r="K58" s="1184">
        <f t="shared" si="16"/>
        <v>45536</v>
      </c>
      <c r="L58" s="1184">
        <f t="shared" si="16"/>
        <v>45505</v>
      </c>
      <c r="M58" s="1184">
        <f t="shared" si="16"/>
        <v>45474</v>
      </c>
      <c r="N58" s="1184">
        <f t="shared" si="16"/>
        <v>45444</v>
      </c>
      <c r="O58" s="1184">
        <f>EDATE(N58,-1)</f>
        <v>45413</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1681</v>
      </c>
      <c r="B61" s="459"/>
      <c r="C61" s="471" t="s">
        <v>1776</v>
      </c>
      <c r="D61" s="3814" t="s">
        <v>3449</v>
      </c>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t="s">
        <v>3450</v>
      </c>
      <c r="D65" s="532" t="s">
        <v>3451</v>
      </c>
      <c r="E65" s="532" t="s">
        <v>3452</v>
      </c>
      <c r="F65" s="532" t="s">
        <v>3453</v>
      </c>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v>2</v>
      </c>
      <c r="F68" s="498">
        <v>3</v>
      </c>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815" t="s">
        <v>3455</v>
      </c>
      <c r="D86" s="3815" t="s">
        <v>3456</v>
      </c>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3457</v>
      </c>
      <c r="D88" s="503" t="s">
        <v>3458</v>
      </c>
      <c r="E88" s="503" t="s">
        <v>3459</v>
      </c>
      <c r="F88" s="1926" t="s">
        <v>3460</v>
      </c>
      <c r="G88" s="503" t="s">
        <v>3461</v>
      </c>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3815" t="s">
        <v>3462</v>
      </c>
      <c r="D90" s="3815" t="s">
        <v>3464</v>
      </c>
      <c r="E90" s="3815" t="s">
        <v>3465</v>
      </c>
      <c r="F90" s="3815" t="s">
        <v>3466</v>
      </c>
      <c r="G90" s="3815" t="s">
        <v>3467</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3">D91-$K27</f>
        <v>94</v>
      </c>
      <c r="F91" s="493">
        <f t="shared" si="23"/>
        <v>91</v>
      </c>
      <c r="G91" s="493">
        <f t="shared" si="23"/>
        <v>88</v>
      </c>
      <c r="H91" s="493">
        <f t="shared" si="23"/>
        <v>85</v>
      </c>
      <c r="I91" s="493">
        <f t="shared" si="23"/>
        <v>82</v>
      </c>
      <c r="J91" s="493">
        <f t="shared" si="23"/>
        <v>79</v>
      </c>
      <c r="K91" s="493">
        <f t="shared" si="23"/>
        <v>76</v>
      </c>
      <c r="L91" s="493">
        <f t="shared" si="23"/>
        <v>73</v>
      </c>
      <c r="M91" s="493">
        <f t="shared" si="23"/>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3468</v>
      </c>
      <c r="D92" s="503" t="s">
        <v>3469</v>
      </c>
      <c r="E92" s="503" t="s">
        <v>3470</v>
      </c>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f>ROUND(E93*C95/E95,0)</f>
        <v>118</v>
      </c>
      <c r="D93" s="485">
        <f>ROUND(E93*D95/E95,0)</f>
        <v>82</v>
      </c>
      <c r="E93" s="485">
        <v>100</v>
      </c>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v>100</v>
      </c>
      <c r="D95" s="485">
        <f>'数据-取费表'!U22*100</f>
        <v>70</v>
      </c>
      <c r="E95" s="485">
        <f>ROUND((C95+D95)/2,2)</f>
        <v>85</v>
      </c>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816" t="s">
        <v>3472</v>
      </c>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4">C101-$K32</f>
        <v>99</v>
      </c>
      <c r="E101" s="493">
        <f t="shared" si="24"/>
        <v>98</v>
      </c>
      <c r="F101" s="493">
        <f t="shared" si="24"/>
        <v>97</v>
      </c>
      <c r="G101" s="493">
        <f t="shared" si="24"/>
        <v>96</v>
      </c>
      <c r="H101" s="493">
        <f t="shared" si="24"/>
        <v>95</v>
      </c>
      <c r="I101" s="493">
        <f t="shared" si="24"/>
        <v>94</v>
      </c>
      <c r="J101" s="493">
        <f t="shared" si="24"/>
        <v>93</v>
      </c>
      <c r="K101" s="493">
        <f t="shared" si="24"/>
        <v>92</v>
      </c>
      <c r="L101" s="493">
        <f t="shared" si="24"/>
        <v>91</v>
      </c>
      <c r="M101" s="494">
        <f t="shared" si="24"/>
        <v>90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0(含)-150</v>
      </c>
      <c r="D102" s="527" t="str">
        <f t="shared" ref="D102:L102" si="25">D103&amp;"(含)"&amp;"-"&amp;E103</f>
        <v>150(含)-266.92/189.63</v>
      </c>
      <c r="E102" s="527" t="str">
        <f t="shared" si="25"/>
        <v>266.92/189.63(含)-</v>
      </c>
      <c r="F102" s="527" t="str">
        <f t="shared" si="25"/>
        <v>(含)-</v>
      </c>
      <c r="G102" s="527" t="str">
        <f t="shared" si="25"/>
        <v>(含)-</v>
      </c>
      <c r="H102" s="527" t="str">
        <f t="shared" si="25"/>
        <v>(含)-</v>
      </c>
      <c r="I102" s="527" t="str">
        <f t="shared" si="25"/>
        <v>(含)-</v>
      </c>
      <c r="J102" s="527" t="str">
        <f t="shared" si="25"/>
        <v>(含)-</v>
      </c>
      <c r="K102" s="527" t="str">
        <f t="shared" si="25"/>
        <v>(含)-</v>
      </c>
      <c r="L102" s="527" t="str">
        <f t="shared" si="25"/>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150</v>
      </c>
      <c r="E103" s="544" t="s">
        <v>3492</v>
      </c>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v>99</v>
      </c>
      <c r="E104" s="485">
        <v>98</v>
      </c>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815" t="s">
        <v>3473</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815" t="s">
        <v>3475</v>
      </c>
      <c r="D107" s="3815" t="s">
        <v>3477</v>
      </c>
      <c r="E107" s="3815" t="s">
        <v>3478</v>
      </c>
      <c r="F107" s="3817" t="s">
        <v>3479</v>
      </c>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815" t="s">
        <v>3481</v>
      </c>
      <c r="D112" s="3815" t="s">
        <v>3482</v>
      </c>
      <c r="E112" s="3815" t="s">
        <v>3483</v>
      </c>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815" t="s">
        <v>3485</v>
      </c>
      <c r="D114" s="3815" t="s">
        <v>3487</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4">
        <f t="shared" si="30"/>
        <v>80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815" t="s">
        <v>3489</v>
      </c>
      <c r="D116" s="3815" t="s">
        <v>3521</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97</v>
      </c>
      <c r="E117" s="493">
        <f>D117-$K39</f>
        <v>94</v>
      </c>
      <c r="F117" s="493">
        <f>E117-$K39</f>
        <v>91</v>
      </c>
      <c r="G117" s="493">
        <f>F117-$K39</f>
        <v>88</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815" t="s">
        <v>3475</v>
      </c>
      <c r="D122" s="3815" t="s">
        <v>3477</v>
      </c>
      <c r="E122" s="3815" t="s">
        <v>3478</v>
      </c>
      <c r="F122" s="3817" t="s">
        <v>3479</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t="str">
        <f>B44</f>
        <v>建成年代</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1" priority="21" stopIfTrue="1" operator="containsText" text="超过">
      <formula>NOT(ISERROR(SEARCH("超过",F52)))</formula>
    </cfRule>
  </conditionalFormatting>
  <conditionalFormatting sqref="H54">
    <cfRule type="containsText" dxfId="180" priority="19" stopIfTrue="1" operator="containsText" text="超过">
      <formula>NOT(ISERROR(SEARCH("超过",H54)))</formula>
    </cfRule>
  </conditionalFormatting>
  <conditionalFormatting sqref="F54">
    <cfRule type="containsText" dxfId="179" priority="18" stopIfTrue="1" operator="containsText" text="超过">
      <formula>NOT(ISERROR(SEARCH("超过",F54)))</formula>
    </cfRule>
  </conditionalFormatting>
  <conditionalFormatting sqref="F53 H53">
    <cfRule type="containsText" dxfId="178" priority="17" stopIfTrue="1" operator="containsText" text="超过">
      <formula>NOT(ISERROR(SEARCH("超过",F53)))</formula>
    </cfRule>
  </conditionalFormatting>
  <conditionalFormatting sqref="E52">
    <cfRule type="expression" dxfId="177" priority="16" stopIfTrue="1">
      <formula>$F$52="超过30%"</formula>
    </cfRule>
  </conditionalFormatting>
  <conditionalFormatting sqref="E53">
    <cfRule type="expression" dxfId="176" priority="15" stopIfTrue="1">
      <formula>$F$53="超过20%"</formula>
    </cfRule>
  </conditionalFormatting>
  <conditionalFormatting sqref="E54">
    <cfRule type="expression" dxfId="175" priority="14" stopIfTrue="1">
      <formula>$F$54="超过30%"</formula>
    </cfRule>
  </conditionalFormatting>
  <conditionalFormatting sqref="G54">
    <cfRule type="expression" dxfId="174" priority="13" stopIfTrue="1">
      <formula>$H$54="超过30%"</formula>
    </cfRule>
  </conditionalFormatting>
  <conditionalFormatting sqref="G52">
    <cfRule type="expression" dxfId="173" priority="12" stopIfTrue="1">
      <formula>$H$52="超过30%"</formula>
    </cfRule>
  </conditionalFormatting>
  <conditionalFormatting sqref="G53">
    <cfRule type="expression" dxfId="172" priority="11" stopIfTrue="1">
      <formula>$H$53="超过20%"</formula>
    </cfRule>
  </conditionalFormatting>
  <conditionalFormatting sqref="J52">
    <cfRule type="containsText" dxfId="171" priority="10" stopIfTrue="1" operator="containsText" text="超过">
      <formula>NOT(ISERROR(SEARCH("超过",J52)))</formula>
    </cfRule>
  </conditionalFormatting>
  <conditionalFormatting sqref="J54">
    <cfRule type="containsText" dxfId="170" priority="9" stopIfTrue="1" operator="containsText" text="超过">
      <formula>NOT(ISERROR(SEARCH("超过",J54)))</formula>
    </cfRule>
  </conditionalFormatting>
  <conditionalFormatting sqref="J53">
    <cfRule type="containsText" dxfId="169" priority="8" stopIfTrue="1" operator="containsText" text="超过">
      <formula>NOT(ISERROR(SEARCH("超过",J53)))</formula>
    </cfRule>
  </conditionalFormatting>
  <conditionalFormatting sqref="I52">
    <cfRule type="expression" dxfId="168" priority="7" stopIfTrue="1">
      <formula>$J$52="超过30%"</formula>
    </cfRule>
  </conditionalFormatting>
  <conditionalFormatting sqref="I53">
    <cfRule type="expression" dxfId="167" priority="6" stopIfTrue="1">
      <formula>$J$53="超过20%"</formula>
    </cfRule>
  </conditionalFormatting>
  <conditionalFormatting sqref="I54">
    <cfRule type="expression" dxfId="166" priority="5" stopIfTrue="1">
      <formula>$J$54="超过30%"</formula>
    </cfRule>
  </conditionalFormatting>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F7:F46 H7:H46 J7:J46">
    <cfRule type="cellIs" dxfId="16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30" zoomScale="90" zoomScaleNormal="70" zoomScaleSheetLayoutView="90"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3431</v>
      </c>
      <c r="E1" s="3424" t="s">
        <v>3446</v>
      </c>
      <c r="F1" s="1878" t="s">
        <v>3509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0.18720000000000001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4.0999999999999996</v>
      </c>
      <c r="C3" s="354" t="s">
        <v>1768</v>
      </c>
      <c r="D3" s="353">
        <f>IF(D1="",'数据-汇总表'!E3,SUMIF('数据-汇总表'!$C19:$C33,D1,'数据-汇总表'!$E19:$E33))</f>
        <v>456.55</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702" t="s">
        <v>1770</v>
      </c>
      <c r="D4" s="3703"/>
      <c r="E4" s="3704" t="s">
        <v>1771</v>
      </c>
      <c r="F4" s="3705"/>
      <c r="G4" s="3702" t="s">
        <v>1772</v>
      </c>
      <c r="H4" s="3703"/>
      <c r="I4" s="3702" t="s">
        <v>1773</v>
      </c>
      <c r="J4" s="3703"/>
      <c r="K4" s="559" t="s">
        <v>1774</v>
      </c>
      <c r="L4" s="2713"/>
      <c r="M4" s="2714"/>
      <c r="N4" s="2714"/>
      <c r="O4" s="2714"/>
      <c r="P4" s="3706" t="s">
        <v>1775</v>
      </c>
      <c r="Q4" s="3707"/>
      <c r="R4" s="3712" t="s">
        <v>1771</v>
      </c>
      <c r="S4" s="3713"/>
      <c r="T4" s="3712" t="s">
        <v>1772</v>
      </c>
      <c r="U4" s="3713"/>
      <c r="V4" s="3718" t="s">
        <v>1773</v>
      </c>
      <c r="W4" s="3718"/>
      <c r="X4" s="3467"/>
      <c r="Y4" s="3712" t="s">
        <v>1775</v>
      </c>
      <c r="Z4" s="3713"/>
      <c r="AA4" s="3699" t="s">
        <v>1771</v>
      </c>
      <c r="AB4" s="3718" t="s">
        <v>1772</v>
      </c>
      <c r="AC4" s="3699" t="s">
        <v>1773</v>
      </c>
    </row>
    <row r="5" spans="1:29" ht="15">
      <c r="A5" s="358"/>
      <c r="B5" s="359"/>
      <c r="C5" s="3721" t="s">
        <v>1673</v>
      </c>
      <c r="D5" s="3722"/>
      <c r="E5" s="3826" t="s">
        <v>3513</v>
      </c>
      <c r="F5" s="3729"/>
      <c r="G5" s="3827" t="s">
        <v>3526</v>
      </c>
      <c r="H5" s="3722"/>
      <c r="I5" s="3827" t="s">
        <v>3527</v>
      </c>
      <c r="J5" s="3722"/>
      <c r="K5" s="559"/>
      <c r="L5" s="2713"/>
      <c r="M5" s="2714"/>
      <c r="N5" s="2714"/>
      <c r="O5" s="2714"/>
      <c r="P5" s="3708"/>
      <c r="Q5" s="3709"/>
      <c r="R5" s="3714"/>
      <c r="S5" s="3715"/>
      <c r="T5" s="3714"/>
      <c r="U5" s="3715"/>
      <c r="V5" s="3718"/>
      <c r="W5" s="3718"/>
      <c r="X5" s="3467"/>
      <c r="Y5" s="3714"/>
      <c r="Z5" s="3715"/>
      <c r="AA5" s="3700"/>
      <c r="AB5" s="3718"/>
      <c r="AC5" s="3700"/>
    </row>
    <row r="6" spans="1:29" ht="15.75" thickBot="1">
      <c r="A6" s="360"/>
      <c r="B6" s="361"/>
      <c r="C6" s="3719" t="s">
        <v>1677</v>
      </c>
      <c r="D6" s="3720"/>
      <c r="E6" s="3726" t="s">
        <v>1677</v>
      </c>
      <c r="F6" s="3727"/>
      <c r="G6" s="3719" t="s">
        <v>1677</v>
      </c>
      <c r="H6" s="3720"/>
      <c r="I6" s="3719" t="s">
        <v>1677</v>
      </c>
      <c r="J6" s="3720"/>
      <c r="K6" s="559" t="s">
        <v>1678</v>
      </c>
      <c r="L6" s="2713"/>
      <c r="M6" s="2714"/>
      <c r="N6" s="2714"/>
      <c r="O6" s="2714"/>
      <c r="P6" s="3710"/>
      <c r="Q6" s="3711"/>
      <c r="R6" s="3714"/>
      <c r="S6" s="3715"/>
      <c r="T6" s="3716"/>
      <c r="U6" s="3717"/>
      <c r="V6" s="3718"/>
      <c r="W6" s="3718"/>
      <c r="X6" s="3467"/>
      <c r="Y6" s="3716"/>
      <c r="Z6" s="3717"/>
      <c r="AA6" s="3701"/>
      <c r="AB6" s="3718"/>
      <c r="AC6" s="3701"/>
    </row>
    <row r="7" spans="1:29" s="108" customFormat="1" ht="15.75" thickBot="1">
      <c r="A7" s="362" t="s">
        <v>1679</v>
      </c>
      <c r="B7" s="363"/>
      <c r="C7" s="364">
        <f>'数据-取费表'!B2</f>
        <v>45793</v>
      </c>
      <c r="D7" s="365">
        <v>100</v>
      </c>
      <c r="E7" s="366">
        <f>C7</f>
        <v>45793</v>
      </c>
      <c r="F7" s="367">
        <f>SUMIF(58:58,YEAR(E7)&amp;"-"&amp;MONTH(E7),59:59)</f>
        <v>100</v>
      </c>
      <c r="G7" s="366">
        <f>C7</f>
        <v>45793</v>
      </c>
      <c r="H7" s="365">
        <f>SUMIF(58:58,YEAR(G7)&amp;"-"&amp;MONTH(G7),59:59)</f>
        <v>100</v>
      </c>
      <c r="I7" s="366">
        <f>C7</f>
        <v>45793</v>
      </c>
      <c r="J7" s="365">
        <f>SUMIF(58:58,YEAR(I7)&amp;"-"&amp;MONTH(I7),59:59)</f>
        <v>100</v>
      </c>
      <c r="K7" s="560"/>
      <c r="L7" s="2715"/>
      <c r="M7" s="2716"/>
      <c r="N7" s="2716"/>
      <c r="O7" s="2716"/>
      <c r="P7" s="3723" t="s">
        <v>1680</v>
      </c>
      <c r="Q7" s="3725"/>
      <c r="R7" s="700" t="s">
        <v>14</v>
      </c>
      <c r="S7" s="701">
        <f t="shared" ref="S7:S15" si="0">F7</f>
        <v>100</v>
      </c>
      <c r="T7" s="700" t="s">
        <v>14</v>
      </c>
      <c r="U7" s="701">
        <f t="shared" ref="U7:U15" si="1">H7</f>
        <v>100</v>
      </c>
      <c r="V7" s="700" t="s">
        <v>14</v>
      </c>
      <c r="W7" s="701">
        <f t="shared" ref="W7:W15" si="2">J7</f>
        <v>100</v>
      </c>
      <c r="X7" s="702"/>
      <c r="Y7" s="3723" t="s">
        <v>1680</v>
      </c>
      <c r="Z7" s="3724"/>
      <c r="AA7" s="703">
        <f>D7/F7</f>
        <v>1</v>
      </c>
      <c r="AB7" s="703">
        <f>D7/H7</f>
        <v>1</v>
      </c>
      <c r="AC7" s="703">
        <f>D7/J7</f>
        <v>1</v>
      </c>
    </row>
    <row r="8" spans="1:29" s="108" customFormat="1" ht="15.75" thickBot="1">
      <c r="A8" s="362" t="s">
        <v>1681</v>
      </c>
      <c r="B8" s="363"/>
      <c r="C8" s="368" t="s">
        <v>3441</v>
      </c>
      <c r="D8" s="365">
        <v>100</v>
      </c>
      <c r="E8" s="368" t="s">
        <v>3448</v>
      </c>
      <c r="F8" s="367">
        <f>SUMIF(61:61,E8,62:62)-SUMIF(61:61,C8,62:62)+100</f>
        <v>103</v>
      </c>
      <c r="G8" s="368" t="s">
        <v>3441</v>
      </c>
      <c r="H8" s="365">
        <f>SUMIF(61:61,G8,62:62)-SUMIF(61:61,C8,62:62)+100</f>
        <v>100</v>
      </c>
      <c r="I8" s="368" t="s">
        <v>3448</v>
      </c>
      <c r="J8" s="365">
        <f>SUMIF(61:61,I8,62:62)-SUMIF(61:61,C8,62:62)+100</f>
        <v>103</v>
      </c>
      <c r="K8" s="560"/>
      <c r="L8" s="2715"/>
      <c r="M8" s="2716"/>
      <c r="N8" s="2716"/>
      <c r="O8" s="2716"/>
      <c r="P8" s="3723" t="s">
        <v>1683</v>
      </c>
      <c r="Q8" s="3724"/>
      <c r="R8" s="700" t="s">
        <v>14</v>
      </c>
      <c r="S8" s="701">
        <f t="shared" si="0"/>
        <v>103</v>
      </c>
      <c r="T8" s="700" t="s">
        <v>14</v>
      </c>
      <c r="U8" s="701">
        <f t="shared" si="1"/>
        <v>100</v>
      </c>
      <c r="V8" s="700" t="s">
        <v>14</v>
      </c>
      <c r="W8" s="701">
        <f t="shared" si="2"/>
        <v>103</v>
      </c>
      <c r="X8" s="702"/>
      <c r="Y8" s="3723" t="s">
        <v>1683</v>
      </c>
      <c r="Z8" s="3724"/>
      <c r="AA8" s="703">
        <f t="shared" ref="AA8:AA46" si="3">D8/F8</f>
        <v>0.970873786407767</v>
      </c>
      <c r="AB8" s="703">
        <f t="shared" ref="AB8:AB46" si="4">D8/H8</f>
        <v>1</v>
      </c>
      <c r="AC8" s="703">
        <f t="shared" ref="AC8:AC46" si="5">D8/J8</f>
        <v>0.970873786407767</v>
      </c>
    </row>
    <row r="9" spans="1:29" s="108" customFormat="1">
      <c r="A9" s="369" t="s">
        <v>1684</v>
      </c>
      <c r="B9" s="63" t="s">
        <v>1685</v>
      </c>
      <c r="C9" s="3819" t="s">
        <v>3493</v>
      </c>
      <c r="D9" s="126">
        <v>100</v>
      </c>
      <c r="E9" s="3819" t="s">
        <v>3493</v>
      </c>
      <c r="F9" s="372">
        <f>SUMIF(63:63,E9,64:64)-SUMIF(63:63,C9,64:64)+100</f>
        <v>100</v>
      </c>
      <c r="G9" s="3819" t="s">
        <v>3493</v>
      </c>
      <c r="H9" s="126">
        <f>SUMIF(63:63,G9,64:64)-SUMIF(63:63,C9,64:64)+100</f>
        <v>100</v>
      </c>
      <c r="I9" s="3819" t="s">
        <v>3493</v>
      </c>
      <c r="J9" s="126">
        <f>SUMIF(63:63,I9,64:64)-SUMIF(63:63,C9,64:64)+100</f>
        <v>100</v>
      </c>
      <c r="K9" s="560"/>
      <c r="L9" s="2715"/>
      <c r="M9" s="2716"/>
      <c r="N9" s="2716"/>
      <c r="O9" s="2716"/>
      <c r="P9" s="3698" t="s">
        <v>1686</v>
      </c>
      <c r="Q9" s="3466" t="str">
        <f t="shared" ref="Q9:Q15" si="6">B9</f>
        <v>用途</v>
      </c>
      <c r="R9" s="700" t="s">
        <v>14</v>
      </c>
      <c r="S9" s="701">
        <f t="shared" si="0"/>
        <v>100</v>
      </c>
      <c r="T9" s="700" t="s">
        <v>14</v>
      </c>
      <c r="U9" s="701">
        <f t="shared" si="1"/>
        <v>100</v>
      </c>
      <c r="V9" s="700" t="s">
        <v>14</v>
      </c>
      <c r="W9" s="701">
        <f t="shared" si="2"/>
        <v>100</v>
      </c>
      <c r="X9" s="702"/>
      <c r="Y9" s="3562" t="s">
        <v>1687</v>
      </c>
      <c r="Z9" s="3465"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8"/>
      <c r="Q10" s="3466" t="str">
        <f t="shared" si="6"/>
        <v>土地使用年限（年）</v>
      </c>
      <c r="R10" s="700" t="s">
        <v>14</v>
      </c>
      <c r="S10" s="701">
        <f t="shared" si="0"/>
        <v>100</v>
      </c>
      <c r="T10" s="700" t="s">
        <v>14</v>
      </c>
      <c r="U10" s="701">
        <f t="shared" si="1"/>
        <v>100</v>
      </c>
      <c r="V10" s="700" t="s">
        <v>14</v>
      </c>
      <c r="W10" s="701">
        <f t="shared" si="2"/>
        <v>100</v>
      </c>
      <c r="X10" s="702"/>
      <c r="Y10" s="3562"/>
      <c r="Z10" s="3465"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98"/>
      <c r="Q11" s="3466" t="str">
        <f t="shared" si="6"/>
        <v>容积率</v>
      </c>
      <c r="R11" s="700" t="s">
        <v>14</v>
      </c>
      <c r="S11" s="701">
        <f t="shared" si="0"/>
        <v>100</v>
      </c>
      <c r="T11" s="700" t="s">
        <v>14</v>
      </c>
      <c r="U11" s="701">
        <f t="shared" si="1"/>
        <v>100</v>
      </c>
      <c r="V11" s="700" t="s">
        <v>14</v>
      </c>
      <c r="W11" s="701">
        <f t="shared" si="2"/>
        <v>100</v>
      </c>
      <c r="X11" s="702"/>
      <c r="Y11" s="3562"/>
      <c r="Z11" s="3465"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8"/>
      <c r="Q12" s="3466">
        <f t="shared" si="6"/>
        <v>111</v>
      </c>
      <c r="R12" s="700" t="s">
        <v>14</v>
      </c>
      <c r="S12" s="701">
        <f t="shared" si="0"/>
        <v>100</v>
      </c>
      <c r="T12" s="700" t="s">
        <v>14</v>
      </c>
      <c r="U12" s="701">
        <f t="shared" si="1"/>
        <v>100</v>
      </c>
      <c r="V12" s="700" t="s">
        <v>14</v>
      </c>
      <c r="W12" s="701">
        <f t="shared" si="2"/>
        <v>100</v>
      </c>
      <c r="X12" s="702"/>
      <c r="Y12" s="3562"/>
      <c r="Z12" s="3465">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8"/>
      <c r="Q13" s="3466">
        <f t="shared" si="6"/>
        <v>111</v>
      </c>
      <c r="R13" s="700" t="s">
        <v>14</v>
      </c>
      <c r="S13" s="701">
        <f t="shared" si="0"/>
        <v>100</v>
      </c>
      <c r="T13" s="700" t="s">
        <v>14</v>
      </c>
      <c r="U13" s="701">
        <f t="shared" si="1"/>
        <v>100</v>
      </c>
      <c r="V13" s="700" t="s">
        <v>14</v>
      </c>
      <c r="W13" s="701">
        <f t="shared" si="2"/>
        <v>100</v>
      </c>
      <c r="X13" s="702"/>
      <c r="Y13" s="3562"/>
      <c r="Z13" s="3465">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8"/>
      <c r="Q14" s="3466">
        <f t="shared" si="6"/>
        <v>111</v>
      </c>
      <c r="R14" s="700" t="s">
        <v>14</v>
      </c>
      <c r="S14" s="701">
        <f t="shared" si="0"/>
        <v>100</v>
      </c>
      <c r="T14" s="700" t="s">
        <v>14</v>
      </c>
      <c r="U14" s="701">
        <f t="shared" si="1"/>
        <v>100</v>
      </c>
      <c r="V14" s="700" t="s">
        <v>14</v>
      </c>
      <c r="W14" s="701">
        <f t="shared" si="2"/>
        <v>100</v>
      </c>
      <c r="X14" s="702"/>
      <c r="Y14" s="3562"/>
      <c r="Z14" s="3465">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102</v>
      </c>
      <c r="I15" s="393"/>
      <c r="J15" s="392">
        <f>SUMIF(76:76,I16,77:77)-SUMIF(76:76,C16,77:77)+100</f>
        <v>102</v>
      </c>
      <c r="K15" s="563">
        <v>2</v>
      </c>
      <c r="L15" s="2720"/>
      <c r="M15" s="2714"/>
      <c r="N15" s="2714"/>
      <c r="O15" s="2714"/>
      <c r="P15" s="3696" t="s">
        <v>1691</v>
      </c>
      <c r="Q15" s="3470" t="str">
        <f t="shared" si="6"/>
        <v>商业繁华度</v>
      </c>
      <c r="R15" s="704" t="s">
        <v>14</v>
      </c>
      <c r="S15" s="705">
        <f t="shared" si="0"/>
        <v>100</v>
      </c>
      <c r="T15" s="704" t="s">
        <v>14</v>
      </c>
      <c r="U15" s="705">
        <f t="shared" si="1"/>
        <v>102</v>
      </c>
      <c r="V15" s="704" t="s">
        <v>14</v>
      </c>
      <c r="W15" s="705">
        <f t="shared" si="2"/>
        <v>102</v>
      </c>
      <c r="X15" s="3467"/>
      <c r="Y15" s="3689" t="s">
        <v>1691</v>
      </c>
      <c r="Z15" s="3468" t="str">
        <f t="shared" si="7"/>
        <v>商业繁华度</v>
      </c>
      <c r="AA15" s="3471">
        <f t="shared" si="3"/>
        <v>1</v>
      </c>
      <c r="AB15" s="3471">
        <f t="shared" si="4"/>
        <v>0.98039215686274506</v>
      </c>
      <c r="AC15" s="3471">
        <f t="shared" si="5"/>
        <v>0.98039215686274506</v>
      </c>
    </row>
    <row r="16" spans="1:29" ht="15">
      <c r="A16" s="379"/>
      <c r="B16" s="397"/>
      <c r="C16" s="398" t="s">
        <v>3459</v>
      </c>
      <c r="D16" s="399"/>
      <c r="E16" s="398" t="s">
        <v>3459</v>
      </c>
      <c r="F16" s="400"/>
      <c r="G16" s="398" t="s">
        <v>3458</v>
      </c>
      <c r="H16" s="401"/>
      <c r="I16" s="398" t="s">
        <v>3458</v>
      </c>
      <c r="J16" s="399"/>
      <c r="K16" s="564"/>
      <c r="L16" s="2720"/>
      <c r="M16" s="2714"/>
      <c r="N16" s="2714"/>
      <c r="O16" s="2714"/>
      <c r="P16" s="3697"/>
      <c r="Q16" s="3470"/>
      <c r="R16" s="704"/>
      <c r="S16" s="705"/>
      <c r="T16" s="704"/>
      <c r="U16" s="705"/>
      <c r="V16" s="704"/>
      <c r="W16" s="705"/>
      <c r="X16" s="3467"/>
      <c r="Y16" s="3690"/>
      <c r="Z16" s="3468"/>
      <c r="AA16" s="3471">
        <v>1</v>
      </c>
      <c r="AB16" s="3471">
        <v>1</v>
      </c>
      <c r="AC16" s="3471">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97"/>
      <c r="Q17" s="3470" t="str">
        <f>B17</f>
        <v>交通便捷度</v>
      </c>
      <c r="R17" s="704" t="s">
        <v>14</v>
      </c>
      <c r="S17" s="705">
        <f>F17</f>
        <v>100</v>
      </c>
      <c r="T17" s="704" t="s">
        <v>14</v>
      </c>
      <c r="U17" s="705">
        <f>H17</f>
        <v>100</v>
      </c>
      <c r="V17" s="704" t="s">
        <v>14</v>
      </c>
      <c r="W17" s="705">
        <f>J17</f>
        <v>100</v>
      </c>
      <c r="X17" s="3467"/>
      <c r="Y17" s="3690"/>
      <c r="Z17" s="3468" t="str">
        <f>Q17</f>
        <v>交通便捷度</v>
      </c>
      <c r="AA17" s="3471">
        <f t="shared" si="3"/>
        <v>1</v>
      </c>
      <c r="AB17" s="3471">
        <f t="shared" si="4"/>
        <v>1</v>
      </c>
      <c r="AC17" s="3471">
        <f t="shared" si="5"/>
        <v>1</v>
      </c>
    </row>
    <row r="18" spans="1:29" ht="15">
      <c r="A18" s="379"/>
      <c r="B18" s="407"/>
      <c r="C18" s="1900" t="s">
        <v>3458</v>
      </c>
      <c r="D18" s="401"/>
      <c r="E18" s="1900" t="s">
        <v>3458</v>
      </c>
      <c r="F18" s="404"/>
      <c r="G18" s="1900" t="s">
        <v>3458</v>
      </c>
      <c r="H18" s="399"/>
      <c r="I18" s="1900" t="s">
        <v>3458</v>
      </c>
      <c r="J18" s="399"/>
      <c r="K18" s="564"/>
      <c r="L18" s="2720"/>
      <c r="M18" s="2714"/>
      <c r="N18" s="2714"/>
      <c r="O18" s="2714"/>
      <c r="P18" s="3697"/>
      <c r="Q18" s="3470"/>
      <c r="R18" s="704"/>
      <c r="S18" s="705"/>
      <c r="T18" s="704"/>
      <c r="U18" s="705"/>
      <c r="V18" s="704"/>
      <c r="W18" s="705"/>
      <c r="X18" s="3467"/>
      <c r="Y18" s="3690"/>
      <c r="Z18" s="3468"/>
      <c r="AA18" s="3471">
        <v>1</v>
      </c>
      <c r="AB18" s="3471">
        <v>1</v>
      </c>
      <c r="AC18" s="3471">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97"/>
      <c r="Q19" s="3470" t="str">
        <f>B19</f>
        <v>公共配套设施</v>
      </c>
      <c r="R19" s="704" t="s">
        <v>14</v>
      </c>
      <c r="S19" s="705">
        <f>F19</f>
        <v>100</v>
      </c>
      <c r="T19" s="704" t="s">
        <v>14</v>
      </c>
      <c r="U19" s="705">
        <f>H19</f>
        <v>100</v>
      </c>
      <c r="V19" s="704" t="s">
        <v>14</v>
      </c>
      <c r="W19" s="705">
        <f>J19</f>
        <v>100</v>
      </c>
      <c r="X19" s="3467"/>
      <c r="Y19" s="3690"/>
      <c r="Z19" s="3468" t="str">
        <f>Q19</f>
        <v>公共配套设施</v>
      </c>
      <c r="AA19" s="3471">
        <f t="shared" si="3"/>
        <v>1</v>
      </c>
      <c r="AB19" s="3471">
        <f t="shared" si="4"/>
        <v>1</v>
      </c>
      <c r="AC19" s="3471">
        <f t="shared" si="5"/>
        <v>1</v>
      </c>
    </row>
    <row r="20" spans="1:29" ht="15">
      <c r="A20" s="379"/>
      <c r="B20" s="407"/>
      <c r="C20" s="398" t="s">
        <v>3458</v>
      </c>
      <c r="D20" s="399"/>
      <c r="E20" s="398" t="s">
        <v>3458</v>
      </c>
      <c r="F20" s="400"/>
      <c r="G20" s="398" t="s">
        <v>3458</v>
      </c>
      <c r="H20" s="399"/>
      <c r="I20" s="398" t="s">
        <v>3458</v>
      </c>
      <c r="J20" s="399"/>
      <c r="K20" s="564"/>
      <c r="L20" s="2720"/>
      <c r="M20" s="2714"/>
      <c r="N20" s="2714"/>
      <c r="O20" s="2714"/>
      <c r="P20" s="3697"/>
      <c r="Q20" s="3470"/>
      <c r="R20" s="704"/>
      <c r="S20" s="705"/>
      <c r="T20" s="704"/>
      <c r="U20" s="705"/>
      <c r="V20" s="704"/>
      <c r="W20" s="705"/>
      <c r="X20" s="3467"/>
      <c r="Y20" s="3690"/>
      <c r="Z20" s="3468"/>
      <c r="AA20" s="3471">
        <v>1</v>
      </c>
      <c r="AB20" s="3471">
        <v>1</v>
      </c>
      <c r="AC20" s="3471">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97"/>
      <c r="Q21" s="3470" t="str">
        <f>B21</f>
        <v>基础设施水平</v>
      </c>
      <c r="R21" s="704" t="s">
        <v>14</v>
      </c>
      <c r="S21" s="705">
        <f>F21</f>
        <v>100</v>
      </c>
      <c r="T21" s="704" t="s">
        <v>14</v>
      </c>
      <c r="U21" s="705">
        <f>H21</f>
        <v>100</v>
      </c>
      <c r="V21" s="704" t="s">
        <v>14</v>
      </c>
      <c r="W21" s="705">
        <f>J21</f>
        <v>100</v>
      </c>
      <c r="X21" s="3467"/>
      <c r="Y21" s="3690"/>
      <c r="Z21" s="3468" t="str">
        <f>Q21</f>
        <v>基础设施水平</v>
      </c>
      <c r="AA21" s="3471">
        <f t="shared" ref="AA21" si="8">D21/F21</f>
        <v>1</v>
      </c>
      <c r="AB21" s="3471">
        <f t="shared" ref="AB21" si="9">D21/H21</f>
        <v>1</v>
      </c>
      <c r="AC21" s="3471">
        <f t="shared" ref="AC21" si="10">D21/J21</f>
        <v>1</v>
      </c>
    </row>
    <row r="22" spans="1:29" ht="15">
      <c r="A22" s="379"/>
      <c r="B22" s="1130"/>
      <c r="C22" s="1900" t="s">
        <v>3480</v>
      </c>
      <c r="D22" s="399"/>
      <c r="E22" s="1900" t="s">
        <v>3480</v>
      </c>
      <c r="F22" s="400"/>
      <c r="G22" s="1900" t="s">
        <v>3480</v>
      </c>
      <c r="H22" s="399"/>
      <c r="I22" s="1900" t="s">
        <v>3480</v>
      </c>
      <c r="J22" s="399"/>
      <c r="K22" s="1129"/>
      <c r="L22" s="2720"/>
      <c r="M22" s="2714"/>
      <c r="N22" s="2714"/>
      <c r="O22" s="2714"/>
      <c r="P22" s="3697"/>
      <c r="Q22" s="3470"/>
      <c r="R22" s="704"/>
      <c r="S22" s="705"/>
      <c r="T22" s="704"/>
      <c r="U22" s="705"/>
      <c r="V22" s="704"/>
      <c r="W22" s="705"/>
      <c r="X22" s="3467"/>
      <c r="Y22" s="3690"/>
      <c r="Z22" s="3468"/>
      <c r="AA22" s="3471">
        <v>1</v>
      </c>
      <c r="AB22" s="3471">
        <v>1</v>
      </c>
      <c r="AC22" s="3471">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97"/>
      <c r="Q23" s="3470" t="str">
        <f>B23</f>
        <v>自然及人文环境</v>
      </c>
      <c r="R23" s="704" t="s">
        <v>14</v>
      </c>
      <c r="S23" s="705">
        <f>F23</f>
        <v>100</v>
      </c>
      <c r="T23" s="704" t="s">
        <v>14</v>
      </c>
      <c r="U23" s="705">
        <f>H23</f>
        <v>100</v>
      </c>
      <c r="V23" s="704" t="s">
        <v>14</v>
      </c>
      <c r="W23" s="705">
        <f>J23</f>
        <v>100</v>
      </c>
      <c r="X23" s="3467"/>
      <c r="Y23" s="3690"/>
      <c r="Z23" s="3468" t="str">
        <f>Q23</f>
        <v>自然及人文环境</v>
      </c>
      <c r="AA23" s="3471">
        <f t="shared" si="3"/>
        <v>1</v>
      </c>
      <c r="AB23" s="3471">
        <f t="shared" si="4"/>
        <v>1</v>
      </c>
      <c r="AC23" s="3471">
        <f t="shared" si="5"/>
        <v>1</v>
      </c>
    </row>
    <row r="24" spans="1:29" ht="15">
      <c r="A24" s="379"/>
      <c r="B24" s="407"/>
      <c r="C24" s="398" t="s">
        <v>3458</v>
      </c>
      <c r="D24" s="399"/>
      <c r="E24" s="398" t="s">
        <v>3458</v>
      </c>
      <c r="F24" s="400"/>
      <c r="G24" s="398" t="s">
        <v>3458</v>
      </c>
      <c r="H24" s="399"/>
      <c r="I24" s="398" t="s">
        <v>3458</v>
      </c>
      <c r="J24" s="399"/>
      <c r="K24" s="564"/>
      <c r="L24" s="2720"/>
      <c r="M24" s="2714"/>
      <c r="N24" s="2714"/>
      <c r="O24" s="2714"/>
      <c r="P24" s="3697"/>
      <c r="Q24" s="3470"/>
      <c r="R24" s="704"/>
      <c r="S24" s="705"/>
      <c r="T24" s="704"/>
      <c r="U24" s="705"/>
      <c r="V24" s="704"/>
      <c r="W24" s="705"/>
      <c r="X24" s="3467"/>
      <c r="Y24" s="3690"/>
      <c r="Z24" s="3468"/>
      <c r="AA24" s="3471">
        <v>1</v>
      </c>
      <c r="AB24" s="3471">
        <v>1</v>
      </c>
      <c r="AC24" s="3471">
        <v>1</v>
      </c>
    </row>
    <row r="25" spans="1:29" ht="15">
      <c r="A25" s="379"/>
      <c r="B25" s="375" t="s">
        <v>1780</v>
      </c>
      <c r="C25" s="565" t="s">
        <v>3454</v>
      </c>
      <c r="D25" s="386">
        <v>100</v>
      </c>
      <c r="E25" s="565" t="s">
        <v>3454</v>
      </c>
      <c r="F25" s="412">
        <f>SUMIF(86:86,E25,87:87)-SUMIF(86:86,C25,87:87)+100</f>
        <v>100</v>
      </c>
      <c r="G25" s="565" t="s">
        <v>3454</v>
      </c>
      <c r="H25" s="386">
        <f>SUMIF(86:86,G25,87:87)-SUMIF(86:86,C25,87:87)+100</f>
        <v>100</v>
      </c>
      <c r="I25" s="565" t="s">
        <v>3454</v>
      </c>
      <c r="J25" s="386">
        <f>SUMIF(86:86,I25,87:87)-SUMIF(86:86,C25,87:87)+100</f>
        <v>100</v>
      </c>
      <c r="K25" s="561">
        <v>3</v>
      </c>
      <c r="L25" s="2720"/>
      <c r="M25" s="2714"/>
      <c r="N25" s="2714"/>
      <c r="O25" s="2714"/>
      <c r="P25" s="3697"/>
      <c r="Q25" s="3470" t="str">
        <f t="shared" ref="Q25:Q46" si="11">B25</f>
        <v>临街状况</v>
      </c>
      <c r="R25" s="704" t="s">
        <v>14</v>
      </c>
      <c r="S25" s="705">
        <f>F25</f>
        <v>100</v>
      </c>
      <c r="T25" s="704" t="s">
        <v>14</v>
      </c>
      <c r="U25" s="705">
        <f>H25</f>
        <v>100</v>
      </c>
      <c r="V25" s="704" t="s">
        <v>14</v>
      </c>
      <c r="W25" s="705">
        <f>J25</f>
        <v>100</v>
      </c>
      <c r="X25" s="3467"/>
      <c r="Y25" s="3690"/>
      <c r="Z25" s="3468" t="str">
        <f>Q25</f>
        <v>临街状况</v>
      </c>
      <c r="AA25" s="3471">
        <f t="shared" si="3"/>
        <v>1</v>
      </c>
      <c r="AB25" s="3471">
        <f t="shared" si="4"/>
        <v>1</v>
      </c>
      <c r="AC25" s="3471">
        <f t="shared" si="5"/>
        <v>1</v>
      </c>
    </row>
    <row r="26" spans="1:29" ht="15">
      <c r="A26" s="379"/>
      <c r="B26" s="1132" t="s">
        <v>1781</v>
      </c>
      <c r="C26" s="3818" t="s">
        <v>3490</v>
      </c>
      <c r="D26" s="386">
        <v>100</v>
      </c>
      <c r="E26" s="3818" t="s">
        <v>3490</v>
      </c>
      <c r="F26" s="412">
        <f>SUMIF(88:88,E26,89:89)-SUMIF(88:88,C26,89:89)+100</f>
        <v>100</v>
      </c>
      <c r="G26" s="3818" t="s">
        <v>3490</v>
      </c>
      <c r="H26" s="386">
        <f>SUMIF(88:88,G26,89:89)-SUMIF(88:88,C26,89:89)+100</f>
        <v>100</v>
      </c>
      <c r="I26" s="3818" t="s">
        <v>3490</v>
      </c>
      <c r="J26" s="386">
        <f>SUMIF(88:88,I26,89:89)-SUMIF(88:88,C26,89:89)+100</f>
        <v>100</v>
      </c>
      <c r="K26" s="562"/>
      <c r="L26" s="2720"/>
      <c r="M26" s="2714"/>
      <c r="N26" s="2714"/>
      <c r="O26" s="2714"/>
      <c r="P26" s="3697"/>
      <c r="Q26" s="3470" t="str">
        <f t="shared" si="11"/>
        <v>平面位置/可视性</v>
      </c>
      <c r="R26" s="704" t="s">
        <v>14</v>
      </c>
      <c r="S26" s="705">
        <f>F26</f>
        <v>100</v>
      </c>
      <c r="T26" s="704" t="s">
        <v>14</v>
      </c>
      <c r="U26" s="705">
        <f>H26</f>
        <v>100</v>
      </c>
      <c r="V26" s="704" t="s">
        <v>14</v>
      </c>
      <c r="W26" s="705">
        <f>J26</f>
        <v>100</v>
      </c>
      <c r="X26" s="3467"/>
      <c r="Y26" s="3690"/>
      <c r="Z26" s="3468" t="str">
        <f>Q26</f>
        <v>平面位置/可视性</v>
      </c>
      <c r="AA26" s="3471">
        <f t="shared" si="3"/>
        <v>1</v>
      </c>
      <c r="AB26" s="3471">
        <f t="shared" si="4"/>
        <v>1</v>
      </c>
      <c r="AC26" s="3471">
        <f t="shared" si="5"/>
        <v>1</v>
      </c>
    </row>
    <row r="27" spans="1:29" s="108" customFormat="1" ht="15">
      <c r="A27" s="382"/>
      <c r="B27" s="402" t="s">
        <v>1782</v>
      </c>
      <c r="C27" s="1955" t="s">
        <v>3459</v>
      </c>
      <c r="D27" s="413">
        <v>100</v>
      </c>
      <c r="E27" s="1955" t="s">
        <v>3459</v>
      </c>
      <c r="F27" s="415">
        <f>SUMIF(90:90,E27,91:91)-SUMIF(90:90,C27,91:91)+100</f>
        <v>100</v>
      </c>
      <c r="G27" s="1955" t="s">
        <v>3463</v>
      </c>
      <c r="H27" s="413">
        <f>SUMIF(90:90,G27,91:91)-SUMIF(90:90,C27,91:91)+100</f>
        <v>103</v>
      </c>
      <c r="I27" s="1955" t="s">
        <v>3463</v>
      </c>
      <c r="J27" s="413">
        <f>SUMIF(90:90,I27,91:91)-SUMIF(90:90,C27,91:91)+100</f>
        <v>103</v>
      </c>
      <c r="K27" s="561">
        <v>3</v>
      </c>
      <c r="L27" s="2715"/>
      <c r="M27" s="2716"/>
      <c r="N27" s="2716"/>
      <c r="O27" s="2716"/>
      <c r="P27" s="3697"/>
      <c r="Q27" s="3466" t="str">
        <f t="shared" si="11"/>
        <v>人流量</v>
      </c>
      <c r="R27" s="700" t="s">
        <v>14</v>
      </c>
      <c r="S27" s="701">
        <f>F27</f>
        <v>100</v>
      </c>
      <c r="T27" s="700" t="s">
        <v>14</v>
      </c>
      <c r="U27" s="701">
        <f>H27</f>
        <v>103</v>
      </c>
      <c r="V27" s="700" t="s">
        <v>14</v>
      </c>
      <c r="W27" s="701">
        <f>J27</f>
        <v>103</v>
      </c>
      <c r="X27" s="702"/>
      <c r="Y27" s="3690"/>
      <c r="Z27" s="3465" t="str">
        <f>Q27</f>
        <v>人流量</v>
      </c>
      <c r="AA27" s="3471">
        <f>D27/F27</f>
        <v>1</v>
      </c>
      <c r="AB27" s="3471">
        <f>D27/H27</f>
        <v>0.970873786407767</v>
      </c>
      <c r="AC27" s="3471">
        <f>D27/J27</f>
        <v>0.970873786407767</v>
      </c>
    </row>
    <row r="28" spans="1:29" ht="15">
      <c r="A28" s="379"/>
      <c r="B28" s="375" t="s">
        <v>1783</v>
      </c>
      <c r="C28" s="565" t="s">
        <v>3491</v>
      </c>
      <c r="D28" s="386">
        <v>100</v>
      </c>
      <c r="E28" s="565" t="s">
        <v>3491</v>
      </c>
      <c r="F28" s="412">
        <f>SUMIF(92:92,E28,93:93)-SUMIF(92:92,C28,93:93)+100</f>
        <v>100</v>
      </c>
      <c r="G28" s="565" t="s">
        <v>3494</v>
      </c>
      <c r="H28" s="386">
        <f>SUMIF(92:92,G28,93:93)-SUMIF(92:92,C28,93:93)+100</f>
        <v>118</v>
      </c>
      <c r="I28" s="565" t="s">
        <v>3494</v>
      </c>
      <c r="J28" s="386">
        <f>SUMIF(92:92,I28,93:93)-SUMIF(92:92,C28,93:93)+100</f>
        <v>118</v>
      </c>
      <c r="K28" s="562"/>
      <c r="L28" s="2720"/>
      <c r="M28" s="2714"/>
      <c r="N28" s="2714"/>
      <c r="O28" s="2714"/>
      <c r="P28" s="3697"/>
      <c r="Q28" s="3470" t="str">
        <f t="shared" si="11"/>
        <v>楼层</v>
      </c>
      <c r="R28" s="704" t="s">
        <v>14</v>
      </c>
      <c r="S28" s="705">
        <f t="shared" ref="S28:S46" si="12">F28</f>
        <v>100</v>
      </c>
      <c r="T28" s="704" t="s">
        <v>14</v>
      </c>
      <c r="U28" s="705">
        <f t="shared" ref="U28:U46" si="13">H28</f>
        <v>118</v>
      </c>
      <c r="V28" s="704" t="s">
        <v>14</v>
      </c>
      <c r="W28" s="705">
        <f t="shared" ref="W28:W46" si="14">J28</f>
        <v>118</v>
      </c>
      <c r="X28" s="3467"/>
      <c r="Y28" s="3690"/>
      <c r="Z28" s="3468" t="str">
        <f t="shared" ref="Z28:Z46" si="15">Q28</f>
        <v>楼层</v>
      </c>
      <c r="AA28" s="3471">
        <f t="shared" si="3"/>
        <v>1</v>
      </c>
      <c r="AB28" s="3471">
        <f t="shared" si="4"/>
        <v>0.84745762711864403</v>
      </c>
      <c r="AC28" s="3471">
        <f t="shared" si="5"/>
        <v>0.84745762711864403</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7"/>
      <c r="Q29" s="3470">
        <f t="shared" si="11"/>
        <v>111</v>
      </c>
      <c r="R29" s="704" t="s">
        <v>14</v>
      </c>
      <c r="S29" s="705">
        <f t="shared" si="12"/>
        <v>100</v>
      </c>
      <c r="T29" s="704" t="s">
        <v>14</v>
      </c>
      <c r="U29" s="705">
        <f t="shared" si="13"/>
        <v>100</v>
      </c>
      <c r="V29" s="704" t="s">
        <v>14</v>
      </c>
      <c r="W29" s="705">
        <f t="shared" si="14"/>
        <v>100</v>
      </c>
      <c r="X29" s="3467"/>
      <c r="Y29" s="3690"/>
      <c r="Z29" s="3468">
        <f t="shared" si="15"/>
        <v>111</v>
      </c>
      <c r="AA29" s="3471">
        <f t="shared" si="3"/>
        <v>1</v>
      </c>
      <c r="AB29" s="3471">
        <f t="shared" si="4"/>
        <v>1</v>
      </c>
      <c r="AC29" s="347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7"/>
      <c r="Q30" s="3470">
        <f t="shared" si="11"/>
        <v>111</v>
      </c>
      <c r="R30" s="704" t="s">
        <v>14</v>
      </c>
      <c r="S30" s="705">
        <f t="shared" si="12"/>
        <v>100</v>
      </c>
      <c r="T30" s="704" t="s">
        <v>14</v>
      </c>
      <c r="U30" s="705">
        <f t="shared" si="13"/>
        <v>100</v>
      </c>
      <c r="V30" s="704" t="s">
        <v>14</v>
      </c>
      <c r="W30" s="705">
        <f t="shared" si="14"/>
        <v>100</v>
      </c>
      <c r="X30" s="3467"/>
      <c r="Y30" s="3690"/>
      <c r="Z30" s="3468">
        <f t="shared" si="15"/>
        <v>111</v>
      </c>
      <c r="AA30" s="3471">
        <f t="shared" si="3"/>
        <v>1</v>
      </c>
      <c r="AB30" s="3471">
        <f t="shared" si="4"/>
        <v>1</v>
      </c>
      <c r="AC30" s="347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7"/>
      <c r="Q31" s="3470">
        <f t="shared" si="11"/>
        <v>111</v>
      </c>
      <c r="R31" s="704" t="s">
        <v>14</v>
      </c>
      <c r="S31" s="705">
        <f t="shared" si="12"/>
        <v>100</v>
      </c>
      <c r="T31" s="704" t="s">
        <v>14</v>
      </c>
      <c r="U31" s="705">
        <f t="shared" si="13"/>
        <v>100</v>
      </c>
      <c r="V31" s="704" t="s">
        <v>14</v>
      </c>
      <c r="W31" s="705">
        <f t="shared" si="14"/>
        <v>100</v>
      </c>
      <c r="X31" s="3467"/>
      <c r="Y31" s="3690"/>
      <c r="Z31" s="3468">
        <f t="shared" si="15"/>
        <v>111</v>
      </c>
      <c r="AA31" s="3471">
        <f t="shared" si="3"/>
        <v>1</v>
      </c>
      <c r="AB31" s="3471">
        <f t="shared" si="4"/>
        <v>1</v>
      </c>
      <c r="AC31" s="3471">
        <f t="shared" si="5"/>
        <v>1</v>
      </c>
    </row>
    <row r="32" spans="1:29" ht="15">
      <c r="A32" s="391" t="s">
        <v>1694</v>
      </c>
      <c r="B32" s="63" t="s">
        <v>1784</v>
      </c>
      <c r="C32" s="1909" t="s">
        <v>3471</v>
      </c>
      <c r="D32" s="418">
        <v>100</v>
      </c>
      <c r="E32" s="1909" t="s">
        <v>3471</v>
      </c>
      <c r="F32" s="412">
        <f>SUMIF(100:100,E32,101:101)-SUMIF(100:100,C32,101:101)+100</f>
        <v>100</v>
      </c>
      <c r="G32" s="1909" t="s">
        <v>3471</v>
      </c>
      <c r="H32" s="386">
        <f>SUMIF(100:100,G32,101:101)-SUMIF(100:100,C32,101:101)+100</f>
        <v>100</v>
      </c>
      <c r="I32" s="1909" t="s">
        <v>3471</v>
      </c>
      <c r="J32" s="418">
        <f>SUMIF(100:100,I32,101:101)-SUMIF(100:100,C32,101:101)+100</f>
        <v>100</v>
      </c>
      <c r="K32" s="561">
        <v>1</v>
      </c>
      <c r="L32" s="2720"/>
      <c r="M32" s="2714"/>
      <c r="N32" s="2714"/>
      <c r="O32" s="2714"/>
      <c r="P32" s="3691" t="s">
        <v>1696</v>
      </c>
      <c r="Q32" s="3470" t="str">
        <f t="shared" si="11"/>
        <v>商业类型</v>
      </c>
      <c r="R32" s="704" t="s">
        <v>14</v>
      </c>
      <c r="S32" s="705">
        <f t="shared" si="12"/>
        <v>100</v>
      </c>
      <c r="T32" s="704" t="s">
        <v>14</v>
      </c>
      <c r="U32" s="705">
        <f t="shared" si="13"/>
        <v>100</v>
      </c>
      <c r="V32" s="704" t="s">
        <v>14</v>
      </c>
      <c r="W32" s="705">
        <f t="shared" si="14"/>
        <v>100</v>
      </c>
      <c r="X32" s="3467"/>
      <c r="Y32" s="3694" t="s">
        <v>1696</v>
      </c>
      <c r="Z32" s="3468" t="str">
        <f t="shared" si="15"/>
        <v>商业类型</v>
      </c>
      <c r="AA32" s="3471">
        <f t="shared" si="3"/>
        <v>1</v>
      </c>
      <c r="AB32" s="3471">
        <f t="shared" si="4"/>
        <v>1</v>
      </c>
      <c r="AC32" s="3471">
        <f t="shared" si="5"/>
        <v>1</v>
      </c>
    </row>
    <row r="33" spans="1:29" s="422" customFormat="1" ht="15">
      <c r="A33" s="419"/>
      <c r="B33" s="375" t="s">
        <v>1697</v>
      </c>
      <c r="C33" s="420" t="s">
        <v>3492</v>
      </c>
      <c r="D33" s="127">
        <v>100</v>
      </c>
      <c r="E33" s="381">
        <v>191.68</v>
      </c>
      <c r="F33" s="376">
        <f>LOOKUP(E33,103:103,104:104)-LOOKUP(C33,103:103,104:104)+100</f>
        <v>101</v>
      </c>
      <c r="G33" s="380">
        <v>260</v>
      </c>
      <c r="H33" s="127">
        <f>LOOKUP(G33,103:103,104:104)-LOOKUP(C33,103:103,104:104)+100</f>
        <v>101</v>
      </c>
      <c r="I33" s="380">
        <v>122</v>
      </c>
      <c r="J33" s="127">
        <f>LOOKUP(I33,103:103,104:104)-LOOKUP(C33,103:103,104:104)+100</f>
        <v>102</v>
      </c>
      <c r="K33" s="562"/>
      <c r="L33" s="2719"/>
      <c r="M33" s="2721"/>
      <c r="N33" s="2721"/>
      <c r="O33" s="2721"/>
      <c r="P33" s="3692"/>
      <c r="Q33" s="706" t="str">
        <f t="shared" si="11"/>
        <v>项目建筑规模</v>
      </c>
      <c r="R33" s="707" t="s">
        <v>14</v>
      </c>
      <c r="S33" s="708">
        <f t="shared" si="12"/>
        <v>101</v>
      </c>
      <c r="T33" s="707" t="s">
        <v>14</v>
      </c>
      <c r="U33" s="708">
        <f t="shared" si="13"/>
        <v>101</v>
      </c>
      <c r="V33" s="707" t="s">
        <v>14</v>
      </c>
      <c r="W33" s="708">
        <f t="shared" si="14"/>
        <v>102</v>
      </c>
      <c r="X33" s="709"/>
      <c r="Y33" s="3694"/>
      <c r="Z33" s="710" t="str">
        <f t="shared" si="15"/>
        <v>项目建筑规模</v>
      </c>
      <c r="AA33" s="3471">
        <f t="shared" si="3"/>
        <v>0.99009900990099009</v>
      </c>
      <c r="AB33" s="3471">
        <f t="shared" si="4"/>
        <v>0.99009900990099009</v>
      </c>
      <c r="AC33" s="3471">
        <f t="shared" si="5"/>
        <v>0.98039215686274506</v>
      </c>
    </row>
    <row r="34" spans="1:29" ht="15">
      <c r="A34" s="423"/>
      <c r="B34" s="375" t="s">
        <v>1698</v>
      </c>
      <c r="C34" s="1911" t="s">
        <v>3435</v>
      </c>
      <c r="D34" s="386">
        <v>100</v>
      </c>
      <c r="E34" s="1911" t="s">
        <v>3435</v>
      </c>
      <c r="F34" s="412">
        <f>SUMIF(105:105,E34,106:106)-SUMIF(105:105,C34,106:106)+100</f>
        <v>100</v>
      </c>
      <c r="G34" s="1911" t="s">
        <v>3435</v>
      </c>
      <c r="H34" s="386">
        <f>SUMIF(105:105,G34,106:106)-SUMIF(105:105,C34,106:106)+100</f>
        <v>100</v>
      </c>
      <c r="I34" s="1911" t="s">
        <v>3435</v>
      </c>
      <c r="J34" s="386">
        <f>SUMIF(105:105,I34,106:106)-SUMIF(105:105,C34,106:106)+100</f>
        <v>100</v>
      </c>
      <c r="K34" s="561">
        <v>1</v>
      </c>
      <c r="L34" s="2720"/>
      <c r="M34" s="2714"/>
      <c r="N34" s="2714"/>
      <c r="O34" s="2714"/>
      <c r="P34" s="3692"/>
      <c r="Q34" s="3470" t="str">
        <f t="shared" si="11"/>
        <v>建筑结构</v>
      </c>
      <c r="R34" s="704" t="s">
        <v>14</v>
      </c>
      <c r="S34" s="705">
        <f t="shared" si="12"/>
        <v>100</v>
      </c>
      <c r="T34" s="704" t="s">
        <v>14</v>
      </c>
      <c r="U34" s="705">
        <f t="shared" si="13"/>
        <v>100</v>
      </c>
      <c r="V34" s="704" t="s">
        <v>14</v>
      </c>
      <c r="W34" s="705">
        <f t="shared" si="14"/>
        <v>100</v>
      </c>
      <c r="X34" s="3467"/>
      <c r="Y34" s="3694"/>
      <c r="Z34" s="3468" t="str">
        <f t="shared" si="15"/>
        <v>建筑结构</v>
      </c>
      <c r="AA34" s="3471">
        <f t="shared" si="3"/>
        <v>1</v>
      </c>
      <c r="AB34" s="3471">
        <f t="shared" si="4"/>
        <v>1</v>
      </c>
      <c r="AC34" s="3471">
        <f t="shared" si="5"/>
        <v>1</v>
      </c>
    </row>
    <row r="35" spans="1:29" ht="15">
      <c r="A35" s="423"/>
      <c r="B35" s="375" t="s">
        <v>1785</v>
      </c>
      <c r="C35" s="1905" t="s">
        <v>3474</v>
      </c>
      <c r="D35" s="386">
        <v>100</v>
      </c>
      <c r="E35" s="1905" t="s">
        <v>3474</v>
      </c>
      <c r="F35" s="412">
        <f>SUMIF(107:107,E35,108:108)-SUMIF(107:107,C35,108:108)+100</f>
        <v>100</v>
      </c>
      <c r="G35" s="1905" t="s">
        <v>3474</v>
      </c>
      <c r="H35" s="386">
        <f>SUMIF(107:107,G35,108:108)-SUMIF(107:107,C35,108:108)+100</f>
        <v>100</v>
      </c>
      <c r="I35" s="1905" t="s">
        <v>3474</v>
      </c>
      <c r="J35" s="386">
        <f>SUMIF(107:107,I35,108:108)-SUMIF(107:107,C35,108:108)+100</f>
        <v>100</v>
      </c>
      <c r="K35" s="561">
        <v>1</v>
      </c>
      <c r="L35" s="2720"/>
      <c r="M35" s="2714"/>
      <c r="N35" s="2714"/>
      <c r="O35" s="2714"/>
      <c r="P35" s="3692"/>
      <c r="Q35" s="3470" t="str">
        <f t="shared" si="11"/>
        <v>公共部分装修</v>
      </c>
      <c r="R35" s="704" t="s">
        <v>14</v>
      </c>
      <c r="S35" s="705">
        <f t="shared" si="12"/>
        <v>100</v>
      </c>
      <c r="T35" s="704" t="s">
        <v>14</v>
      </c>
      <c r="U35" s="705">
        <f t="shared" si="13"/>
        <v>100</v>
      </c>
      <c r="V35" s="704" t="s">
        <v>14</v>
      </c>
      <c r="W35" s="705">
        <f t="shared" si="14"/>
        <v>100</v>
      </c>
      <c r="X35" s="3467"/>
      <c r="Y35" s="3694"/>
      <c r="Z35" s="3468" t="str">
        <f t="shared" si="15"/>
        <v>公共部分装修</v>
      </c>
      <c r="AA35" s="3471">
        <f t="shared" si="3"/>
        <v>1</v>
      </c>
      <c r="AB35" s="3471">
        <f t="shared" si="4"/>
        <v>1</v>
      </c>
      <c r="AC35" s="3471">
        <f t="shared" si="5"/>
        <v>1</v>
      </c>
    </row>
    <row r="36" spans="1:29" ht="15">
      <c r="A36" s="423"/>
      <c r="B36" s="375" t="s">
        <v>1786</v>
      </c>
      <c r="C36" s="425">
        <f>'数据-取费表'!N6</f>
        <v>0.71</v>
      </c>
      <c r="D36" s="386">
        <v>100</v>
      </c>
      <c r="E36" s="425">
        <v>0.7</v>
      </c>
      <c r="F36" s="412">
        <f>LOOKUP(E36,110:110,111:111)-LOOKUP(C36,110:110,111:111)+100</f>
        <v>100</v>
      </c>
      <c r="G36" s="425">
        <v>0.71</v>
      </c>
      <c r="H36" s="412">
        <f>LOOKUP(G36,110:110,111:111)-LOOKUP(C36,110:110,111:111)+100</f>
        <v>100</v>
      </c>
      <c r="I36" s="425">
        <v>0.71</v>
      </c>
      <c r="J36" s="386">
        <f>LOOKUP(I36,110:110,111:111)-LOOKUP(C36,110:110,111:111)+100</f>
        <v>100</v>
      </c>
      <c r="K36" s="561">
        <v>1</v>
      </c>
      <c r="L36" s="2720"/>
      <c r="M36" s="2714"/>
      <c r="N36" s="2714"/>
      <c r="O36" s="2714"/>
      <c r="P36" s="3692"/>
      <c r="Q36" s="3470" t="str">
        <f t="shared" si="11"/>
        <v>成新度</v>
      </c>
      <c r="R36" s="704" t="s">
        <v>14</v>
      </c>
      <c r="S36" s="705">
        <f t="shared" si="12"/>
        <v>100</v>
      </c>
      <c r="T36" s="704" t="s">
        <v>14</v>
      </c>
      <c r="U36" s="705">
        <f t="shared" si="13"/>
        <v>100</v>
      </c>
      <c r="V36" s="704" t="s">
        <v>14</v>
      </c>
      <c r="W36" s="705">
        <f t="shared" si="14"/>
        <v>100</v>
      </c>
      <c r="X36" s="3467"/>
      <c r="Y36" s="3694"/>
      <c r="Z36" s="3468" t="str">
        <f t="shared" si="15"/>
        <v>成新度</v>
      </c>
      <c r="AA36" s="3471">
        <f t="shared" si="3"/>
        <v>1</v>
      </c>
      <c r="AB36" s="3471">
        <f t="shared" si="4"/>
        <v>1</v>
      </c>
      <c r="AC36" s="3471">
        <f t="shared" si="5"/>
        <v>1</v>
      </c>
    </row>
    <row r="37" spans="1:29" s="108" customFormat="1" ht="15" hidden="1">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692"/>
      <c r="Q37" s="3466" t="str">
        <f t="shared" si="11"/>
        <v>市政基础设施</v>
      </c>
      <c r="R37" s="700" t="s">
        <v>14</v>
      </c>
      <c r="S37" s="701">
        <f t="shared" si="12"/>
        <v>100</v>
      </c>
      <c r="T37" s="700" t="s">
        <v>14</v>
      </c>
      <c r="U37" s="701">
        <f t="shared" si="13"/>
        <v>100</v>
      </c>
      <c r="V37" s="700" t="s">
        <v>14</v>
      </c>
      <c r="W37" s="701">
        <f t="shared" si="14"/>
        <v>100</v>
      </c>
      <c r="X37" s="702"/>
      <c r="Y37" s="3694"/>
      <c r="Z37" s="3465" t="str">
        <f t="shared" si="15"/>
        <v>市政基础设施</v>
      </c>
      <c r="AA37" s="703">
        <f t="shared" si="3"/>
        <v>1</v>
      </c>
      <c r="AB37" s="703">
        <f t="shared" si="4"/>
        <v>1</v>
      </c>
      <c r="AC37" s="703">
        <f t="shared" si="5"/>
        <v>1</v>
      </c>
    </row>
    <row r="38" spans="1:29" ht="15">
      <c r="A38" s="423"/>
      <c r="B38" s="375" t="s">
        <v>1788</v>
      </c>
      <c r="C38" s="1905" t="s">
        <v>3486</v>
      </c>
      <c r="D38" s="386">
        <v>100</v>
      </c>
      <c r="E38" s="1905" t="s">
        <v>3486</v>
      </c>
      <c r="F38" s="412">
        <f>SUMIF(114:114,E38,115:115)-SUMIF(114:114,C38,115:115)+100</f>
        <v>100</v>
      </c>
      <c r="G38" s="1905" t="s">
        <v>3484</v>
      </c>
      <c r="H38" s="386">
        <f>SUMIF(114:114,G38,115:115)-SUMIF(114:114,C38,115:115)+100</f>
        <v>102</v>
      </c>
      <c r="I38" s="1905" t="s">
        <v>3484</v>
      </c>
      <c r="J38" s="386">
        <f>SUMIF(114:114,I38,115:115)-SUMIF(114:114,C38,115:115)+100</f>
        <v>102</v>
      </c>
      <c r="K38" s="561">
        <v>2</v>
      </c>
      <c r="L38" s="2720"/>
      <c r="M38" s="2714"/>
      <c r="N38" s="2714"/>
      <c r="O38" s="2714"/>
      <c r="P38" s="3692" t="s">
        <v>1696</v>
      </c>
      <c r="Q38" s="3470" t="str">
        <f t="shared" si="11"/>
        <v>业态</v>
      </c>
      <c r="R38" s="704" t="s">
        <v>14</v>
      </c>
      <c r="S38" s="705">
        <f t="shared" si="12"/>
        <v>100</v>
      </c>
      <c r="T38" s="704" t="s">
        <v>14</v>
      </c>
      <c r="U38" s="705">
        <f t="shared" si="13"/>
        <v>102</v>
      </c>
      <c r="V38" s="704" t="s">
        <v>14</v>
      </c>
      <c r="W38" s="705">
        <f t="shared" si="14"/>
        <v>102</v>
      </c>
      <c r="X38" s="3467"/>
      <c r="Y38" s="3694" t="s">
        <v>1696</v>
      </c>
      <c r="Z38" s="3468" t="str">
        <f t="shared" si="15"/>
        <v>业态</v>
      </c>
      <c r="AA38" s="3471">
        <f t="shared" si="3"/>
        <v>1</v>
      </c>
      <c r="AB38" s="3471">
        <f t="shared" si="4"/>
        <v>0.98039215686274506</v>
      </c>
      <c r="AC38" s="3471">
        <f t="shared" si="5"/>
        <v>0.98039215686274506</v>
      </c>
    </row>
    <row r="39" spans="1:29" ht="15">
      <c r="A39" s="423"/>
      <c r="B39" s="375" t="s">
        <v>1789</v>
      </c>
      <c r="C39" s="1905" t="s">
        <v>3488</v>
      </c>
      <c r="D39" s="386">
        <v>100</v>
      </c>
      <c r="E39" s="1905" t="s">
        <v>3488</v>
      </c>
      <c r="F39" s="412">
        <f>SUMIF(116:116,E39,117:117)-SUMIF(116:116,C39,117:117)+100</f>
        <v>100</v>
      </c>
      <c r="G39" s="1905" t="s">
        <v>3488</v>
      </c>
      <c r="H39" s="386">
        <f>SUMIF(116:116,G39,117:117)-SUMIF(116:116,C39,117:117)+100</f>
        <v>100</v>
      </c>
      <c r="I39" s="1905" t="s">
        <v>3488</v>
      </c>
      <c r="J39" s="386">
        <f>SUMIF(116:116,I39,117:117)-SUMIF(116:116,C39,117:117)+100</f>
        <v>100</v>
      </c>
      <c r="K39" s="561">
        <v>2</v>
      </c>
      <c r="L39" s="2720"/>
      <c r="M39" s="2714"/>
      <c r="N39" s="2714"/>
      <c r="O39" s="2714"/>
      <c r="P39" s="3692"/>
      <c r="Q39" s="3470" t="str">
        <f t="shared" si="11"/>
        <v>层高</v>
      </c>
      <c r="R39" s="704" t="s">
        <v>14</v>
      </c>
      <c r="S39" s="705">
        <f t="shared" si="12"/>
        <v>100</v>
      </c>
      <c r="T39" s="704" t="s">
        <v>14</v>
      </c>
      <c r="U39" s="705">
        <f t="shared" si="13"/>
        <v>100</v>
      </c>
      <c r="V39" s="704" t="s">
        <v>14</v>
      </c>
      <c r="W39" s="705">
        <f t="shared" si="14"/>
        <v>100</v>
      </c>
      <c r="X39" s="3467"/>
      <c r="Y39" s="3694"/>
      <c r="Z39" s="3468" t="str">
        <f t="shared" si="15"/>
        <v>层高</v>
      </c>
      <c r="AA39" s="3471">
        <f t="shared" si="3"/>
        <v>1</v>
      </c>
      <c r="AB39" s="3471">
        <f t="shared" si="4"/>
        <v>1</v>
      </c>
      <c r="AC39" s="3471">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692"/>
      <c r="Q40" s="3470" t="str">
        <f t="shared" si="11"/>
        <v>单套建筑面积</v>
      </c>
      <c r="R40" s="704" t="s">
        <v>14</v>
      </c>
      <c r="S40" s="705">
        <f t="shared" si="12"/>
        <v>100</v>
      </c>
      <c r="T40" s="704" t="s">
        <v>14</v>
      </c>
      <c r="U40" s="705">
        <f t="shared" si="13"/>
        <v>100</v>
      </c>
      <c r="V40" s="704" t="s">
        <v>14</v>
      </c>
      <c r="W40" s="705">
        <f t="shared" si="14"/>
        <v>100</v>
      </c>
      <c r="X40" s="3467"/>
      <c r="Y40" s="3694"/>
      <c r="Z40" s="3468" t="str">
        <f t="shared" si="15"/>
        <v>单套建筑面积</v>
      </c>
      <c r="AA40" s="3471">
        <f t="shared" si="3"/>
        <v>1</v>
      </c>
      <c r="AB40" s="3471">
        <f t="shared" si="4"/>
        <v>1</v>
      </c>
      <c r="AC40" s="3471">
        <f t="shared" si="5"/>
        <v>1</v>
      </c>
    </row>
    <row r="41" spans="1:29" s="422" customFormat="1" ht="15" hidden="1">
      <c r="A41" s="419"/>
      <c r="B41" s="3469"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2"/>
      <c r="Q41" s="706" t="str">
        <f t="shared" si="11"/>
        <v>进深比</v>
      </c>
      <c r="R41" s="707" t="s">
        <v>14</v>
      </c>
      <c r="S41" s="708">
        <f t="shared" si="12"/>
        <v>100</v>
      </c>
      <c r="T41" s="707" t="s">
        <v>14</v>
      </c>
      <c r="U41" s="708">
        <f t="shared" si="13"/>
        <v>100</v>
      </c>
      <c r="V41" s="707" t="s">
        <v>14</v>
      </c>
      <c r="W41" s="708">
        <f t="shared" si="14"/>
        <v>100</v>
      </c>
      <c r="X41" s="709"/>
      <c r="Y41" s="3694"/>
      <c r="Z41" s="710" t="str">
        <f t="shared" si="15"/>
        <v>进深比</v>
      </c>
      <c r="AA41" s="3471">
        <f t="shared" si="3"/>
        <v>1</v>
      </c>
      <c r="AB41" s="3471">
        <f t="shared" si="4"/>
        <v>1</v>
      </c>
      <c r="AC41" s="3471">
        <f t="shared" si="5"/>
        <v>1</v>
      </c>
    </row>
    <row r="42" spans="1:29" ht="15">
      <c r="A42" s="423"/>
      <c r="B42" s="375" t="s">
        <v>1792</v>
      </c>
      <c r="C42" s="1905" t="s">
        <v>3476</v>
      </c>
      <c r="D42" s="386">
        <v>100</v>
      </c>
      <c r="E42" s="1905" t="s">
        <v>3476</v>
      </c>
      <c r="F42" s="412">
        <f>SUMIF(122:122,E42,123:123)-SUMIF(122:122,C42,123:123)+100</f>
        <v>100</v>
      </c>
      <c r="G42" s="1905" t="s">
        <v>3476</v>
      </c>
      <c r="H42" s="386">
        <f>SUMIF(122:122,G42,123:123)-SUMIF(122:122,C42,123:123)+100</f>
        <v>100</v>
      </c>
      <c r="I42" s="1905" t="s">
        <v>3476</v>
      </c>
      <c r="J42" s="386">
        <f>SUMIF(122:122,I42,123:123)-SUMIF(122:122,C42,123:123)+100</f>
        <v>100</v>
      </c>
      <c r="K42" s="561">
        <v>1</v>
      </c>
      <c r="L42" s="2720"/>
      <c r="M42" s="2714"/>
      <c r="N42" s="2714"/>
      <c r="O42" s="2714"/>
      <c r="P42" s="3692"/>
      <c r="Q42" s="3470" t="str">
        <f t="shared" si="11"/>
        <v>内部装修</v>
      </c>
      <c r="R42" s="704" t="s">
        <v>14</v>
      </c>
      <c r="S42" s="705">
        <f t="shared" si="12"/>
        <v>100</v>
      </c>
      <c r="T42" s="704" t="s">
        <v>14</v>
      </c>
      <c r="U42" s="705">
        <f t="shared" si="13"/>
        <v>100</v>
      </c>
      <c r="V42" s="704" t="s">
        <v>14</v>
      </c>
      <c r="W42" s="705">
        <f t="shared" si="14"/>
        <v>100</v>
      </c>
      <c r="X42" s="3467"/>
      <c r="Y42" s="3694"/>
      <c r="Z42" s="3468" t="str">
        <f t="shared" si="15"/>
        <v>内部装修</v>
      </c>
      <c r="AA42" s="3471">
        <f t="shared" si="3"/>
        <v>1</v>
      </c>
      <c r="AB42" s="3471">
        <f t="shared" si="4"/>
        <v>1</v>
      </c>
      <c r="AC42" s="3471">
        <f t="shared" si="5"/>
        <v>1</v>
      </c>
    </row>
    <row r="43" spans="1:29" ht="15">
      <c r="A43" s="423"/>
      <c r="B43" s="375" t="s">
        <v>1707</v>
      </c>
      <c r="C43" s="1905" t="s">
        <v>3458</v>
      </c>
      <c r="D43" s="386">
        <v>100</v>
      </c>
      <c r="E43" s="1905" t="s">
        <v>3458</v>
      </c>
      <c r="F43" s="412">
        <f>SUMIF(124:124,E43,125:125)-SUMIF(124:124,C43,125:125)+100</f>
        <v>100</v>
      </c>
      <c r="G43" s="1905" t="s">
        <v>3458</v>
      </c>
      <c r="H43" s="386">
        <f>SUMIF(124:124,G43,125:125)-SUMIF(124:124,C43,125:125)+100</f>
        <v>100</v>
      </c>
      <c r="I43" s="1905" t="s">
        <v>3458</v>
      </c>
      <c r="J43" s="386">
        <f>SUMIF(124:124,I43,125:125)-SUMIF(124:124,C43,125:125)+100</f>
        <v>100</v>
      </c>
      <c r="K43" s="561">
        <v>1</v>
      </c>
      <c r="L43" s="2720"/>
      <c r="M43" s="2714"/>
      <c r="N43" s="2714"/>
      <c r="O43" s="2714"/>
      <c r="P43" s="3692"/>
      <c r="Q43" s="3470" t="str">
        <f t="shared" si="11"/>
        <v>内部装修维护情况</v>
      </c>
      <c r="R43" s="704" t="s">
        <v>14</v>
      </c>
      <c r="S43" s="705">
        <f t="shared" si="12"/>
        <v>100</v>
      </c>
      <c r="T43" s="704" t="s">
        <v>14</v>
      </c>
      <c r="U43" s="705">
        <f t="shared" si="13"/>
        <v>100</v>
      </c>
      <c r="V43" s="704" t="s">
        <v>14</v>
      </c>
      <c r="W43" s="705">
        <f t="shared" si="14"/>
        <v>100</v>
      </c>
      <c r="X43" s="3467"/>
      <c r="Y43" s="3694"/>
      <c r="Z43" s="3468" t="str">
        <f t="shared" si="15"/>
        <v>内部装修维护情况</v>
      </c>
      <c r="AA43" s="3471">
        <f t="shared" si="3"/>
        <v>1</v>
      </c>
      <c r="AB43" s="3471">
        <f t="shared" si="4"/>
        <v>1</v>
      </c>
      <c r="AC43" s="347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2"/>
      <c r="Q44" s="3466">
        <f t="shared" si="11"/>
        <v>111</v>
      </c>
      <c r="R44" s="700" t="s">
        <v>14</v>
      </c>
      <c r="S44" s="701">
        <f t="shared" si="12"/>
        <v>100</v>
      </c>
      <c r="T44" s="700" t="s">
        <v>14</v>
      </c>
      <c r="U44" s="701">
        <f t="shared" si="13"/>
        <v>100</v>
      </c>
      <c r="V44" s="700" t="s">
        <v>14</v>
      </c>
      <c r="W44" s="701">
        <f t="shared" si="14"/>
        <v>100</v>
      </c>
      <c r="X44" s="702"/>
      <c r="Y44" s="3694"/>
      <c r="Z44" s="3465">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2"/>
      <c r="Q45" s="3470">
        <f t="shared" si="11"/>
        <v>111</v>
      </c>
      <c r="R45" s="704" t="s">
        <v>14</v>
      </c>
      <c r="S45" s="705">
        <f t="shared" si="12"/>
        <v>100</v>
      </c>
      <c r="T45" s="704" t="s">
        <v>14</v>
      </c>
      <c r="U45" s="705">
        <f t="shared" si="13"/>
        <v>100</v>
      </c>
      <c r="V45" s="704" t="s">
        <v>14</v>
      </c>
      <c r="W45" s="705">
        <f t="shared" si="14"/>
        <v>100</v>
      </c>
      <c r="X45" s="3467"/>
      <c r="Y45" s="3694"/>
      <c r="Z45" s="3468">
        <f t="shared" si="15"/>
        <v>111</v>
      </c>
      <c r="AA45" s="3471">
        <f t="shared" si="3"/>
        <v>1</v>
      </c>
      <c r="AB45" s="3471">
        <f t="shared" si="4"/>
        <v>1</v>
      </c>
      <c r="AC45" s="3471">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3"/>
      <c r="Q46" s="3470">
        <f t="shared" si="11"/>
        <v>111</v>
      </c>
      <c r="R46" s="704" t="s">
        <v>14</v>
      </c>
      <c r="S46" s="705">
        <f t="shared" si="12"/>
        <v>100</v>
      </c>
      <c r="T46" s="704" t="s">
        <v>14</v>
      </c>
      <c r="U46" s="705">
        <f t="shared" si="13"/>
        <v>100</v>
      </c>
      <c r="V46" s="704" t="s">
        <v>14</v>
      </c>
      <c r="W46" s="705">
        <f t="shared" si="14"/>
        <v>100</v>
      </c>
      <c r="X46" s="3467"/>
      <c r="Y46" s="3695"/>
      <c r="Z46" s="3468">
        <f t="shared" si="15"/>
        <v>111</v>
      </c>
      <c r="AA46" s="3471">
        <f t="shared" si="3"/>
        <v>1</v>
      </c>
      <c r="AB46" s="3471">
        <f t="shared" si="4"/>
        <v>1</v>
      </c>
      <c r="AC46" s="3471">
        <f t="shared" si="5"/>
        <v>1</v>
      </c>
    </row>
    <row r="47" spans="1:29" ht="15">
      <c r="A47" s="430" t="s">
        <v>1708</v>
      </c>
      <c r="B47" s="431"/>
      <c r="C47" s="1153" t="s">
        <v>0</v>
      </c>
      <c r="D47" s="1154"/>
      <c r="E47" s="1155">
        <v>4.58</v>
      </c>
      <c r="F47" s="1156"/>
      <c r="G47" s="1157">
        <f>4.2*(1+5%)</f>
        <v>4.41</v>
      </c>
      <c r="H47" s="1158"/>
      <c r="I47" s="1155">
        <f>ROUND(5.4*(1+5%),2)</f>
        <v>5.67</v>
      </c>
      <c r="J47" s="1158"/>
      <c r="K47" s="713"/>
      <c r="L47" s="2722"/>
      <c r="M47" s="2723"/>
      <c r="N47" s="2714"/>
      <c r="O47" s="2723"/>
      <c r="P47" s="3687" t="str">
        <f>A47</f>
        <v>成交单价（元/平方米）</v>
      </c>
      <c r="Q47" s="3687"/>
      <c r="R47" s="3718">
        <f>E47</f>
        <v>4.58</v>
      </c>
      <c r="S47" s="3718"/>
      <c r="T47" s="3718">
        <f>G47</f>
        <v>4.41</v>
      </c>
      <c r="U47" s="3718"/>
      <c r="V47" s="3718">
        <f>I47</f>
        <v>5.67</v>
      </c>
      <c r="W47" s="3718"/>
      <c r="X47" s="689"/>
      <c r="Y47" s="711"/>
      <c r="Z47" s="689"/>
      <c r="AA47" s="689"/>
      <c r="AB47" s="689"/>
      <c r="AC47" s="689"/>
    </row>
    <row r="48" spans="1:29" ht="15.75" thickBot="1">
      <c r="A48" s="437" t="s">
        <v>1793</v>
      </c>
      <c r="B48" s="438"/>
      <c r="C48" s="1159">
        <f>R49</f>
        <v>4.0999999999999996</v>
      </c>
      <c r="D48" s="2316" t="s">
        <v>2138</v>
      </c>
      <c r="E48" s="1160">
        <f>R48</f>
        <v>4.4000000000000004</v>
      </c>
      <c r="F48" s="2317"/>
      <c r="G48" s="1159">
        <f>T48</f>
        <v>3.5</v>
      </c>
      <c r="H48" s="2317"/>
      <c r="I48" s="1160">
        <f>V48</f>
        <v>4.3</v>
      </c>
      <c r="J48" s="2317"/>
      <c r="K48" s="2319">
        <f>F48+H48+J48</f>
        <v>0</v>
      </c>
      <c r="L48" s="2722"/>
      <c r="M48" s="2723"/>
      <c r="N48" s="2714"/>
      <c r="O48" s="2723"/>
      <c r="P48" s="3687" t="str">
        <f>A48</f>
        <v>比较价值（元/平方米）</v>
      </c>
      <c r="Q48" s="3687"/>
      <c r="R48" s="3688">
        <f>IF(F1="售价",ROUND(PRODUCT(R47,AA7:AA46),0),ROUND(PRODUCT(R47,AA7:AA46),1))</f>
        <v>4.4000000000000004</v>
      </c>
      <c r="S48" s="3688"/>
      <c r="T48" s="3688">
        <f>IF(F1="售价",ROUND(PRODUCT(T47,AB7:AB46),0),ROUND(PRODUCT(T47,AB7:AB46),1))</f>
        <v>3.5</v>
      </c>
      <c r="U48" s="3688"/>
      <c r="V48" s="3688">
        <f>IF(F1="售价",ROUND(PRODUCT(V47,AC7:AC46),0),ROUND(PRODUCT(V47,AC7:AC46),1))</f>
        <v>4.3</v>
      </c>
      <c r="W48" s="3688"/>
      <c r="X48" s="689"/>
      <c r="Y48" s="689"/>
      <c r="Z48" s="689"/>
      <c r="AA48" s="689"/>
      <c r="AB48" s="689"/>
      <c r="AC48" s="689"/>
    </row>
    <row r="49" spans="1:29" ht="15.75" thickBot="1">
      <c r="A49" s="441" t="s">
        <v>1794</v>
      </c>
      <c r="B49" s="442"/>
      <c r="C49" s="1162">
        <f>R49</f>
        <v>4.0999999999999996</v>
      </c>
      <c r="D49" s="1162"/>
      <c r="E49" s="1162"/>
      <c r="F49" s="1162"/>
      <c r="G49" s="1162"/>
      <c r="H49" s="1162"/>
      <c r="I49" s="1162"/>
      <c r="J49" s="1162"/>
      <c r="K49" s="714"/>
      <c r="L49" s="2722"/>
      <c r="M49" s="2723"/>
      <c r="N49" s="2714"/>
      <c r="O49" s="2723"/>
      <c r="P49" s="3684" t="str">
        <f>A49</f>
        <v>估价对象XX用房的比较价值（楼面单价，元/平方米）</v>
      </c>
      <c r="Q49" s="3685"/>
      <c r="R49" s="3686">
        <f>IF(F1="售价",ROUND(IF(D48="简单平均",AVERAGE(R48:V48),R48*F48+T48*H48+V48*J48),0),ROUND(IF(D48="简单平均",AVERAGE(R48:V48),R48*F48+T48*H48+V48*J48),1))</f>
        <v>4.0999999999999996</v>
      </c>
      <c r="S49" s="3686"/>
      <c r="T49" s="3686"/>
      <c r="U49" s="3686"/>
      <c r="V49" s="3686"/>
      <c r="W49" s="3686"/>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4.0909090909090784E-2</v>
      </c>
      <c r="F52" s="449" t="str">
        <f>IF(OR(E52&gt;=0.3,E52&lt;=-0.3),"超过30%","")</f>
        <v/>
      </c>
      <c r="G52" s="448">
        <f>IF(G47&lt;G48,G48/G47-1,G47/G48-1)</f>
        <v>0.26</v>
      </c>
      <c r="H52" s="449" t="str">
        <f>IF(OR(G52&gt;=0.3,G52&lt;=-0.3),"超过30%","")</f>
        <v/>
      </c>
      <c r="I52" s="448">
        <f>IF(I47&lt;I48,I48/I47-1,I47/I48-1)</f>
        <v>0.31860465116279069</v>
      </c>
      <c r="J52" s="449" t="str">
        <f>IF(OR(I52&gt;=0.3,I52&lt;=-0.3),"超过30%","")</f>
        <v>超过30%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0.25714285714285734</v>
      </c>
      <c r="F53" s="449" t="str">
        <f>IF(OR(E53&gt;=0.2,E53&lt;=-0.2),"超过20%","")</f>
        <v>超过20%</v>
      </c>
      <c r="G53" s="448">
        <f>IF(G48&lt;I48,I48/G48-1,G48/I48-1)</f>
        <v>0.22857142857142843</v>
      </c>
      <c r="H53" s="449" t="str">
        <f>IF(OR(G53&gt;=0.2,G53&lt;=-0.2),"超过20%","")</f>
        <v>超过20%</v>
      </c>
      <c r="I53" s="448">
        <f>IF(I48&lt;E48,E48/I48-1,I48/E48-1)</f>
        <v>2.3255813953488413E-2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3.8548752834467015E-2</v>
      </c>
      <c r="F54" s="449" t="str">
        <f>IF(OR(E54&gt;=0.3,E54&lt;=-0.3),"超过30%","")</f>
        <v/>
      </c>
      <c r="G54" s="448">
        <f>IF(G47&lt;I47,I47/G47-1,G47/I47-1)</f>
        <v>0.28571428571428559</v>
      </c>
      <c r="H54" s="449" t="str">
        <f>IF(OR(G54&gt;=0.3,G54&lt;=-0.3),"超过30%","")</f>
        <v/>
      </c>
      <c r="I54" s="448">
        <f>IF(I47&lt;E47,E47/I47-1,I47/E47-1)</f>
        <v>0.23799126637554591</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2025-5</v>
      </c>
      <c r="D58" s="1184">
        <f>EDATE(C58,-1)</f>
        <v>45748</v>
      </c>
      <c r="E58" s="1184">
        <f t="shared" ref="E58:N58" si="16">EDATE(D58,-1)</f>
        <v>45717</v>
      </c>
      <c r="F58" s="1184">
        <f t="shared" si="16"/>
        <v>45689</v>
      </c>
      <c r="G58" s="1184">
        <f t="shared" si="16"/>
        <v>45658</v>
      </c>
      <c r="H58" s="1184">
        <f t="shared" si="16"/>
        <v>45627</v>
      </c>
      <c r="I58" s="1184">
        <f t="shared" si="16"/>
        <v>45597</v>
      </c>
      <c r="J58" s="1184">
        <f t="shared" si="16"/>
        <v>45566</v>
      </c>
      <c r="K58" s="1184">
        <f t="shared" si="16"/>
        <v>45536</v>
      </c>
      <c r="L58" s="1184">
        <f t="shared" si="16"/>
        <v>45505</v>
      </c>
      <c r="M58" s="1184">
        <f t="shared" si="16"/>
        <v>45474</v>
      </c>
      <c r="N58" s="1184">
        <f t="shared" si="16"/>
        <v>45444</v>
      </c>
      <c r="O58" s="1184">
        <f>EDATE(N58,-1)</f>
        <v>45413</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1681</v>
      </c>
      <c r="B61" s="459"/>
      <c r="C61" s="471" t="s">
        <v>1776</v>
      </c>
      <c r="D61" s="3814" t="s">
        <v>3449</v>
      </c>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t="s">
        <v>3450</v>
      </c>
      <c r="D65" s="532" t="s">
        <v>3451</v>
      </c>
      <c r="E65" s="532" t="s">
        <v>3452</v>
      </c>
      <c r="F65" s="532" t="s">
        <v>3453</v>
      </c>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v>2</v>
      </c>
      <c r="F68" s="498">
        <v>3</v>
      </c>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815" t="s">
        <v>3455</v>
      </c>
      <c r="D86" s="3815" t="s">
        <v>3456</v>
      </c>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3457</v>
      </c>
      <c r="D88" s="503" t="s">
        <v>3458</v>
      </c>
      <c r="E88" s="503" t="s">
        <v>3459</v>
      </c>
      <c r="F88" s="1926" t="s">
        <v>3460</v>
      </c>
      <c r="G88" s="503" t="s">
        <v>3461</v>
      </c>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3815" t="s">
        <v>3462</v>
      </c>
      <c r="D90" s="3815" t="s">
        <v>3464</v>
      </c>
      <c r="E90" s="3815" t="s">
        <v>3465</v>
      </c>
      <c r="F90" s="3815" t="s">
        <v>3466</v>
      </c>
      <c r="G90" s="3815" t="s">
        <v>3467</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3">D91-$K27</f>
        <v>94</v>
      </c>
      <c r="F91" s="493">
        <f t="shared" si="23"/>
        <v>91</v>
      </c>
      <c r="G91" s="493">
        <f t="shared" si="23"/>
        <v>88</v>
      </c>
      <c r="H91" s="493">
        <f t="shared" si="23"/>
        <v>85</v>
      </c>
      <c r="I91" s="493">
        <f t="shared" si="23"/>
        <v>82</v>
      </c>
      <c r="J91" s="493">
        <f t="shared" si="23"/>
        <v>79</v>
      </c>
      <c r="K91" s="493">
        <f t="shared" si="23"/>
        <v>76</v>
      </c>
      <c r="L91" s="493">
        <f t="shared" si="23"/>
        <v>73</v>
      </c>
      <c r="M91" s="493">
        <f t="shared" si="23"/>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3468</v>
      </c>
      <c r="D92" s="503" t="s">
        <v>3469</v>
      </c>
      <c r="E92" s="503" t="s">
        <v>3470</v>
      </c>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f>ROUND(E93*C95/E95,0)</f>
        <v>118</v>
      </c>
      <c r="D93" s="485">
        <f>ROUND(E93*D95/E95,0)</f>
        <v>82</v>
      </c>
      <c r="E93" s="485">
        <v>100</v>
      </c>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v>100</v>
      </c>
      <c r="D95" s="485">
        <f>'数据-取费表'!U22*100</f>
        <v>70</v>
      </c>
      <c r="E95" s="485">
        <f>ROUND((C95+D95)/2,2)</f>
        <v>85</v>
      </c>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816" t="s">
        <v>3472</v>
      </c>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4">C101-$K32</f>
        <v>99</v>
      </c>
      <c r="E101" s="493">
        <f t="shared" si="24"/>
        <v>98</v>
      </c>
      <c r="F101" s="493">
        <f t="shared" si="24"/>
        <v>97</v>
      </c>
      <c r="G101" s="493">
        <f t="shared" si="24"/>
        <v>96</v>
      </c>
      <c r="H101" s="493">
        <f t="shared" si="24"/>
        <v>95</v>
      </c>
      <c r="I101" s="493">
        <f t="shared" si="24"/>
        <v>94</v>
      </c>
      <c r="J101" s="493">
        <f t="shared" si="24"/>
        <v>93</v>
      </c>
      <c r="K101" s="493">
        <f t="shared" si="24"/>
        <v>92</v>
      </c>
      <c r="L101" s="493">
        <f t="shared" si="24"/>
        <v>91</v>
      </c>
      <c r="M101" s="494">
        <f t="shared" si="24"/>
        <v>90</v>
      </c>
      <c r="N101" s="2752"/>
      <c r="O101" s="2752"/>
      <c r="P101" s="2742"/>
      <c r="Q101" s="2737"/>
      <c r="R101" s="2723"/>
      <c r="S101" s="2723"/>
      <c r="T101" s="2723"/>
      <c r="U101" s="2723"/>
      <c r="V101" s="2723"/>
      <c r="W101" s="2723"/>
      <c r="X101" s="2723"/>
      <c r="Y101" s="2723"/>
      <c r="Z101" s="2723"/>
      <c r="AA101" s="2723"/>
      <c r="AB101" s="2723"/>
      <c r="AC101" s="2723"/>
    </row>
    <row r="102" spans="1:29" ht="29.25" thickTop="1">
      <c r="A102" s="483"/>
      <c r="B102" s="487" t="s">
        <v>1737</v>
      </c>
      <c r="C102" s="527" t="str">
        <f>C103&amp;"(含)"&amp;"-"&amp;D103</f>
        <v>0(含)-150</v>
      </c>
      <c r="D102" s="527" t="str">
        <f t="shared" ref="D102:L102" si="25">D103&amp;"(含)"&amp;"-"&amp;E103</f>
        <v>150(含)-266.92/189.63</v>
      </c>
      <c r="E102" s="527" t="str">
        <f t="shared" si="25"/>
        <v>266.92/189.63(含)-</v>
      </c>
      <c r="F102" s="527" t="str">
        <f t="shared" si="25"/>
        <v>(含)-</v>
      </c>
      <c r="G102" s="527" t="str">
        <f t="shared" si="25"/>
        <v>(含)-</v>
      </c>
      <c r="H102" s="527" t="str">
        <f t="shared" si="25"/>
        <v>(含)-</v>
      </c>
      <c r="I102" s="527" t="str">
        <f t="shared" si="25"/>
        <v>(含)-</v>
      </c>
      <c r="J102" s="527" t="str">
        <f t="shared" si="25"/>
        <v>(含)-</v>
      </c>
      <c r="K102" s="527" t="str">
        <f t="shared" si="25"/>
        <v>(含)-</v>
      </c>
      <c r="L102" s="527" t="str">
        <f t="shared" si="25"/>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150</v>
      </c>
      <c r="E103" s="544" t="s">
        <v>3492</v>
      </c>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v>99</v>
      </c>
      <c r="E104" s="485">
        <v>98</v>
      </c>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815" t="s">
        <v>3473</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815" t="s">
        <v>3475</v>
      </c>
      <c r="D107" s="3815" t="s">
        <v>3477</v>
      </c>
      <c r="E107" s="3815" t="s">
        <v>3478</v>
      </c>
      <c r="F107" s="3817" t="s">
        <v>3479</v>
      </c>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815" t="s">
        <v>3481</v>
      </c>
      <c r="D112" s="3815" t="s">
        <v>3482</v>
      </c>
      <c r="E112" s="3815" t="s">
        <v>3483</v>
      </c>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815" t="s">
        <v>3485</v>
      </c>
      <c r="D114" s="3815" t="s">
        <v>3487</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4">
        <f t="shared" si="30"/>
        <v>80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815" t="s">
        <v>3489</v>
      </c>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815" t="s">
        <v>3475</v>
      </c>
      <c r="D122" s="3815" t="s">
        <v>3477</v>
      </c>
      <c r="E122" s="3815" t="s">
        <v>3478</v>
      </c>
      <c r="F122" s="3817" t="s">
        <v>3479</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2 H52">
    <cfRule type="containsText" dxfId="161" priority="20"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K42" sqref="K42"/>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3431</v>
      </c>
      <c r="D1" s="1361" t="s">
        <v>43</v>
      </c>
      <c r="E1" s="1362" t="s">
        <v>678</v>
      </c>
      <c r="F1" s="1061">
        <f ca="1">J53</f>
        <v>15</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659.52340000000004</v>
      </c>
      <c r="C2" s="1386" t="s">
        <v>879</v>
      </c>
      <c r="D2" s="1470">
        <f ca="1">C40+J29+L46</f>
        <v>6595234</v>
      </c>
      <c r="E2" s="1387" t="s">
        <v>880</v>
      </c>
      <c r="F2" s="1388"/>
      <c r="G2" s="2704"/>
      <c r="H2" s="2693"/>
      <c r="I2" s="2693"/>
      <c r="J2" s="2693"/>
      <c r="K2" s="2694"/>
      <c r="L2" s="2693"/>
      <c r="M2" s="2693"/>
    </row>
    <row r="3" spans="1:37" ht="18" customHeight="1" thickBot="1">
      <c r="A3" s="1389" t="s">
        <v>881</v>
      </c>
      <c r="B3" s="1390">
        <f ca="1">IF(ISERROR(D2/F43),0,ROUND(D2/F43,0))</f>
        <v>14446</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615673</v>
      </c>
      <c r="D5" s="1363" t="s">
        <v>889</v>
      </c>
      <c r="E5" s="1070"/>
      <c r="F5" s="1071"/>
      <c r="G5" s="1383"/>
      <c r="H5" s="299">
        <v>1</v>
      </c>
      <c r="I5" s="300" t="s">
        <v>888</v>
      </c>
      <c r="J5" s="1069">
        <f ca="1">J6+J10+J12</f>
        <v>0</v>
      </c>
      <c r="K5" s="1363" t="s">
        <v>889</v>
      </c>
      <c r="L5" s="1070"/>
      <c r="M5" s="1071"/>
    </row>
    <row r="6" spans="1:37" ht="18" customHeight="1">
      <c r="A6" s="1068" t="s">
        <v>398</v>
      </c>
      <c r="B6" s="3660" t="s">
        <v>694</v>
      </c>
      <c r="C6" s="1073">
        <f ca="1">ROUND(F6*F8*F7*(1-F9),0)</f>
        <v>614904</v>
      </c>
      <c r="D6" s="155" t="s">
        <v>2106</v>
      </c>
      <c r="E6" s="302" t="s">
        <v>696</v>
      </c>
      <c r="F6" s="303">
        <f ca="1">INDIRECT("'数据-取费表'!u"&amp;$G$1)</f>
        <v>4.0999999999999996</v>
      </c>
      <c r="G6" s="1383"/>
      <c r="H6" s="1068" t="s">
        <v>398</v>
      </c>
      <c r="I6" s="3660" t="s">
        <v>694</v>
      </c>
      <c r="J6" s="301">
        <f ca="1">ROUND(M6*M8*M7*(1-M9),0)</f>
        <v>0</v>
      </c>
      <c r="K6" s="1375" t="s">
        <v>2107</v>
      </c>
      <c r="L6" s="302" t="s">
        <v>696</v>
      </c>
      <c r="M6" s="303">
        <f ca="1">INDIRECT("'数据-取费表'!z"&amp;$G$1)</f>
        <v>0</v>
      </c>
    </row>
    <row r="7" spans="1:37" ht="18" customHeight="1">
      <c r="A7" s="1072"/>
      <c r="B7" s="3661"/>
      <c r="C7" s="1074"/>
      <c r="D7" s="307"/>
      <c r="E7" s="1075" t="s">
        <v>697</v>
      </c>
      <c r="F7" s="303">
        <f ca="1">IF(INDIRECT("'数据-取费表'!ah"&amp;$G$1)="",INDIRECT("'数据-取费表'!k"&amp;$G$1),INDIRECT("'数据-取费表'!ah"&amp;$G$1))</f>
        <v>456.55</v>
      </c>
      <c r="G7" s="1383"/>
      <c r="H7" s="304"/>
      <c r="I7" s="3661"/>
      <c r="J7" s="306"/>
      <c r="K7" s="307"/>
      <c r="L7" s="302" t="s">
        <v>697</v>
      </c>
      <c r="M7" s="303">
        <f ca="1">F7</f>
        <v>456.55</v>
      </c>
    </row>
    <row r="8" spans="1:37" ht="18" customHeight="1">
      <c r="A8" s="304"/>
      <c r="B8" s="3661"/>
      <c r="C8" s="306"/>
      <c r="D8" s="307"/>
      <c r="E8" s="302" t="s">
        <v>698</v>
      </c>
      <c r="F8" s="303">
        <f ca="1">INDIRECT("'数据-取费表'!ai"&amp;$G$1)</f>
        <v>365</v>
      </c>
      <c r="G8" s="1383"/>
      <c r="H8" s="304"/>
      <c r="I8" s="3661"/>
      <c r="J8" s="306"/>
      <c r="K8" s="307"/>
      <c r="L8" s="302" t="s">
        <v>698</v>
      </c>
      <c r="M8" s="303">
        <f ca="1">INDIRECT("'数据-取费表'!ai"&amp;$G$1)</f>
        <v>365</v>
      </c>
    </row>
    <row r="9" spans="1:37" ht="18" customHeight="1">
      <c r="A9" s="304"/>
      <c r="B9" s="3662"/>
      <c r="C9" s="306"/>
      <c r="D9" s="307"/>
      <c r="E9" s="302" t="s">
        <v>699</v>
      </c>
      <c r="F9" s="312">
        <f ca="1">INDIRECT("'数据-取费表'!w"&amp;$G$1)</f>
        <v>0.1</v>
      </c>
      <c r="G9" s="1383"/>
      <c r="H9" s="304"/>
      <c r="I9" s="3662"/>
      <c r="J9" s="306"/>
      <c r="K9" s="307"/>
      <c r="L9" s="313" t="s">
        <v>699</v>
      </c>
      <c r="M9" s="314">
        <f ca="1">INDIRECT("'数据-取费表'!ab"&amp;$G$1)</f>
        <v>0</v>
      </c>
    </row>
    <row r="10" spans="1:37" ht="18" customHeight="1">
      <c r="A10" s="1068" t="s">
        <v>402</v>
      </c>
      <c r="B10" s="1364" t="s">
        <v>700</v>
      </c>
      <c r="C10" s="316">
        <f ca="1">ROUND(IF(F10="押一",C6/12*F11,IF(F10="押二",C6/12*2*F11,IF(F10="押三",C6/12*3*F11,C11*F11))),0)</f>
        <v>769</v>
      </c>
      <c r="D10" s="1365" t="s">
        <v>2116</v>
      </c>
      <c r="E10" s="313" t="s">
        <v>701</v>
      </c>
      <c r="F10" s="1115" t="s">
        <v>3434</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1455179</v>
      </c>
      <c r="D13" s="1080" t="s">
        <v>705</v>
      </c>
      <c r="E13" s="1080" t="s">
        <v>706</v>
      </c>
      <c r="F13" s="1081">
        <f ca="1">INDIRECT("'数据-取费表'!y"&amp;$G$1)</f>
        <v>0.71</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1369650</v>
      </c>
      <c r="D14" s="1344" t="s">
        <v>708</v>
      </c>
      <c r="E14" s="1341"/>
      <c r="F14" s="319"/>
      <c r="G14" s="1383"/>
      <c r="H14" s="981" t="s">
        <v>398</v>
      </c>
      <c r="I14" s="302" t="s">
        <v>709</v>
      </c>
      <c r="J14" s="21">
        <f ca="1">C29</f>
        <v>2049548</v>
      </c>
      <c r="K14" s="12"/>
      <c r="L14" s="806"/>
      <c r="M14" s="807"/>
    </row>
    <row r="15" spans="1:37" s="1396" customFormat="1" ht="18" customHeight="1" thickBot="1">
      <c r="A15" s="981" t="s">
        <v>399</v>
      </c>
      <c r="B15" s="302" t="s">
        <v>710</v>
      </c>
      <c r="C15" s="21">
        <f ca="1">ROUND(C14*F15,0)</f>
        <v>68483</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10248</v>
      </c>
      <c r="K16" s="1086" t="s">
        <v>715</v>
      </c>
      <c r="L16" s="1087"/>
      <c r="M16" s="1071"/>
    </row>
    <row r="17" spans="1:37" s="1396" customFormat="1" ht="18" customHeight="1">
      <c r="A17" s="981" t="s">
        <v>681</v>
      </c>
      <c r="B17" s="302" t="s">
        <v>716</v>
      </c>
      <c r="C17" s="21">
        <f ca="1">ROUND(F17*(F43+INDIRECT("'数据-取费表'!S"&amp;$G$1)),0)</f>
        <v>91310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27393</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1556836</v>
      </c>
      <c r="D19" s="131" t="s">
        <v>726</v>
      </c>
      <c r="E19" s="1359"/>
      <c r="F19" s="23"/>
      <c r="G19" s="1383"/>
      <c r="H19" s="981"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1" t="s">
        <v>402</v>
      </c>
      <c r="B20" s="302" t="s">
        <v>728</v>
      </c>
      <c r="C20" s="21">
        <f ca="1">ROUND(C19*F20,0)</f>
        <v>46705</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10248</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49710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-10248</v>
      </c>
      <c r="K25" s="1094" t="s">
        <v>753</v>
      </c>
      <c r="L25" s="1095"/>
      <c r="M25" s="1096"/>
    </row>
    <row r="26" spans="1:37" ht="18" customHeight="1">
      <c r="A26" s="981" t="s">
        <v>397</v>
      </c>
      <c r="B26" s="302" t="s">
        <v>754</v>
      </c>
      <c r="C26" s="21">
        <f ca="1">ROUND((C19+C20)*F26,0)</f>
        <v>240531</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2049548</v>
      </c>
      <c r="D29" s="1091"/>
      <c r="E29" s="1089"/>
      <c r="F29" s="1092"/>
      <c r="G29" s="1395"/>
      <c r="H29" s="334" t="s">
        <v>396</v>
      </c>
      <c r="I29" s="335" t="s">
        <v>768</v>
      </c>
      <c r="J29" s="336">
        <f ca="1">ROUND(J26/(1+F40)^F41,0)</f>
        <v>0</v>
      </c>
      <c r="K29" s="337" t="s">
        <v>769</v>
      </c>
      <c r="L29" s="338"/>
      <c r="M29" s="339">
        <f ca="1">INDIRECT("'数据-取费表'!k"&amp;$G$1)</f>
        <v>456.55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58854</v>
      </c>
      <c r="D30" s="1086" t="s">
        <v>715</v>
      </c>
      <c r="E30" s="1087"/>
      <c r="F30" s="1071"/>
      <c r="G30" s="1383"/>
      <c r="H30" s="2695"/>
      <c r="I30" s="1397"/>
      <c r="J30" s="1398"/>
      <c r="K30" s="2474"/>
      <c r="L30" s="2696"/>
      <c r="M30" s="2697"/>
    </row>
    <row r="31" spans="1:37" ht="18" customHeight="1">
      <c r="A31" s="981" t="s">
        <v>398</v>
      </c>
      <c r="B31" s="302" t="s">
        <v>719</v>
      </c>
      <c r="C31" s="2315">
        <f ca="1">ROUND(IF(AND(项目基本情况!B11="自然人",项目基本情况!B10="北京市"),C6*F31/(1+'数据-取费表'!C42),C32+C33+C34),0)</f>
        <v>40994</v>
      </c>
      <c r="D31" s="1344" t="s">
        <v>720</v>
      </c>
      <c r="E31" s="1343" t="s">
        <v>770</v>
      </c>
      <c r="F31" s="2314">
        <f ca="1">IF(项目基本情况!B11="企业","——",IF(M47="住宅",IF(F6*F7*F8/12/(1+'数据-取费表'!F30)&gt;100000,4%,2.5%),IF(F6*F7*F8/12/(1+'数据-取费表'!F30)&gt;100000,12%,7%)))</f>
        <v>7.0000000000000007E-2</v>
      </c>
      <c r="G31" s="1383"/>
      <c r="H31" s="2806" t="s">
        <v>2306</v>
      </c>
      <c r="I31" s="1397"/>
      <c r="J31" s="1398"/>
      <c r="K31" s="2474"/>
      <c r="L31" s="2696"/>
      <c r="M31" s="2697"/>
    </row>
    <row r="32" spans="1:37" ht="18" customHeight="1">
      <c r="A32" s="981" t="s">
        <v>397</v>
      </c>
      <c r="B32" s="302" t="s">
        <v>723</v>
      </c>
      <c r="C32" s="21" t="str">
        <f>IF(项目基本情况!B11="自然人","——",ROUND(C6*F32/(1+'数据-取费表'!C42),0))</f>
        <v>——</v>
      </c>
      <c r="D32" s="1343" t="s">
        <v>724</v>
      </c>
      <c r="E32" s="302" t="s">
        <v>712</v>
      </c>
      <c r="F32" s="331">
        <f>'数据-取费表'!B41</f>
        <v>5.5000000000000007E-2</v>
      </c>
      <c r="G32" s="1383"/>
      <c r="H32" s="2695"/>
      <c r="I32" s="1397"/>
      <c r="J32" s="1398"/>
      <c r="K32" s="2474"/>
      <c r="L32" s="2696"/>
      <c r="M32" s="2697"/>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3336</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t="str">
        <f>IF(项目基本情况!B11="自然人","——",ROUND(F34*F35,0))</f>
        <v>——</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10248</v>
      </c>
      <c r="D36" s="1343" t="s">
        <v>771</v>
      </c>
      <c r="E36" s="302" t="s">
        <v>712</v>
      </c>
      <c r="F36" s="328">
        <f ca="1">INDIRECT("'数据-取费表'!Ak"&amp;$G$1)</f>
        <v>5.0000000000000001E-3</v>
      </c>
      <c r="G36" s="1383"/>
      <c r="H36" s="2698"/>
      <c r="I36" s="1397"/>
      <c r="J36" s="1398"/>
      <c r="K36" s="2543"/>
      <c r="L36" s="2698"/>
      <c r="M36" s="2698"/>
    </row>
    <row r="37" spans="1:18" ht="18" customHeight="1">
      <c r="A37" s="981" t="s">
        <v>437</v>
      </c>
      <c r="B37" s="302" t="s">
        <v>742</v>
      </c>
      <c r="C37" s="21">
        <f ca="1">ROUND(C13*F37,0)</f>
        <v>1455</v>
      </c>
      <c r="D37" s="1343" t="s">
        <v>743</v>
      </c>
      <c r="E37" s="302" t="s">
        <v>744</v>
      </c>
      <c r="F37" s="330">
        <f ca="1">INDIRECT("'数据-取费表'!Al"&amp;$G$1)</f>
        <v>1E-3</v>
      </c>
      <c r="G37" s="1383"/>
      <c r="H37" s="2698"/>
      <c r="I37" s="1397"/>
      <c r="J37" s="1398"/>
      <c r="K37" s="2543"/>
      <c r="L37" s="2698"/>
      <c r="M37" s="2698"/>
    </row>
    <row r="38" spans="1:18" ht="18" customHeight="1" thickBot="1">
      <c r="A38" s="1088" t="s">
        <v>684</v>
      </c>
      <c r="B38" s="1089" t="s">
        <v>728</v>
      </c>
      <c r="C38" s="1090">
        <f ca="1">ROUND(C5*F38,0)</f>
        <v>6157</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556819</v>
      </c>
      <c r="D39" s="1094" t="s">
        <v>773</v>
      </c>
      <c r="E39" s="1095"/>
      <c r="F39" s="1096"/>
      <c r="G39" s="1383"/>
      <c r="H39" s="2698"/>
      <c r="I39" s="1397"/>
      <c r="J39" s="1398"/>
      <c r="K39" s="2702"/>
      <c r="L39" s="2698"/>
      <c r="M39" s="2698"/>
    </row>
    <row r="40" spans="1:18" ht="18" customHeight="1">
      <c r="A40" s="299" t="s">
        <v>395</v>
      </c>
      <c r="B40" s="300" t="s">
        <v>774</v>
      </c>
      <c r="C40" s="301">
        <f ca="1">ROUND(C39*(1-((1+F42)/(1+F40))^F41)/(F40-F42),0)</f>
        <v>6318163</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15</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13839</v>
      </c>
      <c r="D43" s="337" t="s">
        <v>777</v>
      </c>
      <c r="E43" s="338" t="s">
        <v>778</v>
      </c>
      <c r="F43" s="339">
        <f ca="1">INDIRECT("'数据-取费表'!k"&amp;$G$1)</f>
        <v>456.55</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29" t="s">
        <v>3352</v>
      </c>
      <c r="B45" s="1399"/>
      <c r="C45" s="1471">
        <f ca="1">ROUND((C68-C40)/10000,4)</f>
        <v>-643.56330000000003</v>
      </c>
      <c r="D45" s="3430" t="s">
        <v>3353</v>
      </c>
      <c r="E45" s="1399"/>
      <c r="F45" s="1399"/>
      <c r="O45" s="1402" t="s">
        <v>808</v>
      </c>
      <c r="P45" s="1460"/>
      <c r="Q45" s="1460"/>
      <c r="R45" s="1460"/>
    </row>
    <row r="46" spans="1:18" s="1383" customFormat="1" ht="13.5" thickBot="1">
      <c r="A46" s="1403" t="s">
        <v>809</v>
      </c>
      <c r="C46" s="1404">
        <f ca="1">ROUND(C45,0)</f>
        <v>-644</v>
      </c>
      <c r="D46" s="1405" t="str">
        <f>C2</f>
        <v>万元</v>
      </c>
      <c r="I46" s="1406" t="s">
        <v>810</v>
      </c>
      <c r="J46" s="1407"/>
      <c r="K46" s="1408"/>
      <c r="L46" s="1409">
        <f ca="1">IF(M47="住宅",0,IF(L48&gt;J51,L60,J60))</f>
        <v>277071</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3435</v>
      </c>
      <c r="K47" s="1415" t="s">
        <v>816</v>
      </c>
      <c r="L47" s="1416">
        <f ca="1">INDIRECT("'数据-取费表'!d"&amp;$G$1)</f>
        <v>40</v>
      </c>
      <c r="M47" s="1379" t="str">
        <f>IF(ISNUMBER(FIND("住宅",C1)),"住宅","非住宅")</f>
        <v>非住宅</v>
      </c>
      <c r="O47" s="1417" t="s">
        <v>403</v>
      </c>
      <c r="P47" s="1418" t="s">
        <v>817</v>
      </c>
      <c r="Q47" s="1419">
        <f ca="1">C40+J29</f>
        <v>6318163</v>
      </c>
      <c r="R47" s="1419" t="s">
        <v>818</v>
      </c>
    </row>
    <row r="48" spans="1:18" s="1383" customFormat="1" ht="28.5" thickBot="1">
      <c r="A48" s="1109" t="s">
        <v>438</v>
      </c>
      <c r="B48" s="300" t="s">
        <v>692</v>
      </c>
      <c r="C48" s="1358">
        <f ca="1">C49+C53+C55</f>
        <v>0</v>
      </c>
      <c r="D48" s="1111"/>
      <c r="E48" s="1112"/>
      <c r="F48" s="961"/>
      <c r="G48" s="721"/>
      <c r="H48" s="722"/>
      <c r="I48" s="1420" t="s">
        <v>819</v>
      </c>
      <c r="J48" s="1421" t="s">
        <v>3436</v>
      </c>
      <c r="K48" s="1422" t="s">
        <v>820</v>
      </c>
      <c r="L48" s="1423">
        <f ca="1">INDIRECT("'数据-取费表'!f"&amp;$G$1)</f>
        <v>15</v>
      </c>
      <c r="O48" s="1417" t="s">
        <v>404</v>
      </c>
      <c r="P48" s="1418" t="s">
        <v>821</v>
      </c>
      <c r="Q48" s="1419">
        <f ca="1">J60</f>
        <v>277071</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2002</v>
      </c>
      <c r="K49" s="1422" t="s">
        <v>824</v>
      </c>
      <c r="L49" s="1426"/>
      <c r="O49" s="1427" t="s">
        <v>405</v>
      </c>
      <c r="P49" s="1418" t="s">
        <v>825</v>
      </c>
      <c r="Q49" s="1419">
        <f ca="1">C29</f>
        <v>2049548</v>
      </c>
      <c r="R49" s="1419" t="s">
        <v>818</v>
      </c>
    </row>
    <row r="50" spans="1:18" s="1383" customFormat="1" ht="13.5" thickBot="1">
      <c r="A50" s="975"/>
      <c r="B50" s="978"/>
      <c r="C50" s="979"/>
      <c r="D50" s="952"/>
      <c r="E50" s="1055" t="s">
        <v>697</v>
      </c>
      <c r="F50" s="1056">
        <f ca="1">F7</f>
        <v>456.55</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37</v>
      </c>
      <c r="K51" s="1433" t="s">
        <v>830</v>
      </c>
      <c r="L51" s="1434">
        <f ca="1">ROUND(-PV(INDIRECT("'数据-取费表'!h"&amp;$G$1),J51,(C39-C13*C76),0),0)</f>
        <v>7602908</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15</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15</v>
      </c>
      <c r="K53" s="3658" t="s">
        <v>837</v>
      </c>
      <c r="L53" s="3659"/>
      <c r="O53" s="1417" t="s">
        <v>409</v>
      </c>
      <c r="P53" s="1418" t="s">
        <v>838</v>
      </c>
      <c r="Q53" s="1419">
        <f ca="1">Q47+Q48</f>
        <v>6595234</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1455179</v>
      </c>
      <c r="D56" s="1446"/>
      <c r="E56" s="1447"/>
      <c r="F56" s="1439"/>
      <c r="I56" s="1448" t="s">
        <v>842</v>
      </c>
      <c r="J56" s="1449" t="s">
        <v>3425</v>
      </c>
      <c r="K56" s="1420" t="s">
        <v>843</v>
      </c>
      <c r="L56" s="1423" t="str">
        <f ca="1">IF(L48&lt;J51,"——",L48-J51)</f>
        <v>——</v>
      </c>
      <c r="O56" s="1417" t="s">
        <v>403</v>
      </c>
      <c r="P56" s="1418" t="s">
        <v>817</v>
      </c>
      <c r="Q56" s="1419">
        <f ca="1">C40+J29</f>
        <v>6318163</v>
      </c>
      <c r="R56" s="1419" t="s">
        <v>818</v>
      </c>
    </row>
    <row r="57" spans="1:18" s="1383" customFormat="1" ht="24.75" thickBot="1">
      <c r="A57" s="1450"/>
      <c r="B57" s="949" t="s">
        <v>767</v>
      </c>
      <c r="C57" s="238">
        <f ca="1">C29</f>
        <v>2049548</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11703</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819819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5.5000000000000007E-2</v>
      </c>
      <c r="I60" s="1457" t="s">
        <v>853</v>
      </c>
      <c r="J60" s="1458">
        <f ca="1">IF(OR(M47="住宅",J51&lt;L48,J56="是"),"0",ROUND(J59/(1+J52)^J53,0))</f>
        <v>277071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6318163</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10248</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1455</v>
      </c>
      <c r="D65" s="963" t="s">
        <v>743</v>
      </c>
      <c r="E65" s="949" t="s">
        <v>744</v>
      </c>
      <c r="F65" s="330">
        <f t="shared" ca="1" si="0"/>
        <v>1E-3</v>
      </c>
      <c r="I65" s="1461" t="s">
        <v>867</v>
      </c>
      <c r="J65" s="1462">
        <v>40</v>
      </c>
      <c r="K65" s="1462">
        <v>30</v>
      </c>
      <c r="L65" s="1462">
        <v>50</v>
      </c>
      <c r="M65" s="1464">
        <v>0.02</v>
      </c>
      <c r="O65" s="1417" t="s">
        <v>403</v>
      </c>
      <c r="P65" s="1418" t="s">
        <v>868</v>
      </c>
      <c r="Q65" s="1419">
        <f ca="1">C40+J29</f>
        <v>6318163</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-11703</v>
      </c>
      <c r="D67" s="962" t="s">
        <v>753</v>
      </c>
      <c r="E67" s="967"/>
      <c r="F67" s="968"/>
      <c r="O67" s="1427" t="s">
        <v>405</v>
      </c>
      <c r="P67" s="1418" t="s">
        <v>850</v>
      </c>
      <c r="Q67" s="1465">
        <f ca="1">L51</f>
        <v>7602908</v>
      </c>
      <c r="R67" s="1419" t="s">
        <v>870</v>
      </c>
    </row>
    <row r="68" spans="1:18" s="1383" customFormat="1" ht="16.5" thickBot="1">
      <c r="A68" s="946" t="s">
        <v>395</v>
      </c>
      <c r="B68" s="947" t="s">
        <v>774</v>
      </c>
      <c r="C68" s="301">
        <f ca="1">ROUND(C67*(1-((1+F70)/(1+F68))^F69)/(F68-F70),0)</f>
        <v>-117470</v>
      </c>
      <c r="D68" s="964" t="s">
        <v>758</v>
      </c>
      <c r="E68" s="949" t="s">
        <v>759</v>
      </c>
      <c r="F68" s="312">
        <f ca="1">F40</f>
        <v>5.5E-2</v>
      </c>
      <c r="O68" s="1427" t="s">
        <v>406</v>
      </c>
      <c r="P68" s="1466" t="s">
        <v>871</v>
      </c>
      <c r="Q68" s="1419">
        <f ca="1">ROUND(Q69-Q70*Q71,0)</f>
        <v>454956</v>
      </c>
      <c r="R68" s="1419" t="s">
        <v>414</v>
      </c>
    </row>
    <row r="69" spans="1:18" s="1383" customFormat="1" ht="13.5" thickBot="1">
      <c r="A69" s="950"/>
      <c r="B69" s="951"/>
      <c r="C69" s="306"/>
      <c r="D69" s="969" t="s">
        <v>762</v>
      </c>
      <c r="E69" s="949" t="s">
        <v>763</v>
      </c>
      <c r="F69" s="333">
        <f ca="1">F41</f>
        <v>15</v>
      </c>
      <c r="O69" s="1427" t="s">
        <v>411</v>
      </c>
      <c r="P69" s="1466" t="s">
        <v>872</v>
      </c>
      <c r="Q69" s="1419">
        <f ca="1">C39</f>
        <v>556819</v>
      </c>
      <c r="R69" s="1419" t="s">
        <v>818</v>
      </c>
    </row>
    <row r="70" spans="1:18" s="1383" customFormat="1" ht="13.5" thickBot="1">
      <c r="A70" s="953"/>
      <c r="B70" s="954"/>
      <c r="C70" s="310"/>
      <c r="D70" s="965"/>
      <c r="E70" s="949" t="s">
        <v>766</v>
      </c>
      <c r="F70" s="1053"/>
      <c r="O70" s="1427" t="s">
        <v>412</v>
      </c>
      <c r="P70" s="1466" t="s">
        <v>873</v>
      </c>
      <c r="Q70" s="1419">
        <f ca="1">C13</f>
        <v>1455179</v>
      </c>
      <c r="R70" s="1419" t="s">
        <v>818</v>
      </c>
    </row>
    <row r="71" spans="1:18" s="1383" customFormat="1" ht="13.5" thickBot="1">
      <c r="A71" s="970" t="s">
        <v>396</v>
      </c>
      <c r="B71" s="971" t="s">
        <v>776</v>
      </c>
      <c r="C71" s="336">
        <f ca="1">ROUND(C68/F71,0)</f>
        <v>-257</v>
      </c>
      <c r="D71" s="972" t="s">
        <v>777</v>
      </c>
      <c r="E71" s="973" t="s">
        <v>778</v>
      </c>
      <c r="F71" s="339">
        <f ca="1">F43</f>
        <v>456.55</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101863</v>
      </c>
      <c r="D75" s="1383"/>
      <c r="E75" s="1383"/>
      <c r="F75" s="1383"/>
      <c r="K75" s="1401"/>
      <c r="L75" s="1383"/>
      <c r="O75" s="1417" t="s">
        <v>409</v>
      </c>
      <c r="P75" s="1418" t="s">
        <v>838</v>
      </c>
      <c r="Q75" s="1419">
        <f ca="1">Q65+Q66</f>
        <v>6318163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0.81699999999999995</v>
      </c>
    </row>
    <row r="80" spans="1:18">
      <c r="B80" s="340" t="s">
        <v>800</v>
      </c>
      <c r="C80" s="274">
        <f ca="1">ROUND(C75/C39,3)</f>
        <v>0.183</v>
      </c>
    </row>
    <row r="81" spans="2:3">
      <c r="B81" s="270" t="s">
        <v>801</v>
      </c>
      <c r="C81" s="238"/>
    </row>
    <row r="82" spans="2:3">
      <c r="B82" s="273" t="s">
        <v>802</v>
      </c>
      <c r="C82" s="275">
        <f ca="1">1-C83</f>
        <v>0.77</v>
      </c>
    </row>
    <row r="83" spans="2:3">
      <c r="B83" s="273" t="s">
        <v>803</v>
      </c>
      <c r="C83" s="274">
        <f ca="1">ROUND(C13/C40,3)</f>
        <v>0.23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4" t="s">
        <v>2315</v>
      </c>
      <c r="B2" s="2841" t="e">
        <f>IF(D2="——",C40,C40+E2)</f>
        <v>#DIV/0!</v>
      </c>
      <c r="C2" s="2842" t="s">
        <v>2316</v>
      </c>
      <c r="D2" s="3441" t="s">
        <v>3359</v>
      </c>
      <c r="E2" s="3442"/>
      <c r="F2" s="2844"/>
      <c r="G2" s="2845"/>
      <c r="H2" s="2846"/>
      <c r="I2" s="2847"/>
      <c r="J2" s="3669" t="s">
        <v>2317</v>
      </c>
      <c r="K2" s="3670"/>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671" t="s">
        <v>2327</v>
      </c>
      <c r="K3" s="3672"/>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671" t="s">
        <v>2329</v>
      </c>
      <c r="K4" s="3672"/>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677" t="s">
        <v>2333</v>
      </c>
      <c r="B6" s="3678"/>
      <c r="C6" s="3679"/>
      <c r="D6" s="2868"/>
      <c r="E6" s="2869"/>
      <c r="F6" s="2870"/>
      <c r="G6" s="2871"/>
      <c r="H6" s="2846"/>
      <c r="I6" s="2847"/>
      <c r="J6" s="3663">
        <v>1</v>
      </c>
      <c r="K6" s="3664"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663"/>
      <c r="K7" s="3665"/>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680" t="s">
        <v>2347</v>
      </c>
      <c r="C8" s="3681"/>
      <c r="D8" s="2887" t="s">
        <v>2348</v>
      </c>
      <c r="E8" s="2888" t="s">
        <v>2349</v>
      </c>
      <c r="F8" s="2889" t="s">
        <v>2350</v>
      </c>
      <c r="G8" s="2890"/>
      <c r="H8" s="2846"/>
      <c r="I8" s="2847"/>
      <c r="J8" s="3663"/>
      <c r="K8" s="3665"/>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680" t="s">
        <v>2353</v>
      </c>
      <c r="C9" s="3681"/>
      <c r="D9" s="2887">
        <f>ROUND(D6*E9,0)</f>
        <v>0</v>
      </c>
      <c r="E9" s="2891"/>
      <c r="F9" s="2892" t="s">
        <v>2354</v>
      </c>
      <c r="G9" s="2871"/>
      <c r="H9" s="2846"/>
      <c r="I9" s="2847"/>
      <c r="J9" s="3663"/>
      <c r="K9" s="3665"/>
      <c r="L9" s="2881" t="s">
        <v>2355</v>
      </c>
      <c r="M9" s="2882"/>
      <c r="N9" s="2858"/>
      <c r="O9" s="2883"/>
      <c r="P9" s="2883"/>
      <c r="Q9" s="2884">
        <v>365</v>
      </c>
      <c r="R9" s="2885">
        <f t="shared" si="0"/>
        <v>0</v>
      </c>
      <c r="S9" s="2839"/>
      <c r="T9" s="2839"/>
      <c r="U9" s="2839"/>
      <c r="V9" s="2847"/>
    </row>
    <row r="10" spans="1:22" s="2851" customFormat="1" ht="13.15" customHeight="1">
      <c r="A10" s="2886">
        <v>2</v>
      </c>
      <c r="B10" s="3680" t="s">
        <v>2356</v>
      </c>
      <c r="C10" s="3681"/>
      <c r="D10" s="2887">
        <f>ROUND(D6*E10,0)</f>
        <v>0</v>
      </c>
      <c r="E10" s="2891"/>
      <c r="F10" s="2892" t="s">
        <v>2357</v>
      </c>
      <c r="G10" s="2871"/>
      <c r="H10" s="2846"/>
      <c r="I10" s="2847"/>
      <c r="J10" s="3663"/>
      <c r="K10" s="3665"/>
      <c r="L10" s="2881" t="s">
        <v>2358</v>
      </c>
      <c r="M10" s="2882"/>
      <c r="N10" s="2858"/>
      <c r="O10" s="2883"/>
      <c r="P10" s="2883"/>
      <c r="Q10" s="2884">
        <v>365</v>
      </c>
      <c r="R10" s="2885">
        <f t="shared" si="0"/>
        <v>0</v>
      </c>
      <c r="S10" s="2839"/>
      <c r="T10" s="2839"/>
      <c r="U10" s="2839"/>
      <c r="V10" s="2847"/>
    </row>
    <row r="11" spans="1:22" s="2851" customFormat="1" ht="13.15" customHeight="1">
      <c r="A11" s="2886">
        <v>3</v>
      </c>
      <c r="B11" s="3680" t="s">
        <v>2359</v>
      </c>
      <c r="C11" s="3681"/>
      <c r="D11" s="2887">
        <f>D12+D14+D15+D16</f>
        <v>0</v>
      </c>
      <c r="E11" s="2893" t="e">
        <f>D11/D6</f>
        <v>#DIV/0!</v>
      </c>
      <c r="F11" s="2889"/>
      <c r="G11" s="2890"/>
      <c r="H11" s="2846"/>
      <c r="I11" s="2847"/>
      <c r="J11" s="3663"/>
      <c r="K11" s="3665"/>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673" t="s">
        <v>2362</v>
      </c>
      <c r="C12" s="3674"/>
      <c r="D12" s="2895">
        <f>ROUND(D13*1.2%*(1-30%),0)</f>
        <v>0</v>
      </c>
      <c r="E12" s="2896">
        <v>1.2E-2</v>
      </c>
      <c r="F12" s="2889" t="s">
        <v>2363</v>
      </c>
      <c r="G12" s="2890"/>
      <c r="H12" s="2846"/>
      <c r="I12" s="2847"/>
      <c r="J12" s="3663"/>
      <c r="K12" s="3665"/>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663"/>
      <c r="K13" s="3665"/>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673" t="s">
        <v>2368</v>
      </c>
      <c r="C14" s="3674"/>
      <c r="D14" s="2895">
        <f>ROUND(E14*B5/10000,0)</f>
        <v>0</v>
      </c>
      <c r="E14" s="2884"/>
      <c r="F14" s="2889" t="s">
        <v>2369</v>
      </c>
      <c r="G14" s="2890"/>
      <c r="H14" s="2846"/>
      <c r="I14" s="2847"/>
      <c r="J14" s="3663"/>
      <c r="K14" s="3666"/>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673" t="s">
        <v>2372</v>
      </c>
      <c r="C15" s="3674"/>
      <c r="D15" s="2895">
        <f>ROUND(D6*E15,0)</f>
        <v>0</v>
      </c>
      <c r="E15" s="2896">
        <v>5.5E-2</v>
      </c>
      <c r="F15" s="2889" t="s">
        <v>2373</v>
      </c>
      <c r="G15" s="2871"/>
      <c r="H15" s="2846"/>
      <c r="I15" s="2847"/>
      <c r="J15" s="3663">
        <v>2</v>
      </c>
      <c r="K15" s="3664"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673" t="s">
        <v>2381</v>
      </c>
      <c r="C16" s="3674"/>
      <c r="D16" s="2906">
        <f>D6*E16</f>
        <v>0</v>
      </c>
      <c r="E16" s="2907"/>
      <c r="F16" s="2892" t="s">
        <v>2382</v>
      </c>
      <c r="G16" s="2871"/>
      <c r="H16" s="2846"/>
      <c r="I16" s="2847"/>
      <c r="J16" s="3663"/>
      <c r="K16" s="3665"/>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675" t="s">
        <v>2384</v>
      </c>
      <c r="C17" s="3676"/>
      <c r="D17" s="2909">
        <f>ROUND(D6*E17,0)</f>
        <v>0</v>
      </c>
      <c r="E17" s="2910"/>
      <c r="F17" s="2911" t="s">
        <v>2385</v>
      </c>
      <c r="G17" s="2871"/>
      <c r="H17" s="2846"/>
      <c r="I17" s="2847"/>
      <c r="J17" s="3663"/>
      <c r="K17" s="3665"/>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663"/>
      <c r="K18" s="3665"/>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663"/>
      <c r="K19" s="3666"/>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3">
        <v>3</v>
      </c>
      <c r="K20" s="3664"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663"/>
      <c r="K21" s="3665"/>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663"/>
      <c r="K22" s="3665"/>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663"/>
      <c r="K23" s="3665"/>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663"/>
      <c r="K24" s="3666"/>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667">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66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669" t="s">
        <v>2317</v>
      </c>
      <c r="K32" s="3670"/>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671" t="s">
        <v>2327</v>
      </c>
      <c r="K33" s="3672"/>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671" t="s">
        <v>2329</v>
      </c>
      <c r="K34" s="367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663">
        <v>1</v>
      </c>
      <c r="K36" s="3664"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663"/>
      <c r="K37" s="3665"/>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3"/>
      <c r="K38" s="3665"/>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663"/>
      <c r="K39" s="3665"/>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663"/>
      <c r="K40" s="3666"/>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7">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66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659.52340000000004</v>
      </c>
      <c r="C2" s="1871" t="s">
        <v>1651</v>
      </c>
      <c r="D2" s="1872" t="s">
        <v>1652</v>
      </c>
      <c r="E2" s="2606">
        <f>SUM(E6:E13)</f>
        <v>456.55</v>
      </c>
      <c r="F2" s="2705"/>
      <c r="G2" s="1488"/>
      <c r="H2" s="1488"/>
      <c r="I2" s="1488"/>
      <c r="J2" s="1488"/>
      <c r="K2" s="1488"/>
      <c r="L2" s="1488"/>
      <c r="M2" s="1488"/>
      <c r="N2" s="1488"/>
      <c r="O2" s="1488"/>
      <c r="P2" s="1488"/>
      <c r="Q2" s="1488"/>
      <c r="R2" s="1488"/>
      <c r="S2" s="1488"/>
    </row>
    <row r="3" spans="1:22" ht="15.75">
      <c r="A3" s="1869" t="s">
        <v>686</v>
      </c>
      <c r="B3" s="2600">
        <f ca="1">ROUND(B2*10000/E2,0)</f>
        <v>14446</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2" t="s">
        <v>1653</v>
      </c>
      <c r="B5" s="3682" t="s">
        <v>1654</v>
      </c>
      <c r="C5" s="3683"/>
      <c r="D5" s="2706"/>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659.52340000000004</v>
      </c>
      <c r="C6" s="1871" t="s">
        <v>1651</v>
      </c>
      <c r="D6" s="2707"/>
      <c r="E6" s="2605">
        <f>IF(OR(A6=0,F6="否"),0,'数据-取费表'!K6+'数据-取费表'!S6)</f>
        <v>456.55</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7"/>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7"/>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7"/>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7"/>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7"/>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7"/>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8"/>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456.55</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702" t="s">
        <v>1667</v>
      </c>
      <c r="D4" s="3703"/>
      <c r="E4" s="3704" t="s">
        <v>1668</v>
      </c>
      <c r="F4" s="3705"/>
      <c r="G4" s="3702" t="s">
        <v>1669</v>
      </c>
      <c r="H4" s="3703"/>
      <c r="I4" s="3702" t="s">
        <v>1670</v>
      </c>
      <c r="J4" s="3703"/>
      <c r="K4" s="1888" t="s">
        <v>1671</v>
      </c>
      <c r="L4" s="2713"/>
      <c r="M4" s="2714"/>
      <c r="N4" s="2714"/>
      <c r="O4" s="2714"/>
      <c r="P4" s="3706" t="s">
        <v>1672</v>
      </c>
      <c r="Q4" s="3707"/>
      <c r="R4" s="3712" t="s">
        <v>1668</v>
      </c>
      <c r="S4" s="3713"/>
      <c r="T4" s="3712" t="s">
        <v>1669</v>
      </c>
      <c r="U4" s="3713"/>
      <c r="V4" s="3718" t="s">
        <v>1670</v>
      </c>
      <c r="W4" s="3718"/>
      <c r="X4" s="1354"/>
      <c r="Y4" s="3712" t="s">
        <v>1672</v>
      </c>
      <c r="Z4" s="3713"/>
      <c r="AA4" s="3699" t="s">
        <v>1668</v>
      </c>
      <c r="AB4" s="3699" t="s">
        <v>1669</v>
      </c>
      <c r="AC4" s="3699" t="s">
        <v>1670</v>
      </c>
    </row>
    <row r="5" spans="1:29" ht="15">
      <c r="A5" s="358"/>
      <c r="B5" s="359"/>
      <c r="C5" s="3721" t="s">
        <v>1673</v>
      </c>
      <c r="D5" s="3722"/>
      <c r="E5" s="3728" t="s">
        <v>1674</v>
      </c>
      <c r="F5" s="3729"/>
      <c r="G5" s="3721" t="s">
        <v>1675</v>
      </c>
      <c r="H5" s="3722"/>
      <c r="I5" s="3721" t="s">
        <v>1676</v>
      </c>
      <c r="J5" s="3722"/>
      <c r="K5" s="1889"/>
      <c r="L5" s="2713"/>
      <c r="M5" s="2714"/>
      <c r="N5" s="2714"/>
      <c r="O5" s="2714"/>
      <c r="P5" s="3708"/>
      <c r="Q5" s="3709"/>
      <c r="R5" s="3714"/>
      <c r="S5" s="3715"/>
      <c r="T5" s="3714"/>
      <c r="U5" s="3715"/>
      <c r="V5" s="3718"/>
      <c r="W5" s="3718"/>
      <c r="X5" s="1354"/>
      <c r="Y5" s="3714"/>
      <c r="Z5" s="3715"/>
      <c r="AA5" s="3700"/>
      <c r="AB5" s="3700"/>
      <c r="AC5" s="3700"/>
    </row>
    <row r="6" spans="1:29" ht="15.75" thickBot="1">
      <c r="A6" s="360"/>
      <c r="B6" s="361"/>
      <c r="C6" s="3719" t="s">
        <v>1677</v>
      </c>
      <c r="D6" s="3720"/>
      <c r="E6" s="3726" t="s">
        <v>1677</v>
      </c>
      <c r="F6" s="3727"/>
      <c r="G6" s="3719" t="s">
        <v>1677</v>
      </c>
      <c r="H6" s="3720"/>
      <c r="I6" s="3719" t="s">
        <v>1677</v>
      </c>
      <c r="J6" s="3720"/>
      <c r="K6" s="1889" t="s">
        <v>1678</v>
      </c>
      <c r="L6" s="2713"/>
      <c r="M6" s="2714"/>
      <c r="N6" s="2714"/>
      <c r="O6" s="2714"/>
      <c r="P6" s="3710"/>
      <c r="Q6" s="3711"/>
      <c r="R6" s="3714"/>
      <c r="S6" s="3715"/>
      <c r="T6" s="3716"/>
      <c r="U6" s="3717"/>
      <c r="V6" s="3718"/>
      <c r="W6" s="3718"/>
      <c r="X6" s="1354"/>
      <c r="Y6" s="3716"/>
      <c r="Z6" s="3717"/>
      <c r="AA6" s="3701"/>
      <c r="AB6" s="3701"/>
      <c r="AC6" s="3701"/>
    </row>
    <row r="7" spans="1:29" s="108" customFormat="1" ht="15.75" thickBot="1">
      <c r="A7" s="362" t="s">
        <v>1679</v>
      </c>
      <c r="B7" s="363"/>
      <c r="C7" s="364">
        <f>'数据-取费表'!B2</f>
        <v>45793</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23" t="s">
        <v>1680</v>
      </c>
      <c r="Q7" s="3725"/>
      <c r="R7" s="700" t="s">
        <v>20</v>
      </c>
      <c r="S7" s="701">
        <f t="shared" ref="S7:S15" si="0">F7</f>
        <v>0</v>
      </c>
      <c r="T7" s="700" t="s">
        <v>20</v>
      </c>
      <c r="U7" s="701">
        <f t="shared" ref="U7:U15" si="1">H7</f>
        <v>0</v>
      </c>
      <c r="V7" s="700" t="s">
        <v>20</v>
      </c>
      <c r="W7" s="701">
        <f t="shared" ref="W7:W15" si="2">J7</f>
        <v>0</v>
      </c>
      <c r="X7" s="702"/>
      <c r="Y7" s="3723" t="s">
        <v>1680</v>
      </c>
      <c r="Z7" s="3724"/>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23" t="s">
        <v>1683</v>
      </c>
      <c r="Q8" s="3724"/>
      <c r="R8" s="700" t="s">
        <v>20</v>
      </c>
      <c r="S8" s="701">
        <f t="shared" si="0"/>
        <v>100</v>
      </c>
      <c r="T8" s="700" t="s">
        <v>20</v>
      </c>
      <c r="U8" s="701">
        <f t="shared" si="1"/>
        <v>100</v>
      </c>
      <c r="V8" s="700" t="s">
        <v>20</v>
      </c>
      <c r="W8" s="701">
        <f t="shared" si="2"/>
        <v>100</v>
      </c>
      <c r="X8" s="702"/>
      <c r="Y8" s="3723" t="s">
        <v>1683</v>
      </c>
      <c r="Z8" s="372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98"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698"/>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8"/>
      <c r="Q11" s="1342" t="str">
        <f t="shared" si="6"/>
        <v>容积率</v>
      </c>
      <c r="R11" s="700" t="s">
        <v>18</v>
      </c>
      <c r="S11" s="701" t="e">
        <f t="shared" si="0"/>
        <v>#N/A</v>
      </c>
      <c r="T11" s="700" t="s">
        <v>18</v>
      </c>
      <c r="U11" s="701" t="e">
        <f t="shared" si="1"/>
        <v>#N/A</v>
      </c>
      <c r="V11" s="700" t="s">
        <v>18</v>
      </c>
      <c r="W11" s="701" t="e">
        <f t="shared" si="2"/>
        <v>#N/A</v>
      </c>
      <c r="X11" s="702"/>
      <c r="Y11" s="356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98"/>
      <c r="Q12" s="1342">
        <f t="shared" si="6"/>
        <v>111</v>
      </c>
      <c r="R12" s="700" t="s">
        <v>18</v>
      </c>
      <c r="S12" s="701">
        <f t="shared" si="0"/>
        <v>100</v>
      </c>
      <c r="T12" s="700" t="s">
        <v>18</v>
      </c>
      <c r="U12" s="701">
        <f t="shared" si="1"/>
        <v>100</v>
      </c>
      <c r="V12" s="700" t="s">
        <v>18</v>
      </c>
      <c r="W12" s="701">
        <f t="shared" si="2"/>
        <v>100</v>
      </c>
      <c r="X12" s="702"/>
      <c r="Y12" s="356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98"/>
      <c r="Q13" s="1342">
        <f t="shared" si="6"/>
        <v>111</v>
      </c>
      <c r="R13" s="700" t="s">
        <v>18</v>
      </c>
      <c r="S13" s="701">
        <f t="shared" si="0"/>
        <v>100</v>
      </c>
      <c r="T13" s="700" t="s">
        <v>18</v>
      </c>
      <c r="U13" s="701">
        <f t="shared" si="1"/>
        <v>100</v>
      </c>
      <c r="V13" s="700" t="s">
        <v>18</v>
      </c>
      <c r="W13" s="701">
        <f t="shared" si="2"/>
        <v>100</v>
      </c>
      <c r="X13" s="702"/>
      <c r="Y13" s="356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98"/>
      <c r="Q14" s="1342">
        <f t="shared" si="6"/>
        <v>111</v>
      </c>
      <c r="R14" s="700" t="s">
        <v>18</v>
      </c>
      <c r="S14" s="701">
        <f t="shared" si="0"/>
        <v>100</v>
      </c>
      <c r="T14" s="700" t="s">
        <v>18</v>
      </c>
      <c r="U14" s="701">
        <f t="shared" si="1"/>
        <v>100</v>
      </c>
      <c r="V14" s="700" t="s">
        <v>18</v>
      </c>
      <c r="W14" s="701">
        <f t="shared" si="2"/>
        <v>100</v>
      </c>
      <c r="X14" s="702"/>
      <c r="Y14" s="3562"/>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6" t="s">
        <v>1691</v>
      </c>
      <c r="Q15" s="1351" t="str">
        <f t="shared" si="6"/>
        <v>居住社区成熟度</v>
      </c>
      <c r="R15" s="704" t="s">
        <v>18</v>
      </c>
      <c r="S15" s="705">
        <f t="shared" si="0"/>
        <v>100</v>
      </c>
      <c r="T15" s="704" t="s">
        <v>18</v>
      </c>
      <c r="U15" s="705">
        <f t="shared" si="1"/>
        <v>100</v>
      </c>
      <c r="V15" s="704" t="s">
        <v>18</v>
      </c>
      <c r="W15" s="705">
        <f t="shared" si="2"/>
        <v>100</v>
      </c>
      <c r="X15" s="1354"/>
      <c r="Y15" s="368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697"/>
      <c r="Q16" s="1351"/>
      <c r="R16" s="704"/>
      <c r="S16" s="705"/>
      <c r="T16" s="704"/>
      <c r="U16" s="705"/>
      <c r="V16" s="704"/>
      <c r="W16" s="705"/>
      <c r="X16" s="1354"/>
      <c r="Y16" s="3690"/>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7"/>
      <c r="Q17" s="1351" t="str">
        <f>B17</f>
        <v>交通便捷度</v>
      </c>
      <c r="R17" s="704" t="s">
        <v>18</v>
      </c>
      <c r="S17" s="705">
        <f>F17</f>
        <v>100</v>
      </c>
      <c r="T17" s="704" t="s">
        <v>18</v>
      </c>
      <c r="U17" s="705">
        <f>H17</f>
        <v>100</v>
      </c>
      <c r="V17" s="704" t="s">
        <v>18</v>
      </c>
      <c r="W17" s="705">
        <f>J17</f>
        <v>100</v>
      </c>
      <c r="X17" s="1354"/>
      <c r="Y17" s="369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697"/>
      <c r="Q18" s="1351"/>
      <c r="R18" s="704"/>
      <c r="S18" s="705"/>
      <c r="T18" s="704"/>
      <c r="U18" s="705"/>
      <c r="V18" s="704"/>
      <c r="W18" s="705"/>
      <c r="X18" s="1354"/>
      <c r="Y18" s="3690"/>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7"/>
      <c r="Q19" s="1351" t="str">
        <f>B19</f>
        <v>公共配套设施</v>
      </c>
      <c r="R19" s="704" t="s">
        <v>18</v>
      </c>
      <c r="S19" s="705">
        <f>F19</f>
        <v>100</v>
      </c>
      <c r="T19" s="704" t="s">
        <v>18</v>
      </c>
      <c r="U19" s="705">
        <f>H19</f>
        <v>100</v>
      </c>
      <c r="V19" s="704" t="s">
        <v>18</v>
      </c>
      <c r="W19" s="705">
        <f>J19</f>
        <v>100</v>
      </c>
      <c r="X19" s="1354"/>
      <c r="Y19" s="369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697"/>
      <c r="Q20" s="1351"/>
      <c r="R20" s="704"/>
      <c r="S20" s="705"/>
      <c r="T20" s="704"/>
      <c r="U20" s="705"/>
      <c r="V20" s="704"/>
      <c r="W20" s="705"/>
      <c r="X20" s="1354"/>
      <c r="Y20" s="3690"/>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7"/>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697"/>
      <c r="Q22" s="1351"/>
      <c r="R22" s="704"/>
      <c r="S22" s="705"/>
      <c r="T22" s="704"/>
      <c r="U22" s="705"/>
      <c r="V22" s="704"/>
      <c r="W22" s="705"/>
      <c r="X22" s="1354"/>
      <c r="Y22" s="3690"/>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7"/>
      <c r="Q23" s="1351" t="str">
        <f>B23</f>
        <v>自然及人文环境</v>
      </c>
      <c r="R23" s="704" t="s">
        <v>18</v>
      </c>
      <c r="S23" s="705">
        <f>F23</f>
        <v>100</v>
      </c>
      <c r="T23" s="704" t="s">
        <v>18</v>
      </c>
      <c r="U23" s="705">
        <f>H23</f>
        <v>100</v>
      </c>
      <c r="V23" s="704" t="s">
        <v>18</v>
      </c>
      <c r="W23" s="705">
        <f>J23</f>
        <v>100</v>
      </c>
      <c r="X23" s="1354"/>
      <c r="Y23" s="369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697"/>
      <c r="Q24" s="1351"/>
      <c r="R24" s="704"/>
      <c r="S24" s="705"/>
      <c r="T24" s="704"/>
      <c r="U24" s="705"/>
      <c r="V24" s="704"/>
      <c r="W24" s="705"/>
      <c r="X24" s="1354"/>
      <c r="Y24" s="369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69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697"/>
      <c r="Q26" s="1351" t="str">
        <f t="shared" si="11"/>
        <v>朝向</v>
      </c>
      <c r="R26" s="704" t="s">
        <v>18</v>
      </c>
      <c r="S26" s="705">
        <f t="shared" si="12"/>
        <v>100</v>
      </c>
      <c r="T26" s="704" t="s">
        <v>18</v>
      </c>
      <c r="U26" s="705">
        <f t="shared" si="13"/>
        <v>100</v>
      </c>
      <c r="V26" s="704" t="s">
        <v>18</v>
      </c>
      <c r="W26" s="705">
        <f t="shared" si="14"/>
        <v>100</v>
      </c>
      <c r="X26" s="1354"/>
      <c r="Y26" s="369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697"/>
      <c r="Q27" s="1342">
        <f t="shared" si="11"/>
        <v>111</v>
      </c>
      <c r="R27" s="700" t="s">
        <v>18</v>
      </c>
      <c r="S27" s="701">
        <f t="shared" si="12"/>
        <v>100</v>
      </c>
      <c r="T27" s="700" t="s">
        <v>18</v>
      </c>
      <c r="U27" s="701">
        <f t="shared" si="13"/>
        <v>100</v>
      </c>
      <c r="V27" s="700" t="s">
        <v>18</v>
      </c>
      <c r="W27" s="701">
        <f t="shared" si="14"/>
        <v>100</v>
      </c>
      <c r="X27" s="702"/>
      <c r="Y27" s="369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697"/>
      <c r="Q28" s="1351">
        <f t="shared" si="11"/>
        <v>111</v>
      </c>
      <c r="R28" s="704" t="s">
        <v>18</v>
      </c>
      <c r="S28" s="705">
        <f t="shared" si="12"/>
        <v>100</v>
      </c>
      <c r="T28" s="704" t="s">
        <v>18</v>
      </c>
      <c r="U28" s="705">
        <f t="shared" si="13"/>
        <v>100</v>
      </c>
      <c r="V28" s="704" t="s">
        <v>18</v>
      </c>
      <c r="W28" s="705">
        <f t="shared" si="14"/>
        <v>100</v>
      </c>
      <c r="X28" s="1354"/>
      <c r="Y28" s="369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697"/>
      <c r="Q29" s="1351">
        <f t="shared" si="11"/>
        <v>111</v>
      </c>
      <c r="R29" s="704" t="s">
        <v>18</v>
      </c>
      <c r="S29" s="705">
        <f t="shared" si="12"/>
        <v>100</v>
      </c>
      <c r="T29" s="704" t="s">
        <v>18</v>
      </c>
      <c r="U29" s="705">
        <f t="shared" si="13"/>
        <v>100</v>
      </c>
      <c r="V29" s="704" t="s">
        <v>18</v>
      </c>
      <c r="W29" s="705">
        <f t="shared" si="14"/>
        <v>100</v>
      </c>
      <c r="X29" s="1354"/>
      <c r="Y29" s="369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697"/>
      <c r="Q30" s="1351">
        <f t="shared" si="11"/>
        <v>111</v>
      </c>
      <c r="R30" s="704" t="s">
        <v>18</v>
      </c>
      <c r="S30" s="705">
        <f t="shared" si="12"/>
        <v>100</v>
      </c>
      <c r="T30" s="704" t="s">
        <v>18</v>
      </c>
      <c r="U30" s="705">
        <f t="shared" si="13"/>
        <v>100</v>
      </c>
      <c r="V30" s="704" t="s">
        <v>18</v>
      </c>
      <c r="W30" s="705">
        <f t="shared" si="14"/>
        <v>100</v>
      </c>
      <c r="X30" s="1354"/>
      <c r="Y30" s="369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697"/>
      <c r="Q31" s="1351">
        <f t="shared" si="11"/>
        <v>111</v>
      </c>
      <c r="R31" s="704" t="s">
        <v>18</v>
      </c>
      <c r="S31" s="705">
        <f t="shared" si="12"/>
        <v>100</v>
      </c>
      <c r="T31" s="704" t="s">
        <v>18</v>
      </c>
      <c r="U31" s="705">
        <f t="shared" si="13"/>
        <v>100</v>
      </c>
      <c r="V31" s="704" t="s">
        <v>18</v>
      </c>
      <c r="W31" s="705">
        <f t="shared" si="14"/>
        <v>100</v>
      </c>
      <c r="X31" s="1354"/>
      <c r="Y31" s="369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691" t="s">
        <v>1696</v>
      </c>
      <c r="Q32" s="1351" t="str">
        <f t="shared" si="11"/>
        <v>建筑类型</v>
      </c>
      <c r="R32" s="704" t="s">
        <v>18</v>
      </c>
      <c r="S32" s="705">
        <f t="shared" si="12"/>
        <v>100</v>
      </c>
      <c r="T32" s="704" t="s">
        <v>18</v>
      </c>
      <c r="U32" s="705">
        <f t="shared" si="13"/>
        <v>100</v>
      </c>
      <c r="V32" s="704" t="s">
        <v>18</v>
      </c>
      <c r="W32" s="705">
        <f t="shared" si="14"/>
        <v>100</v>
      </c>
      <c r="X32" s="1354"/>
      <c r="Y32" s="369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692"/>
      <c r="Q33" s="706" t="str">
        <f t="shared" si="11"/>
        <v>项目建筑规模</v>
      </c>
      <c r="R33" s="707" t="s">
        <v>18</v>
      </c>
      <c r="S33" s="708" t="e">
        <f t="shared" si="12"/>
        <v>#N/A</v>
      </c>
      <c r="T33" s="707" t="s">
        <v>18</v>
      </c>
      <c r="U33" s="708" t="e">
        <f t="shared" si="13"/>
        <v>#N/A</v>
      </c>
      <c r="V33" s="707" t="s">
        <v>18</v>
      </c>
      <c r="W33" s="708" t="e">
        <f t="shared" si="14"/>
        <v>#N/A</v>
      </c>
      <c r="X33" s="709"/>
      <c r="Y33" s="3694"/>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692"/>
      <c r="Q34" s="1351" t="str">
        <f t="shared" si="11"/>
        <v>建筑结构</v>
      </c>
      <c r="R34" s="704" t="s">
        <v>18</v>
      </c>
      <c r="S34" s="705">
        <f t="shared" si="12"/>
        <v>100</v>
      </c>
      <c r="T34" s="704" t="s">
        <v>18</v>
      </c>
      <c r="U34" s="705">
        <f t="shared" si="13"/>
        <v>100</v>
      </c>
      <c r="V34" s="704" t="s">
        <v>18</v>
      </c>
      <c r="W34" s="705">
        <f t="shared" si="14"/>
        <v>100</v>
      </c>
      <c r="X34" s="1354"/>
      <c r="Y34" s="369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692"/>
      <c r="Q35" s="1351" t="str">
        <f t="shared" si="11"/>
        <v>建筑品质</v>
      </c>
      <c r="R35" s="704" t="s">
        <v>18</v>
      </c>
      <c r="S35" s="705">
        <f t="shared" si="12"/>
        <v>100</v>
      </c>
      <c r="T35" s="704" t="s">
        <v>18</v>
      </c>
      <c r="U35" s="705">
        <f t="shared" si="13"/>
        <v>100</v>
      </c>
      <c r="V35" s="704" t="s">
        <v>18</v>
      </c>
      <c r="W35" s="705">
        <f t="shared" si="14"/>
        <v>100</v>
      </c>
      <c r="X35" s="1354"/>
      <c r="Y35" s="369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692"/>
      <c r="Q36" s="1351" t="str">
        <f t="shared" si="11"/>
        <v>公共部分装修</v>
      </c>
      <c r="R36" s="704" t="s">
        <v>18</v>
      </c>
      <c r="S36" s="705">
        <f t="shared" si="12"/>
        <v>100</v>
      </c>
      <c r="T36" s="704" t="s">
        <v>18</v>
      </c>
      <c r="U36" s="705">
        <f t="shared" si="13"/>
        <v>100</v>
      </c>
      <c r="V36" s="704" t="s">
        <v>18</v>
      </c>
      <c r="W36" s="705">
        <f t="shared" si="14"/>
        <v>100</v>
      </c>
      <c r="X36" s="1354"/>
      <c r="Y36" s="369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2"/>
      <c r="Q37" s="1342" t="str">
        <f t="shared" si="11"/>
        <v>成新度</v>
      </c>
      <c r="R37" s="700" t="s">
        <v>18</v>
      </c>
      <c r="S37" s="701" t="e">
        <f t="shared" si="12"/>
        <v>#N/A</v>
      </c>
      <c r="T37" s="700" t="s">
        <v>18</v>
      </c>
      <c r="U37" s="701" t="e">
        <f t="shared" si="13"/>
        <v>#N/A</v>
      </c>
      <c r="V37" s="700" t="s">
        <v>18</v>
      </c>
      <c r="W37" s="701" t="e">
        <f t="shared" si="14"/>
        <v>#N/A</v>
      </c>
      <c r="X37" s="702"/>
      <c r="Y37" s="3694"/>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692" t="s">
        <v>1696</v>
      </c>
      <c r="Q38" s="1351" t="str">
        <f t="shared" si="11"/>
        <v>物业管理</v>
      </c>
      <c r="R38" s="704" t="s">
        <v>18</v>
      </c>
      <c r="S38" s="705">
        <f t="shared" si="12"/>
        <v>100</v>
      </c>
      <c r="T38" s="704" t="s">
        <v>18</v>
      </c>
      <c r="U38" s="705">
        <f t="shared" si="13"/>
        <v>100</v>
      </c>
      <c r="V38" s="704" t="s">
        <v>18</v>
      </c>
      <c r="W38" s="705">
        <f t="shared" si="14"/>
        <v>100</v>
      </c>
      <c r="X38" s="1354"/>
      <c r="Y38" s="369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692"/>
      <c r="Q39" s="1351" t="str">
        <f t="shared" si="11"/>
        <v>市政基础设施</v>
      </c>
      <c r="R39" s="704" t="s">
        <v>18</v>
      </c>
      <c r="S39" s="705">
        <f t="shared" si="12"/>
        <v>100</v>
      </c>
      <c r="T39" s="704" t="s">
        <v>18</v>
      </c>
      <c r="U39" s="705">
        <f t="shared" si="13"/>
        <v>100</v>
      </c>
      <c r="V39" s="704" t="s">
        <v>18</v>
      </c>
      <c r="W39" s="705">
        <f t="shared" si="14"/>
        <v>100</v>
      </c>
      <c r="X39" s="1354"/>
      <c r="Y39" s="369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692"/>
      <c r="Q40" s="1351" t="str">
        <f t="shared" si="11"/>
        <v>房型</v>
      </c>
      <c r="R40" s="704" t="s">
        <v>18</v>
      </c>
      <c r="S40" s="705">
        <f t="shared" si="12"/>
        <v>100</v>
      </c>
      <c r="T40" s="704" t="s">
        <v>18</v>
      </c>
      <c r="U40" s="705">
        <f t="shared" si="13"/>
        <v>100</v>
      </c>
      <c r="V40" s="704" t="s">
        <v>18</v>
      </c>
      <c r="W40" s="705">
        <f t="shared" si="14"/>
        <v>100</v>
      </c>
      <c r="X40" s="1354"/>
      <c r="Y40" s="369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692"/>
      <c r="Q41" s="706" t="str">
        <f t="shared" si="11"/>
        <v>单套/主力户型建筑面积</v>
      </c>
      <c r="R41" s="707" t="s">
        <v>18</v>
      </c>
      <c r="S41" s="708">
        <f t="shared" si="12"/>
        <v>100</v>
      </c>
      <c r="T41" s="707" t="s">
        <v>18</v>
      </c>
      <c r="U41" s="708">
        <f t="shared" si="13"/>
        <v>100</v>
      </c>
      <c r="V41" s="707" t="s">
        <v>18</v>
      </c>
      <c r="W41" s="708">
        <f t="shared" si="14"/>
        <v>100</v>
      </c>
      <c r="X41" s="709"/>
      <c r="Y41" s="3694"/>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692"/>
      <c r="Q42" s="1351" t="str">
        <f t="shared" si="11"/>
        <v>内部装修</v>
      </c>
      <c r="R42" s="704" t="s">
        <v>18</v>
      </c>
      <c r="S42" s="705">
        <f t="shared" si="12"/>
        <v>100</v>
      </c>
      <c r="T42" s="704" t="s">
        <v>18</v>
      </c>
      <c r="U42" s="705">
        <f t="shared" si="13"/>
        <v>100</v>
      </c>
      <c r="V42" s="704" t="s">
        <v>18</v>
      </c>
      <c r="W42" s="705">
        <f t="shared" si="14"/>
        <v>100</v>
      </c>
      <c r="X42" s="1354"/>
      <c r="Y42" s="369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692"/>
      <c r="Q43" s="1351" t="str">
        <f t="shared" si="11"/>
        <v>内部装修维护情况</v>
      </c>
      <c r="R43" s="704" t="s">
        <v>18</v>
      </c>
      <c r="S43" s="705">
        <f t="shared" si="12"/>
        <v>100</v>
      </c>
      <c r="T43" s="704" t="s">
        <v>18</v>
      </c>
      <c r="U43" s="705">
        <f t="shared" si="13"/>
        <v>100</v>
      </c>
      <c r="V43" s="704" t="s">
        <v>18</v>
      </c>
      <c r="W43" s="705">
        <f t="shared" si="14"/>
        <v>100</v>
      </c>
      <c r="X43" s="1354"/>
      <c r="Y43" s="369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692"/>
      <c r="Q44" s="1342">
        <f t="shared" si="11"/>
        <v>111</v>
      </c>
      <c r="R44" s="700" t="s">
        <v>18</v>
      </c>
      <c r="S44" s="701">
        <f t="shared" si="12"/>
        <v>100</v>
      </c>
      <c r="T44" s="700" t="s">
        <v>18</v>
      </c>
      <c r="U44" s="701">
        <f t="shared" si="13"/>
        <v>100</v>
      </c>
      <c r="V44" s="700" t="s">
        <v>18</v>
      </c>
      <c r="W44" s="701">
        <f t="shared" si="14"/>
        <v>100</v>
      </c>
      <c r="X44" s="702"/>
      <c r="Y44" s="3694"/>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692"/>
      <c r="Q45" s="1351">
        <f t="shared" si="11"/>
        <v>111</v>
      </c>
      <c r="R45" s="704" t="s">
        <v>18</v>
      </c>
      <c r="S45" s="705">
        <f t="shared" si="12"/>
        <v>100</v>
      </c>
      <c r="T45" s="704" t="s">
        <v>18</v>
      </c>
      <c r="U45" s="705">
        <f t="shared" si="13"/>
        <v>100</v>
      </c>
      <c r="V45" s="704" t="s">
        <v>18</v>
      </c>
      <c r="W45" s="705">
        <f t="shared" si="14"/>
        <v>100</v>
      </c>
      <c r="X45" s="1354"/>
      <c r="Y45" s="369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693"/>
      <c r="Q46" s="1351">
        <f t="shared" si="11"/>
        <v>111</v>
      </c>
      <c r="R46" s="704" t="s">
        <v>17</v>
      </c>
      <c r="S46" s="705">
        <f t="shared" si="12"/>
        <v>100</v>
      </c>
      <c r="T46" s="704" t="s">
        <v>17</v>
      </c>
      <c r="U46" s="705">
        <f t="shared" si="13"/>
        <v>100</v>
      </c>
      <c r="V46" s="704" t="s">
        <v>17</v>
      </c>
      <c r="W46" s="705">
        <f t="shared" si="14"/>
        <v>100</v>
      </c>
      <c r="X46" s="1354"/>
      <c r="Y46" s="3695"/>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687" t="str">
        <f>A47</f>
        <v>成交单价（元/平方米）</v>
      </c>
      <c r="Q47" s="3687"/>
      <c r="R47" s="3688">
        <f>E47</f>
        <v>0</v>
      </c>
      <c r="S47" s="3688"/>
      <c r="T47" s="3688">
        <f>G47</f>
        <v>0</v>
      </c>
      <c r="U47" s="3688"/>
      <c r="V47" s="3688">
        <f>I47</f>
        <v>0</v>
      </c>
      <c r="W47" s="3688"/>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2"/>
      <c r="M48" s="2723"/>
      <c r="N48" s="2723"/>
      <c r="O48" s="2723"/>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2"/>
      <c r="M49" s="2723"/>
      <c r="N49" s="2723"/>
      <c r="O49" s="2723"/>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2025-5</v>
      </c>
      <c r="D58" s="1184">
        <f>EDATE(C58,-1)</f>
        <v>45748</v>
      </c>
      <c r="E58" s="1184">
        <f>EDATE(D58,-1)</f>
        <v>45717</v>
      </c>
      <c r="F58" s="1184">
        <f t="shared" ref="F58:O58" si="19">EDATE(E58,-1)</f>
        <v>45689</v>
      </c>
      <c r="G58" s="1184">
        <f t="shared" si="19"/>
        <v>45658</v>
      </c>
      <c r="H58" s="1184">
        <f t="shared" si="19"/>
        <v>45627</v>
      </c>
      <c r="I58" s="1184">
        <f t="shared" si="19"/>
        <v>45597</v>
      </c>
      <c r="J58" s="1184">
        <f t="shared" si="19"/>
        <v>45566</v>
      </c>
      <c r="K58" s="1184">
        <f t="shared" si="19"/>
        <v>45536</v>
      </c>
      <c r="L58" s="1184">
        <f t="shared" si="19"/>
        <v>45505</v>
      </c>
      <c r="M58" s="1184">
        <f t="shared" si="19"/>
        <v>45474</v>
      </c>
      <c r="N58" s="1184">
        <f t="shared" si="19"/>
        <v>45444</v>
      </c>
      <c r="O58" s="1184">
        <f t="shared" si="19"/>
        <v>45413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456.55</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702" t="s">
        <v>1770</v>
      </c>
      <c r="D4" s="3703"/>
      <c r="E4" s="3704" t="s">
        <v>1771</v>
      </c>
      <c r="F4" s="3705"/>
      <c r="G4" s="3702" t="s">
        <v>1772</v>
      </c>
      <c r="H4" s="3703"/>
      <c r="I4" s="3702" t="s">
        <v>1773</v>
      </c>
      <c r="J4" s="3703"/>
      <c r="K4" s="559" t="s">
        <v>1774</v>
      </c>
      <c r="L4" s="2713"/>
      <c r="M4" s="2714"/>
      <c r="N4" s="2714"/>
      <c r="O4" s="2714"/>
      <c r="P4" s="3736" t="s">
        <v>1775</v>
      </c>
      <c r="Q4" s="3737"/>
      <c r="R4" s="3740" t="s">
        <v>1771</v>
      </c>
      <c r="S4" s="3741"/>
      <c r="T4" s="3740" t="s">
        <v>1772</v>
      </c>
      <c r="U4" s="3741"/>
      <c r="V4" s="3742" t="s">
        <v>1773</v>
      </c>
      <c r="W4" s="3742"/>
      <c r="X4" s="1957"/>
      <c r="Y4" s="3740" t="s">
        <v>1775</v>
      </c>
      <c r="Z4" s="3741"/>
      <c r="AA4" s="3744" t="s">
        <v>1771</v>
      </c>
      <c r="AB4" s="3744" t="s">
        <v>1772</v>
      </c>
      <c r="AC4" s="3733" t="s">
        <v>1773</v>
      </c>
    </row>
    <row r="5" spans="1:29" ht="15">
      <c r="A5" s="358"/>
      <c r="B5" s="359"/>
      <c r="C5" s="3721" t="s">
        <v>1673</v>
      </c>
      <c r="D5" s="3722"/>
      <c r="E5" s="3728" t="s">
        <v>1674</v>
      </c>
      <c r="F5" s="3729"/>
      <c r="G5" s="3721" t="s">
        <v>1675</v>
      </c>
      <c r="H5" s="3722"/>
      <c r="I5" s="3721" t="s">
        <v>1676</v>
      </c>
      <c r="J5" s="3722"/>
      <c r="K5" s="559"/>
      <c r="L5" s="2713"/>
      <c r="M5" s="2714"/>
      <c r="N5" s="2714"/>
      <c r="O5" s="2714"/>
      <c r="P5" s="3738"/>
      <c r="Q5" s="3709"/>
      <c r="R5" s="3714"/>
      <c r="S5" s="3715"/>
      <c r="T5" s="3714"/>
      <c r="U5" s="3715"/>
      <c r="V5" s="3718"/>
      <c r="W5" s="3718"/>
      <c r="X5" s="1354"/>
      <c r="Y5" s="3714"/>
      <c r="Z5" s="3715"/>
      <c r="AA5" s="3700"/>
      <c r="AB5" s="3700"/>
      <c r="AC5" s="3734"/>
    </row>
    <row r="6" spans="1:29" ht="15.75" thickBot="1">
      <c r="A6" s="360"/>
      <c r="B6" s="361"/>
      <c r="C6" s="3719" t="s">
        <v>1677</v>
      </c>
      <c r="D6" s="3720"/>
      <c r="E6" s="3726" t="s">
        <v>1677</v>
      </c>
      <c r="F6" s="3727"/>
      <c r="G6" s="3719" t="s">
        <v>1677</v>
      </c>
      <c r="H6" s="3720"/>
      <c r="I6" s="3719" t="s">
        <v>1677</v>
      </c>
      <c r="J6" s="3720"/>
      <c r="K6" s="559" t="s">
        <v>1678</v>
      </c>
      <c r="L6" s="2713"/>
      <c r="M6" s="2714"/>
      <c r="N6" s="2714"/>
      <c r="O6" s="2714"/>
      <c r="P6" s="3739"/>
      <c r="Q6" s="3711"/>
      <c r="R6" s="3714"/>
      <c r="S6" s="3715"/>
      <c r="T6" s="3716"/>
      <c r="U6" s="3717"/>
      <c r="V6" s="3718"/>
      <c r="W6" s="3718"/>
      <c r="X6" s="1354"/>
      <c r="Y6" s="3716"/>
      <c r="Z6" s="3717"/>
      <c r="AA6" s="3701"/>
      <c r="AB6" s="3701"/>
      <c r="AC6" s="3735"/>
    </row>
    <row r="7" spans="1:29" s="108" customFormat="1" ht="15.75" thickBot="1">
      <c r="A7" s="362" t="s">
        <v>1679</v>
      </c>
      <c r="B7" s="363"/>
      <c r="C7" s="364">
        <f>'数据-取费表'!B2</f>
        <v>45793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3" t="s">
        <v>1680</v>
      </c>
      <c r="Q7" s="3725"/>
      <c r="R7" s="700" t="s">
        <v>14</v>
      </c>
      <c r="S7" s="701">
        <f t="shared" ref="S7:S15" si="0">F7</f>
        <v>0</v>
      </c>
      <c r="T7" s="700" t="s">
        <v>14</v>
      </c>
      <c r="U7" s="701">
        <f t="shared" ref="U7:U15" si="1">H7</f>
        <v>0</v>
      </c>
      <c r="V7" s="700" t="s">
        <v>14</v>
      </c>
      <c r="W7" s="701">
        <f t="shared" ref="W7:W15" si="2">J7</f>
        <v>0</v>
      </c>
      <c r="X7" s="702"/>
      <c r="Y7" s="3723" t="s">
        <v>1680</v>
      </c>
      <c r="Z7" s="3724"/>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3" t="s">
        <v>1683</v>
      </c>
      <c r="Q8" s="3724"/>
      <c r="R8" s="700" t="s">
        <v>14</v>
      </c>
      <c r="S8" s="701">
        <f t="shared" si="0"/>
        <v>100</v>
      </c>
      <c r="T8" s="700" t="s">
        <v>14</v>
      </c>
      <c r="U8" s="701">
        <f t="shared" si="1"/>
        <v>100</v>
      </c>
      <c r="V8" s="700" t="s">
        <v>14</v>
      </c>
      <c r="W8" s="701">
        <f t="shared" si="2"/>
        <v>100</v>
      </c>
      <c r="X8" s="702"/>
      <c r="Y8" s="3723" t="s">
        <v>1683</v>
      </c>
      <c r="Z8" s="3724"/>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8"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1958">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8"/>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8"/>
      <c r="Q11" s="1342" t="str">
        <f t="shared" si="6"/>
        <v>容积率</v>
      </c>
      <c r="R11" s="700" t="s">
        <v>14</v>
      </c>
      <c r="S11" s="701">
        <f t="shared" si="0"/>
        <v>100</v>
      </c>
      <c r="T11" s="700" t="s">
        <v>14</v>
      </c>
      <c r="U11" s="701">
        <f t="shared" si="1"/>
        <v>100</v>
      </c>
      <c r="V11" s="700" t="s">
        <v>14</v>
      </c>
      <c r="W11" s="701">
        <f t="shared" si="2"/>
        <v>100</v>
      </c>
      <c r="X11" s="702"/>
      <c r="Y11" s="356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98"/>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98"/>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0"/>
      <c r="M14" s="2714"/>
      <c r="N14" s="2714"/>
      <c r="O14" s="2714"/>
      <c r="P14" s="3698"/>
      <c r="Q14" s="1342">
        <f t="shared" si="6"/>
        <v>111</v>
      </c>
      <c r="R14" s="700" t="s">
        <v>14</v>
      </c>
      <c r="S14" s="701">
        <f t="shared" si="0"/>
        <v>100</v>
      </c>
      <c r="T14" s="700" t="s">
        <v>14</v>
      </c>
      <c r="U14" s="701">
        <f t="shared" si="1"/>
        <v>100</v>
      </c>
      <c r="V14" s="700" t="s">
        <v>14</v>
      </c>
      <c r="W14" s="701">
        <f t="shared" si="2"/>
        <v>100</v>
      </c>
      <c r="X14" s="702"/>
      <c r="Y14" s="3562"/>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96" t="s">
        <v>1691</v>
      </c>
      <c r="Q15" s="1351" t="str">
        <f t="shared" si="6"/>
        <v>办公集聚程度</v>
      </c>
      <c r="R15" s="704" t="s">
        <v>14</v>
      </c>
      <c r="S15" s="705">
        <f t="shared" si="0"/>
        <v>100</v>
      </c>
      <c r="T15" s="704" t="s">
        <v>14</v>
      </c>
      <c r="U15" s="705">
        <f t="shared" si="1"/>
        <v>100</v>
      </c>
      <c r="V15" s="704" t="s">
        <v>14</v>
      </c>
      <c r="W15" s="705">
        <f t="shared" si="2"/>
        <v>100</v>
      </c>
      <c r="X15" s="1354"/>
      <c r="Y15" s="3689"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0"/>
      <c r="M16" s="2714"/>
      <c r="N16" s="2714"/>
      <c r="O16" s="2714"/>
      <c r="P16" s="3697"/>
      <c r="Q16" s="1351"/>
      <c r="R16" s="704"/>
      <c r="S16" s="705"/>
      <c r="T16" s="704"/>
      <c r="U16" s="705"/>
      <c r="V16" s="704"/>
      <c r="W16" s="705"/>
      <c r="X16" s="1354"/>
      <c r="Y16" s="3690"/>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97"/>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0"/>
      <c r="M18" s="2714"/>
      <c r="N18" s="2714"/>
      <c r="O18" s="2714"/>
      <c r="P18" s="3697"/>
      <c r="Q18" s="1351"/>
      <c r="R18" s="704"/>
      <c r="S18" s="705"/>
      <c r="T18" s="704"/>
      <c r="U18" s="705"/>
      <c r="V18" s="704"/>
      <c r="W18" s="705"/>
      <c r="X18" s="1354"/>
      <c r="Y18" s="3690"/>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97"/>
      <c r="Q19" s="1351" t="str">
        <f>B19</f>
        <v>公共配套设施</v>
      </c>
      <c r="R19" s="704" t="s">
        <v>14</v>
      </c>
      <c r="S19" s="705">
        <f>F19</f>
        <v>100</v>
      </c>
      <c r="T19" s="704" t="s">
        <v>14</v>
      </c>
      <c r="U19" s="705">
        <f>H19</f>
        <v>100</v>
      </c>
      <c r="V19" s="704" t="s">
        <v>14</v>
      </c>
      <c r="W19" s="705">
        <f>J19</f>
        <v>100</v>
      </c>
      <c r="X19" s="1354"/>
      <c r="Y19" s="3690"/>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0"/>
      <c r="M20" s="2714"/>
      <c r="N20" s="2714"/>
      <c r="O20" s="2714"/>
      <c r="P20" s="3697"/>
      <c r="Q20" s="1351"/>
      <c r="R20" s="704"/>
      <c r="S20" s="705"/>
      <c r="T20" s="704"/>
      <c r="U20" s="705"/>
      <c r="V20" s="704"/>
      <c r="W20" s="705"/>
      <c r="X20" s="1354"/>
      <c r="Y20" s="3690"/>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97"/>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0"/>
      <c r="M22" s="2714"/>
      <c r="N22" s="2714"/>
      <c r="O22" s="2714"/>
      <c r="P22" s="3697"/>
      <c r="Q22" s="1351"/>
      <c r="R22" s="704"/>
      <c r="S22" s="705"/>
      <c r="T22" s="704"/>
      <c r="U22" s="705"/>
      <c r="V22" s="704"/>
      <c r="W22" s="705"/>
      <c r="X22" s="1354"/>
      <c r="Y22" s="3690"/>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97"/>
      <c r="Q23" s="1351" t="str">
        <f>B23</f>
        <v>环境质量</v>
      </c>
      <c r="R23" s="704" t="s">
        <v>14</v>
      </c>
      <c r="S23" s="705">
        <f>F23</f>
        <v>100</v>
      </c>
      <c r="T23" s="704" t="s">
        <v>14</v>
      </c>
      <c r="U23" s="705">
        <f>H23</f>
        <v>100</v>
      </c>
      <c r="V23" s="704" t="s">
        <v>14</v>
      </c>
      <c r="W23" s="705">
        <f>J23</f>
        <v>100</v>
      </c>
      <c r="X23" s="1354"/>
      <c r="Y23" s="3690"/>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0"/>
      <c r="M24" s="2714"/>
      <c r="N24" s="2714"/>
      <c r="O24" s="2714"/>
      <c r="P24" s="3697"/>
      <c r="Q24" s="1351"/>
      <c r="R24" s="704"/>
      <c r="S24" s="705"/>
      <c r="T24" s="704"/>
      <c r="U24" s="705"/>
      <c r="V24" s="704"/>
      <c r="W24" s="705"/>
      <c r="X24" s="1354"/>
      <c r="Y24" s="3690"/>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697"/>
      <c r="Q25" s="1351" t="str">
        <f>B25</f>
        <v>毗邻道路的类型与等级</v>
      </c>
      <c r="R25" s="704" t="s">
        <v>14</v>
      </c>
      <c r="S25" s="705">
        <f>F25</f>
        <v>100</v>
      </c>
      <c r="T25" s="704" t="s">
        <v>14</v>
      </c>
      <c r="U25" s="705">
        <f>H25</f>
        <v>100</v>
      </c>
      <c r="V25" s="704" t="s">
        <v>14</v>
      </c>
      <c r="W25" s="705">
        <f>J25</f>
        <v>100</v>
      </c>
      <c r="X25" s="1354"/>
      <c r="Y25" s="3690"/>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0"/>
      <c r="M26" s="2714"/>
      <c r="N26" s="2714"/>
      <c r="O26" s="2714"/>
      <c r="P26" s="3697"/>
      <c r="Q26" s="1351"/>
      <c r="R26" s="704"/>
      <c r="S26" s="705"/>
      <c r="T26" s="704"/>
      <c r="U26" s="705"/>
      <c r="V26" s="704"/>
      <c r="W26" s="705"/>
      <c r="X26" s="1354"/>
      <c r="Y26" s="3690"/>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697"/>
      <c r="Q27" s="1351" t="str">
        <f t="shared" ref="Q27:Q47" si="11">B27</f>
        <v>楼层</v>
      </c>
      <c r="R27" s="704" t="s">
        <v>14</v>
      </c>
      <c r="S27" s="705">
        <f>F27</f>
        <v>100</v>
      </c>
      <c r="T27" s="704" t="s">
        <v>14</v>
      </c>
      <c r="U27" s="705">
        <f>H27</f>
        <v>100</v>
      </c>
      <c r="V27" s="704" t="s">
        <v>14</v>
      </c>
      <c r="W27" s="705">
        <f>J27</f>
        <v>100</v>
      </c>
      <c r="X27" s="1354"/>
      <c r="Y27" s="3690"/>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697"/>
      <c r="Q28" s="1342" t="str">
        <f t="shared" si="11"/>
        <v>朝向</v>
      </c>
      <c r="R28" s="700" t="s">
        <v>14</v>
      </c>
      <c r="S28" s="701">
        <f>F28</f>
        <v>100</v>
      </c>
      <c r="T28" s="700" t="s">
        <v>14</v>
      </c>
      <c r="U28" s="701">
        <f>H28</f>
        <v>100</v>
      </c>
      <c r="V28" s="700" t="s">
        <v>14</v>
      </c>
      <c r="W28" s="701">
        <f>J28</f>
        <v>100</v>
      </c>
      <c r="X28" s="702"/>
      <c r="Y28" s="369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697"/>
      <c r="Q29" s="1351">
        <f t="shared" si="11"/>
        <v>111</v>
      </c>
      <c r="R29" s="704" t="s">
        <v>14</v>
      </c>
      <c r="S29" s="705">
        <f t="shared" ref="S29:S47" si="12">F29</f>
        <v>100</v>
      </c>
      <c r="T29" s="704" t="s">
        <v>14</v>
      </c>
      <c r="U29" s="705">
        <f t="shared" ref="U29:U47" si="13">H29</f>
        <v>100</v>
      </c>
      <c r="V29" s="704" t="s">
        <v>14</v>
      </c>
      <c r="W29" s="705">
        <f t="shared" ref="W29:W47" si="14">J29</f>
        <v>100</v>
      </c>
      <c r="X29" s="1354"/>
      <c r="Y29" s="369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697"/>
      <c r="Q30" s="1351">
        <f t="shared" si="11"/>
        <v>111</v>
      </c>
      <c r="R30" s="704" t="s">
        <v>14</v>
      </c>
      <c r="S30" s="705">
        <f t="shared" si="12"/>
        <v>100</v>
      </c>
      <c r="T30" s="704" t="s">
        <v>14</v>
      </c>
      <c r="U30" s="705">
        <f t="shared" si="13"/>
        <v>100</v>
      </c>
      <c r="V30" s="704" t="s">
        <v>14</v>
      </c>
      <c r="W30" s="705">
        <f t="shared" si="14"/>
        <v>100</v>
      </c>
      <c r="X30" s="1354"/>
      <c r="Y30" s="369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697"/>
      <c r="Q31" s="1351">
        <f t="shared" si="11"/>
        <v>111</v>
      </c>
      <c r="R31" s="704" t="s">
        <v>14</v>
      </c>
      <c r="S31" s="705">
        <f t="shared" si="12"/>
        <v>100</v>
      </c>
      <c r="T31" s="704" t="s">
        <v>14</v>
      </c>
      <c r="U31" s="705">
        <f t="shared" si="13"/>
        <v>100</v>
      </c>
      <c r="V31" s="704" t="s">
        <v>14</v>
      </c>
      <c r="W31" s="705">
        <f t="shared" si="14"/>
        <v>100</v>
      </c>
      <c r="X31" s="1354"/>
      <c r="Y31" s="3690"/>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697"/>
      <c r="Q32" s="1351">
        <f t="shared" si="11"/>
        <v>111</v>
      </c>
      <c r="R32" s="704" t="s">
        <v>14</v>
      </c>
      <c r="S32" s="705">
        <f t="shared" si="12"/>
        <v>100</v>
      </c>
      <c r="T32" s="704" t="s">
        <v>14</v>
      </c>
      <c r="U32" s="705">
        <f t="shared" si="13"/>
        <v>100</v>
      </c>
      <c r="V32" s="704" t="s">
        <v>14</v>
      </c>
      <c r="W32" s="705">
        <f t="shared" si="14"/>
        <v>100</v>
      </c>
      <c r="X32" s="1354"/>
      <c r="Y32" s="3690"/>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691" t="s">
        <v>1696</v>
      </c>
      <c r="Q33" s="1351" t="str">
        <f t="shared" si="11"/>
        <v>建筑类型</v>
      </c>
      <c r="R33" s="704" t="s">
        <v>14</v>
      </c>
      <c r="S33" s="705">
        <f t="shared" si="12"/>
        <v>100</v>
      </c>
      <c r="T33" s="704" t="s">
        <v>14</v>
      </c>
      <c r="U33" s="705">
        <f t="shared" si="13"/>
        <v>100</v>
      </c>
      <c r="V33" s="704" t="s">
        <v>14</v>
      </c>
      <c r="W33" s="705">
        <f t="shared" si="14"/>
        <v>100</v>
      </c>
      <c r="X33" s="1354"/>
      <c r="Y33" s="3694"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92"/>
      <c r="Q34" s="706" t="str">
        <f t="shared" si="11"/>
        <v>项目建筑规模</v>
      </c>
      <c r="R34" s="707" t="s">
        <v>14</v>
      </c>
      <c r="S34" s="708" t="e">
        <f t="shared" si="12"/>
        <v>#N/A</v>
      </c>
      <c r="T34" s="707" t="s">
        <v>14</v>
      </c>
      <c r="U34" s="708" t="e">
        <f t="shared" si="13"/>
        <v>#N/A</v>
      </c>
      <c r="V34" s="707" t="s">
        <v>14</v>
      </c>
      <c r="W34" s="708" t="e">
        <f t="shared" si="14"/>
        <v>#N/A</v>
      </c>
      <c r="X34" s="709"/>
      <c r="Y34" s="3694"/>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2"/>
      <c r="Q35" s="1351" t="str">
        <f t="shared" si="11"/>
        <v>建筑结构</v>
      </c>
      <c r="R35" s="704" t="s">
        <v>14</v>
      </c>
      <c r="S35" s="705">
        <f t="shared" si="12"/>
        <v>100</v>
      </c>
      <c r="T35" s="704" t="s">
        <v>14</v>
      </c>
      <c r="U35" s="705">
        <f t="shared" si="13"/>
        <v>100</v>
      </c>
      <c r="V35" s="704" t="s">
        <v>14</v>
      </c>
      <c r="W35" s="705">
        <f t="shared" si="14"/>
        <v>100</v>
      </c>
      <c r="X35" s="1354"/>
      <c r="Y35" s="3694"/>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2"/>
      <c r="Q36" s="1351" t="str">
        <f t="shared" si="11"/>
        <v>公共部分装修</v>
      </c>
      <c r="R36" s="704" t="s">
        <v>14</v>
      </c>
      <c r="S36" s="705">
        <f t="shared" si="12"/>
        <v>100</v>
      </c>
      <c r="T36" s="704" t="s">
        <v>14</v>
      </c>
      <c r="U36" s="705">
        <f t="shared" si="13"/>
        <v>100</v>
      </c>
      <c r="V36" s="704" t="s">
        <v>14</v>
      </c>
      <c r="W36" s="705">
        <f t="shared" si="14"/>
        <v>100</v>
      </c>
      <c r="X36" s="1354"/>
      <c r="Y36" s="3694"/>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92"/>
      <c r="Q37" s="1351" t="str">
        <f t="shared" si="11"/>
        <v>成新度</v>
      </c>
      <c r="R37" s="704" t="s">
        <v>14</v>
      </c>
      <c r="S37" s="705" t="e">
        <f t="shared" si="12"/>
        <v>#N/A</v>
      </c>
      <c r="T37" s="704" t="s">
        <v>14</v>
      </c>
      <c r="U37" s="705" t="e">
        <f t="shared" si="13"/>
        <v>#N/A</v>
      </c>
      <c r="V37" s="704" t="s">
        <v>14</v>
      </c>
      <c r="W37" s="705" t="e">
        <f t="shared" si="14"/>
        <v>#N/A</v>
      </c>
      <c r="X37" s="1354"/>
      <c r="Y37" s="3694"/>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2"/>
      <c r="Q38" s="1342" t="str">
        <f t="shared" si="11"/>
        <v>写字楼等级</v>
      </c>
      <c r="R38" s="700" t="s">
        <v>14</v>
      </c>
      <c r="S38" s="701">
        <f t="shared" si="12"/>
        <v>100</v>
      </c>
      <c r="T38" s="700" t="s">
        <v>14</v>
      </c>
      <c r="U38" s="701">
        <f t="shared" si="13"/>
        <v>100</v>
      </c>
      <c r="V38" s="700" t="s">
        <v>14</v>
      </c>
      <c r="W38" s="701">
        <f t="shared" si="14"/>
        <v>100</v>
      </c>
      <c r="X38" s="702"/>
      <c r="Y38" s="3694"/>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2" t="s">
        <v>1696</v>
      </c>
      <c r="Q39" s="1351" t="str">
        <f t="shared" si="11"/>
        <v>物业管理</v>
      </c>
      <c r="R39" s="704" t="s">
        <v>14</v>
      </c>
      <c r="S39" s="705">
        <f t="shared" si="12"/>
        <v>100</v>
      </c>
      <c r="T39" s="704" t="s">
        <v>14</v>
      </c>
      <c r="U39" s="705">
        <f t="shared" si="13"/>
        <v>100</v>
      </c>
      <c r="V39" s="704" t="s">
        <v>14</v>
      </c>
      <c r="W39" s="705">
        <f t="shared" si="14"/>
        <v>100</v>
      </c>
      <c r="X39" s="1354"/>
      <c r="Y39" s="3694"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2"/>
      <c r="Q40" s="1351" t="str">
        <f t="shared" si="11"/>
        <v>市政基础设施</v>
      </c>
      <c r="R40" s="704" t="s">
        <v>14</v>
      </c>
      <c r="S40" s="705">
        <f t="shared" si="12"/>
        <v>100</v>
      </c>
      <c r="T40" s="704" t="s">
        <v>14</v>
      </c>
      <c r="U40" s="705">
        <f t="shared" si="13"/>
        <v>100</v>
      </c>
      <c r="V40" s="704" t="s">
        <v>14</v>
      </c>
      <c r="W40" s="705">
        <f t="shared" si="14"/>
        <v>100</v>
      </c>
      <c r="X40" s="1354"/>
      <c r="Y40" s="3694"/>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2"/>
      <c r="Q41" s="1351" t="str">
        <f t="shared" si="11"/>
        <v>层高</v>
      </c>
      <c r="R41" s="704" t="s">
        <v>14</v>
      </c>
      <c r="S41" s="705">
        <f t="shared" si="12"/>
        <v>100</v>
      </c>
      <c r="T41" s="704" t="s">
        <v>14</v>
      </c>
      <c r="U41" s="705">
        <f t="shared" si="13"/>
        <v>100</v>
      </c>
      <c r="V41" s="704" t="s">
        <v>14</v>
      </c>
      <c r="W41" s="705">
        <f t="shared" si="14"/>
        <v>100</v>
      </c>
      <c r="X41" s="1354"/>
      <c r="Y41" s="3694"/>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2"/>
      <c r="Q42" s="706" t="str">
        <f t="shared" si="11"/>
        <v>单套建筑面积</v>
      </c>
      <c r="R42" s="707" t="s">
        <v>14</v>
      </c>
      <c r="S42" s="708">
        <f t="shared" si="12"/>
        <v>100</v>
      </c>
      <c r="T42" s="707" t="s">
        <v>14</v>
      </c>
      <c r="U42" s="708">
        <f t="shared" si="13"/>
        <v>100</v>
      </c>
      <c r="V42" s="707" t="s">
        <v>14</v>
      </c>
      <c r="W42" s="708">
        <f t="shared" si="14"/>
        <v>100</v>
      </c>
      <c r="X42" s="709"/>
      <c r="Y42" s="3694"/>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92"/>
      <c r="Q43" s="1351" t="str">
        <f t="shared" si="11"/>
        <v>内部装修</v>
      </c>
      <c r="R43" s="704" t="s">
        <v>14</v>
      </c>
      <c r="S43" s="705">
        <f t="shared" si="12"/>
        <v>100</v>
      </c>
      <c r="T43" s="704" t="s">
        <v>14</v>
      </c>
      <c r="U43" s="705">
        <f t="shared" si="13"/>
        <v>100</v>
      </c>
      <c r="V43" s="704" t="s">
        <v>14</v>
      </c>
      <c r="W43" s="705">
        <f t="shared" si="14"/>
        <v>100</v>
      </c>
      <c r="X43" s="1354"/>
      <c r="Y43" s="3694"/>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692"/>
      <c r="Q44" s="1351" t="str">
        <f t="shared" si="11"/>
        <v>内部装修维护情况</v>
      </c>
      <c r="R44" s="704" t="s">
        <v>14</v>
      </c>
      <c r="S44" s="705">
        <f t="shared" si="12"/>
        <v>100</v>
      </c>
      <c r="T44" s="704" t="s">
        <v>14</v>
      </c>
      <c r="U44" s="705">
        <f t="shared" si="13"/>
        <v>100</v>
      </c>
      <c r="V44" s="704" t="s">
        <v>14</v>
      </c>
      <c r="W44" s="705">
        <f t="shared" si="14"/>
        <v>100</v>
      </c>
      <c r="X44" s="1354"/>
      <c r="Y44" s="3694"/>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2"/>
      <c r="Q45" s="1342">
        <f t="shared" si="11"/>
        <v>111</v>
      </c>
      <c r="R45" s="700" t="s">
        <v>14</v>
      </c>
      <c r="S45" s="701">
        <f t="shared" si="12"/>
        <v>100</v>
      </c>
      <c r="T45" s="700" t="s">
        <v>14</v>
      </c>
      <c r="U45" s="701">
        <f t="shared" si="13"/>
        <v>100</v>
      </c>
      <c r="V45" s="700" t="s">
        <v>14</v>
      </c>
      <c r="W45" s="701">
        <f t="shared" si="14"/>
        <v>100</v>
      </c>
      <c r="X45" s="702"/>
      <c r="Y45" s="3694"/>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2"/>
      <c r="Q46" s="1351">
        <f t="shared" si="11"/>
        <v>111</v>
      </c>
      <c r="R46" s="704" t="s">
        <v>14</v>
      </c>
      <c r="S46" s="705">
        <f t="shared" si="12"/>
        <v>100</v>
      </c>
      <c r="T46" s="704" t="s">
        <v>14</v>
      </c>
      <c r="U46" s="705">
        <f t="shared" si="13"/>
        <v>100</v>
      </c>
      <c r="V46" s="704" t="s">
        <v>14</v>
      </c>
      <c r="W46" s="705">
        <f t="shared" si="14"/>
        <v>100</v>
      </c>
      <c r="X46" s="1354"/>
      <c r="Y46" s="369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3"/>
      <c r="Q47" s="1351">
        <f t="shared" si="11"/>
        <v>111</v>
      </c>
      <c r="R47" s="704" t="s">
        <v>14</v>
      </c>
      <c r="S47" s="705">
        <f t="shared" si="12"/>
        <v>100</v>
      </c>
      <c r="T47" s="704" t="s">
        <v>14</v>
      </c>
      <c r="U47" s="705">
        <f t="shared" si="13"/>
        <v>100</v>
      </c>
      <c r="V47" s="704" t="s">
        <v>14</v>
      </c>
      <c r="W47" s="705">
        <f t="shared" si="14"/>
        <v>100</v>
      </c>
      <c r="X47" s="1354"/>
      <c r="Y47" s="3695"/>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2"/>
      <c r="M48" s="2714"/>
      <c r="N48" s="2714"/>
      <c r="O48" s="2714"/>
      <c r="P48" s="3698" t="str">
        <f>A48</f>
        <v>成交单价（元/平方米）</v>
      </c>
      <c r="Q48" s="3687"/>
      <c r="R48" s="3688">
        <f>E48</f>
        <v>0</v>
      </c>
      <c r="S48" s="3688"/>
      <c r="T48" s="3688">
        <f>G48</f>
        <v>0</v>
      </c>
      <c r="U48" s="3688"/>
      <c r="V48" s="3688">
        <f>I48</f>
        <v>0</v>
      </c>
      <c r="W48" s="3688"/>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2"/>
      <c r="M49" s="2714"/>
      <c r="N49" s="2714"/>
      <c r="O49" s="2714"/>
      <c r="P49" s="3698" t="str">
        <f>A49</f>
        <v>比较价值（元/平方米）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2"/>
      <c r="M50" s="2714"/>
      <c r="N50" s="2714"/>
      <c r="O50" s="2714"/>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2025-5</v>
      </c>
      <c r="D59" s="1184">
        <f>EDATE(C59,-1)</f>
        <v>45748</v>
      </c>
      <c r="E59" s="1184">
        <f>EDATE(D59,-1)</f>
        <v>45717</v>
      </c>
      <c r="F59" s="1184">
        <f t="shared" ref="F59:O59" si="16">EDATE(E59,-1)</f>
        <v>45689</v>
      </c>
      <c r="G59" s="1184">
        <f t="shared" si="16"/>
        <v>45658</v>
      </c>
      <c r="H59" s="1184">
        <f t="shared" si="16"/>
        <v>45627</v>
      </c>
      <c r="I59" s="1184">
        <f t="shared" si="16"/>
        <v>45597</v>
      </c>
      <c r="J59" s="1184">
        <f t="shared" si="16"/>
        <v>45566</v>
      </c>
      <c r="K59" s="1184">
        <f t="shared" si="16"/>
        <v>45536</v>
      </c>
      <c r="L59" s="1184">
        <f t="shared" si="16"/>
        <v>45505</v>
      </c>
      <c r="M59" s="1184">
        <f t="shared" si="16"/>
        <v>45474</v>
      </c>
      <c r="N59" s="1184">
        <f t="shared" si="16"/>
        <v>45444</v>
      </c>
      <c r="O59" s="1184">
        <f t="shared" si="16"/>
        <v>45413</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受贵公司委托，我公司对北京市大兴区黄村镇兴业大街76号楼1至2层1、2号商业用房房地产抵押价值进行了预评估。</v>
      </c>
    </row>
    <row r="5" spans="1:1" ht="18.75">
      <c r="A5" s="1480" t="s">
        <v>899</v>
      </c>
    </row>
    <row r="6" spans="1:1" ht="18.75">
      <c r="A6" s="1481" t="s">
        <v>900</v>
      </c>
    </row>
    <row r="7" spans="1:1" ht="18">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估价对象为北京市大兴区黄村镇兴业大街76号楼1至2层1、2号商业用房房地产，为所有。根据《国有土地使用证》[]，估价对象（分摊）出让国有建设用地使用权面积为0平方米，建筑面积为456.55平方米。</v>
      </c>
    </row>
    <row r="8" spans="1:1" ht="57.75">
      <c r="A8" s="1482" t="s">
        <v>901</v>
      </c>
    </row>
    <row r="9" spans="1:1" ht="18.75">
      <c r="A9" s="1481" t="s">
        <v>902</v>
      </c>
    </row>
    <row r="10" spans="1:1" ht="18">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兴业大街76号楼1至2层1、2号商业用房房地产,属开发建设的商业项目，该项目尚在开发建设中。根据《国有土地使用证》[]，估价对象（分摊）出让国有建设用地使用权面积为0平方米，规划建筑面积为456.55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大兴区黄村镇兴业大街76号楼1至2层1、2号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2025年5月16日（评估专业人员实地查勘之日）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456.55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02" t="s">
        <v>1770</v>
      </c>
      <c r="D4" s="3703"/>
      <c r="E4" s="3704" t="s">
        <v>1771</v>
      </c>
      <c r="F4" s="3705"/>
      <c r="G4" s="3702" t="s">
        <v>1772</v>
      </c>
      <c r="H4" s="3703"/>
      <c r="I4" s="3702" t="s">
        <v>1773</v>
      </c>
      <c r="J4" s="3703"/>
      <c r="K4" s="559" t="s">
        <v>1774</v>
      </c>
      <c r="L4" s="912"/>
      <c r="M4" s="913"/>
      <c r="N4" s="913"/>
      <c r="O4" s="913"/>
      <c r="P4" s="3706" t="s">
        <v>1775</v>
      </c>
      <c r="Q4" s="3707"/>
      <c r="R4" s="3712" t="s">
        <v>1771</v>
      </c>
      <c r="S4" s="3713"/>
      <c r="T4" s="3712" t="s">
        <v>1772</v>
      </c>
      <c r="U4" s="3713"/>
      <c r="V4" s="3718" t="s">
        <v>1773</v>
      </c>
      <c r="W4" s="3718"/>
      <c r="X4" s="1354"/>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912"/>
      <c r="M5" s="913"/>
      <c r="N5" s="913"/>
      <c r="O5" s="913"/>
      <c r="P5" s="3708"/>
      <c r="Q5" s="3709"/>
      <c r="R5" s="3714"/>
      <c r="S5" s="3715"/>
      <c r="T5" s="3714"/>
      <c r="U5" s="3715"/>
      <c r="V5" s="3718"/>
      <c r="W5" s="3718"/>
      <c r="X5" s="1354"/>
      <c r="Y5" s="3714"/>
      <c r="Z5" s="3715"/>
      <c r="AA5" s="3700"/>
      <c r="AB5" s="3700"/>
      <c r="AC5" s="3700"/>
    </row>
    <row r="6" spans="1:29" ht="15.75" thickBot="1">
      <c r="A6" s="360"/>
      <c r="B6" s="361"/>
      <c r="C6" s="3719" t="s">
        <v>1677</v>
      </c>
      <c r="D6" s="3720"/>
      <c r="E6" s="3726" t="s">
        <v>1677</v>
      </c>
      <c r="F6" s="3727"/>
      <c r="G6" s="3719" t="s">
        <v>1677</v>
      </c>
      <c r="H6" s="3720"/>
      <c r="I6" s="3719" t="s">
        <v>1677</v>
      </c>
      <c r="J6" s="3720"/>
      <c r="K6" s="559" t="s">
        <v>1678</v>
      </c>
      <c r="L6" s="912"/>
      <c r="M6" s="913"/>
      <c r="N6" s="913"/>
      <c r="O6" s="913"/>
      <c r="P6" s="3710"/>
      <c r="Q6" s="3711"/>
      <c r="R6" s="3714"/>
      <c r="S6" s="3715"/>
      <c r="T6" s="3716"/>
      <c r="U6" s="3717"/>
      <c r="V6" s="3718"/>
      <c r="W6" s="3718"/>
      <c r="X6" s="1354"/>
      <c r="Y6" s="3716"/>
      <c r="Z6" s="3717"/>
      <c r="AA6" s="3701"/>
      <c r="AB6" s="3701"/>
      <c r="AC6" s="3701"/>
    </row>
    <row r="7" spans="1:29" s="108" customFormat="1" ht="15.75" thickBot="1">
      <c r="A7" s="362" t="s">
        <v>1679</v>
      </c>
      <c r="B7" s="363"/>
      <c r="C7" s="364">
        <f>'数据-取费表'!B2</f>
        <v>45793</v>
      </c>
      <c r="D7" s="365">
        <v>100</v>
      </c>
      <c r="E7" s="366"/>
      <c r="F7" s="367">
        <f>SUMIF(52:52,YEAR(E7)&amp;"-"&amp;MONTH(E7),53:53)</f>
        <v>0</v>
      </c>
      <c r="G7" s="366"/>
      <c r="H7" s="365">
        <f>SUMIF(52:52,YEAR(G7)&amp;"-"&amp;MONTH(G7),53:53)</f>
        <v>0</v>
      </c>
      <c r="I7" s="366"/>
      <c r="J7" s="365">
        <f>SUMIF(52:52,YEAR(I7)&amp;"-"&amp;MONTH(I7),53:53)</f>
        <v>0</v>
      </c>
      <c r="K7" s="560"/>
      <c r="L7" s="914"/>
      <c r="M7" s="915"/>
      <c r="N7" s="915"/>
      <c r="O7" s="915"/>
      <c r="P7" s="3723" t="s">
        <v>1680</v>
      </c>
      <c r="Q7" s="3725"/>
      <c r="R7" s="700" t="s">
        <v>14</v>
      </c>
      <c r="S7" s="701">
        <f t="shared" ref="S7:S15" si="0">F7</f>
        <v>0</v>
      </c>
      <c r="T7" s="700" t="s">
        <v>14</v>
      </c>
      <c r="U7" s="701">
        <f t="shared" ref="U7:U15" si="1">H7</f>
        <v>0</v>
      </c>
      <c r="V7" s="700" t="s">
        <v>14</v>
      </c>
      <c r="W7" s="701">
        <f t="shared" ref="W7:W15" si="2">J7</f>
        <v>0</v>
      </c>
      <c r="X7" s="702"/>
      <c r="Y7" s="3723" t="s">
        <v>1680</v>
      </c>
      <c r="Z7" s="372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23" t="s">
        <v>1683</v>
      </c>
      <c r="Q8" s="3724"/>
      <c r="R8" s="700" t="s">
        <v>14</v>
      </c>
      <c r="S8" s="701">
        <f t="shared" si="0"/>
        <v>100</v>
      </c>
      <c r="T8" s="700" t="s">
        <v>14</v>
      </c>
      <c r="U8" s="701">
        <f t="shared" si="1"/>
        <v>100</v>
      </c>
      <c r="V8" s="700" t="s">
        <v>14</v>
      </c>
      <c r="W8" s="701">
        <f t="shared" si="2"/>
        <v>100</v>
      </c>
      <c r="X8" s="702"/>
      <c r="Y8" s="3723" t="s">
        <v>1683</v>
      </c>
      <c r="Z8" s="372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87"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87"/>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87"/>
      <c r="Q11" s="1342" t="str">
        <f t="shared" si="6"/>
        <v>容积率</v>
      </c>
      <c r="R11" s="700" t="s">
        <v>14</v>
      </c>
      <c r="S11" s="701">
        <f t="shared" si="0"/>
        <v>100</v>
      </c>
      <c r="T11" s="700" t="s">
        <v>14</v>
      </c>
      <c r="U11" s="701">
        <f t="shared" si="1"/>
        <v>100</v>
      </c>
      <c r="V11" s="700" t="s">
        <v>14</v>
      </c>
      <c r="W11" s="701">
        <f t="shared" si="2"/>
        <v>100</v>
      </c>
      <c r="X11" s="702"/>
      <c r="Y11" s="356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87"/>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87"/>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87"/>
      <c r="Q14" s="1342">
        <f t="shared" si="6"/>
        <v>111</v>
      </c>
      <c r="R14" s="700" t="s">
        <v>14</v>
      </c>
      <c r="S14" s="701">
        <f t="shared" si="0"/>
        <v>100</v>
      </c>
      <c r="T14" s="700" t="s">
        <v>14</v>
      </c>
      <c r="U14" s="701">
        <f t="shared" si="1"/>
        <v>100</v>
      </c>
      <c r="V14" s="700" t="s">
        <v>14</v>
      </c>
      <c r="W14" s="701">
        <f t="shared" si="2"/>
        <v>100</v>
      </c>
      <c r="X14" s="702"/>
      <c r="Y14" s="3562"/>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9" t="s">
        <v>1691</v>
      </c>
      <c r="Q15" s="1351" t="str">
        <f t="shared" si="6"/>
        <v>产业集聚程度</v>
      </c>
      <c r="R15" s="704" t="s">
        <v>14</v>
      </c>
      <c r="S15" s="705">
        <f t="shared" si="0"/>
        <v>100</v>
      </c>
      <c r="T15" s="704" t="s">
        <v>14</v>
      </c>
      <c r="U15" s="705">
        <f t="shared" si="1"/>
        <v>100</v>
      </c>
      <c r="V15" s="704" t="s">
        <v>14</v>
      </c>
      <c r="W15" s="705">
        <f t="shared" si="2"/>
        <v>100</v>
      </c>
      <c r="X15" s="1354"/>
      <c r="Y15" s="368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0"/>
      <c r="Q16" s="1351"/>
      <c r="R16" s="704"/>
      <c r="S16" s="705"/>
      <c r="T16" s="704"/>
      <c r="U16" s="705"/>
      <c r="V16" s="704"/>
      <c r="W16" s="705"/>
      <c r="X16" s="1354"/>
      <c r="Y16" s="3690"/>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0"/>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0"/>
      <c r="Q18" s="1351"/>
      <c r="R18" s="704"/>
      <c r="S18" s="705"/>
      <c r="T18" s="704"/>
      <c r="U18" s="705"/>
      <c r="V18" s="704"/>
      <c r="W18" s="705"/>
      <c r="X18" s="1354"/>
      <c r="Y18" s="3690"/>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0"/>
      <c r="Q19" s="1351" t="str">
        <f>B19</f>
        <v>公共配套设施</v>
      </c>
      <c r="R19" s="704" t="s">
        <v>14</v>
      </c>
      <c r="S19" s="705">
        <f>F19</f>
        <v>100</v>
      </c>
      <c r="T19" s="704" t="s">
        <v>14</v>
      </c>
      <c r="U19" s="705">
        <f>H19</f>
        <v>100</v>
      </c>
      <c r="V19" s="704" t="s">
        <v>14</v>
      </c>
      <c r="W19" s="705">
        <f>J19</f>
        <v>100</v>
      </c>
      <c r="X19" s="1354"/>
      <c r="Y19" s="369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0"/>
      <c r="Q20" s="1351"/>
      <c r="R20" s="704"/>
      <c r="S20" s="705"/>
      <c r="T20" s="704"/>
      <c r="U20" s="705"/>
      <c r="V20" s="704"/>
      <c r="W20" s="705"/>
      <c r="X20" s="1354"/>
      <c r="Y20" s="3690"/>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0"/>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0"/>
      <c r="Q22" s="1351"/>
      <c r="R22" s="704"/>
      <c r="S22" s="705"/>
      <c r="T22" s="704"/>
      <c r="U22" s="705"/>
      <c r="V22" s="704"/>
      <c r="W22" s="705"/>
      <c r="X22" s="1354"/>
      <c r="Y22" s="3690"/>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0"/>
      <c r="Q23" s="1351" t="str">
        <f>B23</f>
        <v>环境质量</v>
      </c>
      <c r="R23" s="704" t="s">
        <v>14</v>
      </c>
      <c r="S23" s="705">
        <f>F23</f>
        <v>100</v>
      </c>
      <c r="T23" s="704" t="s">
        <v>14</v>
      </c>
      <c r="U23" s="705">
        <f>H23</f>
        <v>100</v>
      </c>
      <c r="V23" s="704" t="s">
        <v>14</v>
      </c>
      <c r="W23" s="705">
        <f>J23</f>
        <v>100</v>
      </c>
      <c r="X23" s="1354"/>
      <c r="Y23" s="369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0"/>
      <c r="Q24" s="1351"/>
      <c r="R24" s="704"/>
      <c r="S24" s="705"/>
      <c r="T24" s="704"/>
      <c r="U24" s="705"/>
      <c r="V24" s="704"/>
      <c r="W24" s="705"/>
      <c r="X24" s="1354"/>
      <c r="Y24" s="369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0"/>
      <c r="Q25" s="1351">
        <f>B25</f>
        <v>111</v>
      </c>
      <c r="R25" s="704" t="s">
        <v>14</v>
      </c>
      <c r="S25" s="705">
        <f>F25</f>
        <v>100</v>
      </c>
      <c r="T25" s="704" t="s">
        <v>14</v>
      </c>
      <c r="U25" s="705">
        <f>H25</f>
        <v>100</v>
      </c>
      <c r="V25" s="704" t="s">
        <v>14</v>
      </c>
      <c r="W25" s="705">
        <f>J25</f>
        <v>100</v>
      </c>
      <c r="X25" s="1354"/>
      <c r="Y25" s="369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0"/>
      <c r="Q26" s="1351">
        <f t="shared" ref="Q26:Q40" si="11">B26</f>
        <v>111</v>
      </c>
      <c r="R26" s="704" t="s">
        <v>14</v>
      </c>
      <c r="S26" s="705">
        <f>F26</f>
        <v>100</v>
      </c>
      <c r="T26" s="704" t="s">
        <v>14</v>
      </c>
      <c r="U26" s="705">
        <f>H26</f>
        <v>100</v>
      </c>
      <c r="V26" s="704" t="s">
        <v>14</v>
      </c>
      <c r="W26" s="705">
        <f>J26</f>
        <v>100</v>
      </c>
      <c r="X26" s="1354"/>
      <c r="Y26" s="369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0"/>
      <c r="Q27" s="1342">
        <f t="shared" si="11"/>
        <v>111</v>
      </c>
      <c r="R27" s="700" t="s">
        <v>14</v>
      </c>
      <c r="S27" s="701">
        <f>F27</f>
        <v>100</v>
      </c>
      <c r="T27" s="700" t="s">
        <v>14</v>
      </c>
      <c r="U27" s="701">
        <f>H27</f>
        <v>100</v>
      </c>
      <c r="V27" s="700" t="s">
        <v>14</v>
      </c>
      <c r="W27" s="701">
        <f>J27</f>
        <v>100</v>
      </c>
      <c r="X27" s="702"/>
      <c r="Y27" s="369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0"/>
      <c r="Q28" s="1351">
        <f t="shared" si="11"/>
        <v>111</v>
      </c>
      <c r="R28" s="704" t="s">
        <v>14</v>
      </c>
      <c r="S28" s="705">
        <f t="shared" ref="S28:S40" si="12">F28</f>
        <v>100</v>
      </c>
      <c r="T28" s="704" t="s">
        <v>14</v>
      </c>
      <c r="U28" s="705">
        <f t="shared" ref="U28:U40" si="13">H28</f>
        <v>100</v>
      </c>
      <c r="V28" s="704" t="s">
        <v>14</v>
      </c>
      <c r="W28" s="705">
        <f t="shared" ref="W28:W40" si="14">J28</f>
        <v>100</v>
      </c>
      <c r="X28" s="1354"/>
      <c r="Y28" s="369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5" t="s">
        <v>1696</v>
      </c>
      <c r="Q29" s="1351" t="str">
        <f t="shared" si="11"/>
        <v>建筑类型</v>
      </c>
      <c r="R29" s="704" t="s">
        <v>14</v>
      </c>
      <c r="S29" s="705">
        <f t="shared" si="12"/>
        <v>100</v>
      </c>
      <c r="T29" s="704" t="s">
        <v>14</v>
      </c>
      <c r="U29" s="705">
        <f t="shared" si="13"/>
        <v>100</v>
      </c>
      <c r="V29" s="704" t="s">
        <v>14</v>
      </c>
      <c r="W29" s="705">
        <f t="shared" si="14"/>
        <v>100</v>
      </c>
      <c r="X29" s="1354"/>
      <c r="Y29" s="369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4"/>
      <c r="Q30" s="706" t="str">
        <f t="shared" si="11"/>
        <v>项目建筑规模</v>
      </c>
      <c r="R30" s="707" t="s">
        <v>14</v>
      </c>
      <c r="S30" s="708" t="e">
        <f t="shared" si="12"/>
        <v>#N/A</v>
      </c>
      <c r="T30" s="707" t="s">
        <v>14</v>
      </c>
      <c r="U30" s="708" t="e">
        <f t="shared" si="13"/>
        <v>#N/A</v>
      </c>
      <c r="V30" s="707" t="s">
        <v>14</v>
      </c>
      <c r="W30" s="708" t="e">
        <f t="shared" si="14"/>
        <v>#N/A</v>
      </c>
      <c r="X30" s="709"/>
      <c r="Y30" s="3694"/>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4"/>
      <c r="Q31" s="1351" t="str">
        <f t="shared" si="11"/>
        <v>建筑结构</v>
      </c>
      <c r="R31" s="704" t="s">
        <v>14</v>
      </c>
      <c r="S31" s="705">
        <f t="shared" si="12"/>
        <v>100</v>
      </c>
      <c r="T31" s="704" t="s">
        <v>14</v>
      </c>
      <c r="U31" s="705">
        <f t="shared" si="13"/>
        <v>100</v>
      </c>
      <c r="V31" s="704" t="s">
        <v>14</v>
      </c>
      <c r="W31" s="705">
        <f t="shared" si="14"/>
        <v>100</v>
      </c>
      <c r="X31" s="1354"/>
      <c r="Y31" s="369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4"/>
      <c r="Q32" s="1351" t="str">
        <f t="shared" si="11"/>
        <v>公共部分装修</v>
      </c>
      <c r="R32" s="704" t="s">
        <v>14</v>
      </c>
      <c r="S32" s="705">
        <f t="shared" si="12"/>
        <v>100</v>
      </c>
      <c r="T32" s="704" t="s">
        <v>14</v>
      </c>
      <c r="U32" s="705">
        <f t="shared" si="13"/>
        <v>100</v>
      </c>
      <c r="V32" s="704" t="s">
        <v>14</v>
      </c>
      <c r="W32" s="705">
        <f t="shared" si="14"/>
        <v>100</v>
      </c>
      <c r="X32" s="1354"/>
      <c r="Y32" s="369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4"/>
      <c r="Q33" s="1351" t="str">
        <f t="shared" si="11"/>
        <v>成新度</v>
      </c>
      <c r="R33" s="704" t="s">
        <v>14</v>
      </c>
      <c r="S33" s="705" t="e">
        <f t="shared" si="12"/>
        <v>#N/A</v>
      </c>
      <c r="T33" s="704" t="s">
        <v>14</v>
      </c>
      <c r="U33" s="705" t="e">
        <f t="shared" si="13"/>
        <v>#N/A</v>
      </c>
      <c r="V33" s="704" t="s">
        <v>14</v>
      </c>
      <c r="W33" s="705" t="e">
        <f t="shared" si="14"/>
        <v>#N/A</v>
      </c>
      <c r="X33" s="1354"/>
      <c r="Y33" s="369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4"/>
      <c r="Q34" s="1342" t="str">
        <f t="shared" si="11"/>
        <v>物业管理</v>
      </c>
      <c r="R34" s="700" t="s">
        <v>14</v>
      </c>
      <c r="S34" s="701">
        <f t="shared" si="12"/>
        <v>100</v>
      </c>
      <c r="T34" s="700" t="s">
        <v>14</v>
      </c>
      <c r="U34" s="701">
        <f t="shared" si="13"/>
        <v>100</v>
      </c>
      <c r="V34" s="700" t="s">
        <v>14</v>
      </c>
      <c r="W34" s="701">
        <f t="shared" si="14"/>
        <v>100</v>
      </c>
      <c r="X34" s="702"/>
      <c r="Y34" s="3694"/>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4" t="s">
        <v>1696</v>
      </c>
      <c r="Q35" s="1351" t="str">
        <f t="shared" si="11"/>
        <v>市政基础设施</v>
      </c>
      <c r="R35" s="704" t="s">
        <v>14</v>
      </c>
      <c r="S35" s="705">
        <f t="shared" si="12"/>
        <v>100</v>
      </c>
      <c r="T35" s="704" t="s">
        <v>14</v>
      </c>
      <c r="U35" s="705">
        <f t="shared" si="13"/>
        <v>100</v>
      </c>
      <c r="V35" s="704" t="s">
        <v>14</v>
      </c>
      <c r="W35" s="705">
        <f t="shared" si="14"/>
        <v>100</v>
      </c>
      <c r="X35" s="1354"/>
      <c r="Y35" s="369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4"/>
      <c r="Q36" s="1351" t="str">
        <f t="shared" si="11"/>
        <v>内部装修</v>
      </c>
      <c r="R36" s="704" t="s">
        <v>14</v>
      </c>
      <c r="S36" s="705">
        <f t="shared" si="12"/>
        <v>100</v>
      </c>
      <c r="T36" s="704" t="s">
        <v>14</v>
      </c>
      <c r="U36" s="705">
        <f t="shared" si="13"/>
        <v>100</v>
      </c>
      <c r="V36" s="704" t="s">
        <v>14</v>
      </c>
      <c r="W36" s="705">
        <f t="shared" si="14"/>
        <v>100</v>
      </c>
      <c r="X36" s="1354"/>
      <c r="Y36" s="369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4"/>
      <c r="Q37" s="1351" t="str">
        <f t="shared" si="11"/>
        <v>内部装修状况</v>
      </c>
      <c r="R37" s="704" t="s">
        <v>14</v>
      </c>
      <c r="S37" s="705">
        <f t="shared" si="12"/>
        <v>100</v>
      </c>
      <c r="T37" s="704" t="s">
        <v>14</v>
      </c>
      <c r="U37" s="705">
        <f t="shared" si="13"/>
        <v>100</v>
      </c>
      <c r="V37" s="704" t="s">
        <v>14</v>
      </c>
      <c r="W37" s="705">
        <f t="shared" si="14"/>
        <v>100</v>
      </c>
      <c r="X37" s="1354"/>
      <c r="Y37" s="369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4"/>
      <c r="Q38" s="706">
        <f t="shared" si="11"/>
        <v>111</v>
      </c>
      <c r="R38" s="707" t="s">
        <v>14</v>
      </c>
      <c r="S38" s="708">
        <f t="shared" si="12"/>
        <v>100</v>
      </c>
      <c r="T38" s="707" t="s">
        <v>14</v>
      </c>
      <c r="U38" s="708">
        <f t="shared" si="13"/>
        <v>100</v>
      </c>
      <c r="V38" s="707" t="s">
        <v>14</v>
      </c>
      <c r="W38" s="708">
        <f t="shared" si="14"/>
        <v>100</v>
      </c>
      <c r="X38" s="709"/>
      <c r="Y38" s="3694"/>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4"/>
      <c r="Q39" s="1351">
        <f t="shared" si="11"/>
        <v>111</v>
      </c>
      <c r="R39" s="704" t="s">
        <v>14</v>
      </c>
      <c r="S39" s="705">
        <f t="shared" si="12"/>
        <v>100</v>
      </c>
      <c r="T39" s="704" t="s">
        <v>14</v>
      </c>
      <c r="U39" s="705">
        <f t="shared" si="13"/>
        <v>100</v>
      </c>
      <c r="V39" s="704" t="s">
        <v>14</v>
      </c>
      <c r="W39" s="705">
        <f t="shared" si="14"/>
        <v>100</v>
      </c>
      <c r="X39" s="1354"/>
      <c r="Y39" s="369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5"/>
      <c r="Q40" s="1351">
        <f t="shared" si="11"/>
        <v>111</v>
      </c>
      <c r="R40" s="704" t="s">
        <v>14</v>
      </c>
      <c r="S40" s="705">
        <f t="shared" si="12"/>
        <v>100</v>
      </c>
      <c r="T40" s="704" t="s">
        <v>14</v>
      </c>
      <c r="U40" s="705">
        <f t="shared" si="13"/>
        <v>100</v>
      </c>
      <c r="V40" s="704" t="s">
        <v>14</v>
      </c>
      <c r="W40" s="705">
        <f t="shared" si="14"/>
        <v>100</v>
      </c>
      <c r="X40" s="1354"/>
      <c r="Y40" s="3695"/>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87" t="str">
        <f>A41</f>
        <v>成交单价（元/平方米）</v>
      </c>
      <c r="Q41" s="3687"/>
      <c r="R41" s="3688">
        <f>E41</f>
        <v>0</v>
      </c>
      <c r="S41" s="3688"/>
      <c r="T41" s="3688">
        <f>G41</f>
        <v>0</v>
      </c>
      <c r="U41" s="3688"/>
      <c r="V41" s="3688">
        <f>I41</f>
        <v>0</v>
      </c>
      <c r="W41" s="3688"/>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2025-5</v>
      </c>
      <c r="D52" s="1184">
        <f>EDATE(C52,-1)</f>
        <v>45748</v>
      </c>
      <c r="E52" s="1184">
        <f t="shared" ref="E52:O52" si="16">EDATE(D52,-1)</f>
        <v>45717</v>
      </c>
      <c r="F52" s="1184">
        <f t="shared" si="16"/>
        <v>45689</v>
      </c>
      <c r="G52" s="1184">
        <f t="shared" si="16"/>
        <v>45658</v>
      </c>
      <c r="H52" s="1184">
        <f t="shared" si="16"/>
        <v>45627</v>
      </c>
      <c r="I52" s="1184">
        <f t="shared" si="16"/>
        <v>45597</v>
      </c>
      <c r="J52" s="1184">
        <f t="shared" si="16"/>
        <v>45566</v>
      </c>
      <c r="K52" s="1184">
        <f t="shared" si="16"/>
        <v>45536</v>
      </c>
      <c r="L52" s="1184">
        <f t="shared" si="16"/>
        <v>45505</v>
      </c>
      <c r="M52" s="1184">
        <f t="shared" si="16"/>
        <v>45474</v>
      </c>
      <c r="N52" s="1184">
        <f t="shared" si="16"/>
        <v>45444</v>
      </c>
      <c r="O52" s="1184">
        <f t="shared" si="16"/>
        <v>45413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702" t="s">
        <v>1770</v>
      </c>
      <c r="D4" s="3703"/>
      <c r="E4" s="3704" t="s">
        <v>1771</v>
      </c>
      <c r="F4" s="3705"/>
      <c r="G4" s="3702" t="s">
        <v>1772</v>
      </c>
      <c r="H4" s="3703"/>
      <c r="I4" s="3702" t="s">
        <v>1773</v>
      </c>
      <c r="J4" s="3703"/>
      <c r="K4" s="559" t="s">
        <v>1774</v>
      </c>
      <c r="L4" s="2713"/>
      <c r="M4" s="2714"/>
      <c r="N4" s="2714"/>
      <c r="O4" s="2714"/>
      <c r="P4" s="3706" t="s">
        <v>1775</v>
      </c>
      <c r="Q4" s="3707"/>
      <c r="R4" s="3712" t="s">
        <v>1771</v>
      </c>
      <c r="S4" s="3713"/>
      <c r="T4" s="3712" t="s">
        <v>1772</v>
      </c>
      <c r="U4" s="3713"/>
      <c r="V4" s="3718" t="s">
        <v>1773</v>
      </c>
      <c r="W4" s="3718"/>
      <c r="X4" s="1354"/>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2713"/>
      <c r="M5" s="2714"/>
      <c r="N5" s="2714"/>
      <c r="O5" s="2714"/>
      <c r="P5" s="3708"/>
      <c r="Q5" s="3709"/>
      <c r="R5" s="3714"/>
      <c r="S5" s="3715"/>
      <c r="T5" s="3714"/>
      <c r="U5" s="3715"/>
      <c r="V5" s="3718"/>
      <c r="W5" s="3718"/>
      <c r="X5" s="1354"/>
      <c r="Y5" s="3714"/>
      <c r="Z5" s="3715"/>
      <c r="AA5" s="3700"/>
      <c r="AB5" s="3700"/>
      <c r="AC5" s="3700"/>
    </row>
    <row r="6" spans="1:29" ht="15.75" thickBot="1">
      <c r="A6" s="360"/>
      <c r="B6" s="361"/>
      <c r="C6" s="3719" t="s">
        <v>1677</v>
      </c>
      <c r="D6" s="3720"/>
      <c r="E6" s="3726" t="s">
        <v>1677</v>
      </c>
      <c r="F6" s="3727"/>
      <c r="G6" s="3719" t="s">
        <v>1677</v>
      </c>
      <c r="H6" s="3720"/>
      <c r="I6" s="3719" t="s">
        <v>1677</v>
      </c>
      <c r="J6" s="3720"/>
      <c r="K6" s="559" t="s">
        <v>1678</v>
      </c>
      <c r="L6" s="2713"/>
      <c r="M6" s="2714"/>
      <c r="N6" s="2714"/>
      <c r="O6" s="2714"/>
      <c r="P6" s="3710"/>
      <c r="Q6" s="3711"/>
      <c r="R6" s="3714"/>
      <c r="S6" s="3715"/>
      <c r="T6" s="3716"/>
      <c r="U6" s="3717"/>
      <c r="V6" s="3718"/>
      <c r="W6" s="3718"/>
      <c r="X6" s="1354"/>
      <c r="Y6" s="3716"/>
      <c r="Z6" s="3717"/>
      <c r="AA6" s="3701"/>
      <c r="AB6" s="3701"/>
      <c r="AC6" s="3701"/>
    </row>
    <row r="7" spans="1:29" s="108" customFormat="1" ht="15.75" thickBot="1">
      <c r="A7" s="362" t="s">
        <v>1679</v>
      </c>
      <c r="B7" s="363"/>
      <c r="C7" s="364">
        <f>'数据-取费表'!B2</f>
        <v>45793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23" t="s">
        <v>1680</v>
      </c>
      <c r="Q7" s="3725"/>
      <c r="R7" s="700" t="s">
        <v>14</v>
      </c>
      <c r="S7" s="701">
        <f t="shared" ref="S7:S14" si="0">F7</f>
        <v>0</v>
      </c>
      <c r="T7" s="700" t="s">
        <v>14</v>
      </c>
      <c r="U7" s="701">
        <f t="shared" ref="U7:U14" si="1">H7</f>
        <v>0</v>
      </c>
      <c r="V7" s="700" t="s">
        <v>14</v>
      </c>
      <c r="W7" s="701">
        <f t="shared" ref="W7:W14" si="2">J7</f>
        <v>0</v>
      </c>
      <c r="X7" s="702"/>
      <c r="Y7" s="3723" t="s">
        <v>1680</v>
      </c>
      <c r="Z7" s="372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23" t="s">
        <v>1683</v>
      </c>
      <c r="Q8" s="3724"/>
      <c r="R8" s="700" t="s">
        <v>14</v>
      </c>
      <c r="S8" s="701">
        <f t="shared" si="0"/>
        <v>100</v>
      </c>
      <c r="T8" s="700" t="s">
        <v>14</v>
      </c>
      <c r="U8" s="701">
        <f t="shared" si="1"/>
        <v>100</v>
      </c>
      <c r="V8" s="700" t="s">
        <v>14</v>
      </c>
      <c r="W8" s="701">
        <f t="shared" si="2"/>
        <v>100</v>
      </c>
      <c r="X8" s="702"/>
      <c r="Y8" s="3723" t="s">
        <v>1683</v>
      </c>
      <c r="Z8" s="3724"/>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87" t="s">
        <v>1686</v>
      </c>
      <c r="Q9" s="1342" t="str">
        <f t="shared" ref="Q9:Q14" si="6">B9</f>
        <v>用途</v>
      </c>
      <c r="R9" s="700" t="s">
        <v>14</v>
      </c>
      <c r="S9" s="701">
        <f t="shared" si="0"/>
        <v>100</v>
      </c>
      <c r="T9" s="700" t="s">
        <v>14</v>
      </c>
      <c r="U9" s="701">
        <f t="shared" si="1"/>
        <v>100</v>
      </c>
      <c r="V9" s="700" t="s">
        <v>14</v>
      </c>
      <c r="W9" s="701">
        <f t="shared" si="2"/>
        <v>100</v>
      </c>
      <c r="X9" s="702"/>
      <c r="Y9" s="3562"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87"/>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87"/>
      <c r="Q11" s="1342">
        <f t="shared" si="6"/>
        <v>111</v>
      </c>
      <c r="R11" s="700" t="s">
        <v>14</v>
      </c>
      <c r="S11" s="701">
        <f t="shared" si="0"/>
        <v>100</v>
      </c>
      <c r="T11" s="700" t="s">
        <v>14</v>
      </c>
      <c r="U11" s="701">
        <f t="shared" si="1"/>
        <v>100</v>
      </c>
      <c r="V11" s="700" t="s">
        <v>14</v>
      </c>
      <c r="W11" s="701">
        <f t="shared" si="2"/>
        <v>100</v>
      </c>
      <c r="X11" s="702"/>
      <c r="Y11" s="356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87"/>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87"/>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9" t="s">
        <v>1691</v>
      </c>
      <c r="Q14" s="1351" t="str">
        <f t="shared" si="6"/>
        <v>交通便捷度</v>
      </c>
      <c r="R14" s="704" t="s">
        <v>14</v>
      </c>
      <c r="S14" s="705">
        <f t="shared" si="0"/>
        <v>100</v>
      </c>
      <c r="T14" s="704" t="s">
        <v>14</v>
      </c>
      <c r="U14" s="705">
        <f t="shared" si="1"/>
        <v>100</v>
      </c>
      <c r="V14" s="704" t="s">
        <v>14</v>
      </c>
      <c r="W14" s="705">
        <f t="shared" si="2"/>
        <v>100</v>
      </c>
      <c r="X14" s="1354"/>
      <c r="Y14" s="3689"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0"/>
      <c r="M15" s="2714"/>
      <c r="N15" s="2714"/>
      <c r="O15" s="2714"/>
      <c r="P15" s="3690"/>
      <c r="Q15" s="1351"/>
      <c r="R15" s="704"/>
      <c r="S15" s="705"/>
      <c r="T15" s="704"/>
      <c r="U15" s="705"/>
      <c r="V15" s="704"/>
      <c r="W15" s="705"/>
      <c r="X15" s="1354"/>
      <c r="Y15" s="3690"/>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0"/>
      <c r="Q16" s="1351" t="str">
        <f>B16</f>
        <v>公共配套设施</v>
      </c>
      <c r="R16" s="704" t="s">
        <v>14</v>
      </c>
      <c r="S16" s="705">
        <f>F16</f>
        <v>100</v>
      </c>
      <c r="T16" s="704" t="s">
        <v>14</v>
      </c>
      <c r="U16" s="705">
        <f>H16</f>
        <v>100</v>
      </c>
      <c r="V16" s="704" t="s">
        <v>14</v>
      </c>
      <c r="W16" s="705">
        <f>J16</f>
        <v>100</v>
      </c>
      <c r="X16" s="1354"/>
      <c r="Y16" s="3690"/>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0"/>
      <c r="M17" s="2714"/>
      <c r="N17" s="2714"/>
      <c r="O17" s="2714"/>
      <c r="P17" s="3690"/>
      <c r="Q17" s="1351"/>
      <c r="R17" s="704"/>
      <c r="S17" s="705"/>
      <c r="T17" s="704"/>
      <c r="U17" s="705"/>
      <c r="V17" s="704"/>
      <c r="W17" s="705"/>
      <c r="X17" s="1354"/>
      <c r="Y17" s="3690"/>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0"/>
      <c r="Q18" s="1351" t="str">
        <f>B18</f>
        <v>基础设施水平</v>
      </c>
      <c r="R18" s="704" t="s">
        <v>14</v>
      </c>
      <c r="S18" s="705">
        <f>F18</f>
        <v>100</v>
      </c>
      <c r="T18" s="704" t="s">
        <v>14</v>
      </c>
      <c r="U18" s="705">
        <f>H18</f>
        <v>100</v>
      </c>
      <c r="V18" s="704" t="s">
        <v>14</v>
      </c>
      <c r="W18" s="705">
        <f>J18</f>
        <v>100</v>
      </c>
      <c r="X18" s="1354"/>
      <c r="Y18" s="3690"/>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0"/>
      <c r="M19" s="2714"/>
      <c r="N19" s="2714"/>
      <c r="O19" s="2714"/>
      <c r="P19" s="3690"/>
      <c r="Q19" s="1351"/>
      <c r="R19" s="704"/>
      <c r="S19" s="705"/>
      <c r="T19" s="704"/>
      <c r="U19" s="705"/>
      <c r="V19" s="704"/>
      <c r="W19" s="705"/>
      <c r="X19" s="1354"/>
      <c r="Y19" s="3690"/>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0"/>
      <c r="Q20" s="1351" t="str">
        <f>B20</f>
        <v>自然及人文环境</v>
      </c>
      <c r="R20" s="704" t="s">
        <v>14</v>
      </c>
      <c r="S20" s="705">
        <f>F20</f>
        <v>100</v>
      </c>
      <c r="T20" s="704" t="s">
        <v>14</v>
      </c>
      <c r="U20" s="705">
        <f>H20</f>
        <v>100</v>
      </c>
      <c r="V20" s="704" t="s">
        <v>14</v>
      </c>
      <c r="W20" s="705">
        <f>J20</f>
        <v>100</v>
      </c>
      <c r="X20" s="1354"/>
      <c r="Y20" s="3690"/>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0"/>
      <c r="M21" s="2714"/>
      <c r="N21" s="2714"/>
      <c r="O21" s="2714"/>
      <c r="P21" s="3690"/>
      <c r="Q21" s="1351"/>
      <c r="R21" s="704"/>
      <c r="S21" s="705"/>
      <c r="T21" s="704"/>
      <c r="U21" s="705"/>
      <c r="V21" s="704"/>
      <c r="W21" s="705"/>
      <c r="X21" s="1354"/>
      <c r="Y21" s="3690"/>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0"/>
      <c r="Q22" s="1351" t="str">
        <f>B22</f>
        <v>楼层</v>
      </c>
      <c r="R22" s="704" t="s">
        <v>14</v>
      </c>
      <c r="S22" s="705">
        <f>F22</f>
        <v>100</v>
      </c>
      <c r="T22" s="704" t="s">
        <v>14</v>
      </c>
      <c r="U22" s="705">
        <f>H22</f>
        <v>100</v>
      </c>
      <c r="V22" s="704" t="s">
        <v>14</v>
      </c>
      <c r="W22" s="705">
        <f>J22</f>
        <v>100</v>
      </c>
      <c r="X22" s="1354"/>
      <c r="Y22" s="3690"/>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0"/>
      <c r="Q23" s="1351">
        <f>B23</f>
        <v>111</v>
      </c>
      <c r="R23" s="704" t="s">
        <v>14</v>
      </c>
      <c r="S23" s="705">
        <f>F23</f>
        <v>100</v>
      </c>
      <c r="T23" s="704" t="s">
        <v>14</v>
      </c>
      <c r="U23" s="705">
        <f>H23</f>
        <v>100</v>
      </c>
      <c r="V23" s="704" t="s">
        <v>14</v>
      </c>
      <c r="W23" s="705">
        <f>J23</f>
        <v>100</v>
      </c>
      <c r="X23" s="1354"/>
      <c r="Y23" s="3690"/>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0"/>
      <c r="Q24" s="1351">
        <f t="shared" ref="Q24:Q36" si="11">B24</f>
        <v>111</v>
      </c>
      <c r="R24" s="704" t="s">
        <v>14</v>
      </c>
      <c r="S24" s="705">
        <f>F24</f>
        <v>100</v>
      </c>
      <c r="T24" s="704" t="s">
        <v>14</v>
      </c>
      <c r="U24" s="705">
        <f>H24</f>
        <v>100</v>
      </c>
      <c r="V24" s="704" t="s">
        <v>14</v>
      </c>
      <c r="W24" s="705">
        <f>J24</f>
        <v>100</v>
      </c>
      <c r="X24" s="1354"/>
      <c r="Y24" s="3690"/>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690"/>
      <c r="Q25" s="1342">
        <f t="shared" si="11"/>
        <v>111</v>
      </c>
      <c r="R25" s="700" t="s">
        <v>14</v>
      </c>
      <c r="S25" s="701">
        <f>F25</f>
        <v>100</v>
      </c>
      <c r="T25" s="700" t="s">
        <v>14</v>
      </c>
      <c r="U25" s="701">
        <f>H25</f>
        <v>100</v>
      </c>
      <c r="V25" s="700" t="s">
        <v>14</v>
      </c>
      <c r="W25" s="701">
        <f>J25</f>
        <v>100</v>
      </c>
      <c r="X25" s="702"/>
      <c r="Y25" s="3690"/>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5"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4"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694"/>
      <c r="Q27" s="706" t="str">
        <f t="shared" si="11"/>
        <v>项目停车位配比</v>
      </c>
      <c r="R27" s="707" t="s">
        <v>14</v>
      </c>
      <c r="S27" s="708">
        <f t="shared" si="12"/>
        <v>100</v>
      </c>
      <c r="T27" s="707" t="s">
        <v>14</v>
      </c>
      <c r="U27" s="708">
        <f t="shared" si="13"/>
        <v>100</v>
      </c>
      <c r="V27" s="707" t="s">
        <v>14</v>
      </c>
      <c r="W27" s="708">
        <f t="shared" si="14"/>
        <v>100</v>
      </c>
      <c r="X27" s="709"/>
      <c r="Y27" s="3694"/>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4"/>
      <c r="Q28" s="1351" t="str">
        <f t="shared" si="11"/>
        <v>公共部分装修</v>
      </c>
      <c r="R28" s="704" t="s">
        <v>14</v>
      </c>
      <c r="S28" s="705">
        <f t="shared" si="12"/>
        <v>100</v>
      </c>
      <c r="T28" s="704" t="s">
        <v>14</v>
      </c>
      <c r="U28" s="705">
        <f t="shared" si="13"/>
        <v>100</v>
      </c>
      <c r="V28" s="704" t="s">
        <v>14</v>
      </c>
      <c r="W28" s="705">
        <f t="shared" si="14"/>
        <v>100</v>
      </c>
      <c r="X28" s="1354"/>
      <c r="Y28" s="3694"/>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4"/>
      <c r="Q29" s="1351" t="str">
        <f t="shared" si="11"/>
        <v>成新率</v>
      </c>
      <c r="R29" s="704" t="s">
        <v>14</v>
      </c>
      <c r="S29" s="705" t="e">
        <f t="shared" si="12"/>
        <v>#N/A</v>
      </c>
      <c r="T29" s="704" t="s">
        <v>14</v>
      </c>
      <c r="U29" s="705" t="e">
        <f t="shared" si="13"/>
        <v>#N/A</v>
      </c>
      <c r="V29" s="704" t="s">
        <v>14</v>
      </c>
      <c r="W29" s="705" t="e">
        <f t="shared" si="14"/>
        <v>#N/A</v>
      </c>
      <c r="X29" s="1354"/>
      <c r="Y29" s="3694"/>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694"/>
      <c r="Q30" s="1351" t="str">
        <f t="shared" si="11"/>
        <v>物业等级</v>
      </c>
      <c r="R30" s="704" t="s">
        <v>14</v>
      </c>
      <c r="S30" s="705">
        <f t="shared" si="12"/>
        <v>100</v>
      </c>
      <c r="T30" s="704" t="s">
        <v>14</v>
      </c>
      <c r="U30" s="705">
        <f t="shared" si="13"/>
        <v>100</v>
      </c>
      <c r="V30" s="704" t="s">
        <v>14</v>
      </c>
      <c r="W30" s="705">
        <f t="shared" si="14"/>
        <v>100</v>
      </c>
      <c r="X30" s="1354"/>
      <c r="Y30" s="3694"/>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4"/>
      <c r="Q31" s="1342" t="str">
        <f t="shared" si="11"/>
        <v>停车位面积</v>
      </c>
      <c r="R31" s="700" t="s">
        <v>14</v>
      </c>
      <c r="S31" s="701" t="e">
        <f t="shared" si="12"/>
        <v>#N/A</v>
      </c>
      <c r="T31" s="700" t="s">
        <v>14</v>
      </c>
      <c r="U31" s="701" t="e">
        <f t="shared" si="13"/>
        <v>#N/A</v>
      </c>
      <c r="V31" s="700" t="s">
        <v>14</v>
      </c>
      <c r="W31" s="701" t="e">
        <f t="shared" si="14"/>
        <v>#N/A</v>
      </c>
      <c r="X31" s="702"/>
      <c r="Y31" s="3694"/>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4" t="s">
        <v>1696</v>
      </c>
      <c r="Q32" s="1351" t="str">
        <f t="shared" si="11"/>
        <v>车位类型</v>
      </c>
      <c r="R32" s="704" t="s">
        <v>14</v>
      </c>
      <c r="S32" s="705">
        <f t="shared" si="12"/>
        <v>100</v>
      </c>
      <c r="T32" s="704" t="s">
        <v>14</v>
      </c>
      <c r="U32" s="705">
        <f t="shared" si="13"/>
        <v>100</v>
      </c>
      <c r="V32" s="704" t="s">
        <v>14</v>
      </c>
      <c r="W32" s="705">
        <f t="shared" si="14"/>
        <v>100</v>
      </c>
      <c r="X32" s="1354"/>
      <c r="Y32" s="3694"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4"/>
      <c r="Q33" s="1351" t="str">
        <f t="shared" si="11"/>
        <v>是否直接入户</v>
      </c>
      <c r="R33" s="704" t="s">
        <v>14</v>
      </c>
      <c r="S33" s="705">
        <f t="shared" si="12"/>
        <v>100</v>
      </c>
      <c r="T33" s="704" t="s">
        <v>14</v>
      </c>
      <c r="U33" s="705">
        <f t="shared" si="13"/>
        <v>100</v>
      </c>
      <c r="V33" s="704" t="s">
        <v>14</v>
      </c>
      <c r="W33" s="705">
        <f t="shared" si="14"/>
        <v>100</v>
      </c>
      <c r="X33" s="1354"/>
      <c r="Y33" s="3694"/>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4"/>
      <c r="Q34" s="1351">
        <f t="shared" si="11"/>
        <v>111</v>
      </c>
      <c r="R34" s="704" t="s">
        <v>14</v>
      </c>
      <c r="S34" s="705">
        <f t="shared" si="12"/>
        <v>100</v>
      </c>
      <c r="T34" s="704" t="s">
        <v>14</v>
      </c>
      <c r="U34" s="705">
        <f t="shared" si="13"/>
        <v>100</v>
      </c>
      <c r="V34" s="704" t="s">
        <v>14</v>
      </c>
      <c r="W34" s="705">
        <f t="shared" si="14"/>
        <v>100</v>
      </c>
      <c r="X34" s="1354"/>
      <c r="Y34" s="3694"/>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4"/>
      <c r="Q35" s="706">
        <f t="shared" si="11"/>
        <v>111</v>
      </c>
      <c r="R35" s="707" t="s">
        <v>14</v>
      </c>
      <c r="S35" s="708">
        <f t="shared" si="12"/>
        <v>100</v>
      </c>
      <c r="T35" s="707" t="s">
        <v>14</v>
      </c>
      <c r="U35" s="708">
        <f t="shared" si="13"/>
        <v>100</v>
      </c>
      <c r="V35" s="707" t="s">
        <v>14</v>
      </c>
      <c r="W35" s="708">
        <f t="shared" si="14"/>
        <v>100</v>
      </c>
      <c r="X35" s="709"/>
      <c r="Y35" s="3694"/>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4"/>
      <c r="Q36" s="1351">
        <f t="shared" si="11"/>
        <v>111</v>
      </c>
      <c r="R36" s="704" t="s">
        <v>14</v>
      </c>
      <c r="S36" s="705">
        <f t="shared" si="12"/>
        <v>100</v>
      </c>
      <c r="T36" s="704" t="s">
        <v>14</v>
      </c>
      <c r="U36" s="705">
        <f t="shared" si="13"/>
        <v>100</v>
      </c>
      <c r="V36" s="704" t="s">
        <v>14</v>
      </c>
      <c r="W36" s="705">
        <f t="shared" si="14"/>
        <v>100</v>
      </c>
      <c r="X36" s="1354"/>
      <c r="Y36" s="3694"/>
      <c r="Z36" s="1355">
        <f t="shared" si="15"/>
        <v>111</v>
      </c>
      <c r="AA36" s="1352">
        <f t="shared" si="3"/>
        <v>1</v>
      </c>
      <c r="AB36" s="1352">
        <f t="shared" si="4"/>
        <v>1</v>
      </c>
      <c r="AC36" s="1352">
        <f t="shared" si="5"/>
        <v>1</v>
      </c>
    </row>
    <row r="37" spans="1:29" ht="15">
      <c r="A37" s="430" t="s">
        <v>1844</v>
      </c>
      <c r="B37" s="1972" t="s">
        <v>3354</v>
      </c>
      <c r="C37" s="1153" t="s">
        <v>0</v>
      </c>
      <c r="D37" s="1154"/>
      <c r="E37" s="1155"/>
      <c r="F37" s="1156"/>
      <c r="G37" s="1157"/>
      <c r="H37" s="1158"/>
      <c r="I37" s="1155"/>
      <c r="J37" s="1158"/>
      <c r="K37" s="567"/>
      <c r="L37" s="2722"/>
      <c r="M37" s="2723"/>
      <c r="N37" s="2714"/>
      <c r="O37" s="2723"/>
      <c r="P37" s="3687" t="str">
        <f>A37</f>
        <v>成交单价</v>
      </c>
      <c r="Q37" s="3687"/>
      <c r="R37" s="3688">
        <f>E37</f>
        <v>0</v>
      </c>
      <c r="S37" s="3688"/>
      <c r="T37" s="3688">
        <f>G37</f>
        <v>0</v>
      </c>
      <c r="U37" s="3688"/>
      <c r="V37" s="3688">
        <f>I37</f>
        <v>0</v>
      </c>
      <c r="W37" s="3688"/>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2"/>
      <c r="M38" s="2723"/>
      <c r="N38" s="2723"/>
      <c r="O38" s="2723"/>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2"/>
      <c r="M39" s="2723"/>
      <c r="N39" s="2723"/>
      <c r="O39" s="2723"/>
      <c r="P39" s="3684" t="str">
        <f>A39</f>
        <v>估价对象XX用房的比较价值（楼面单价，元/平方米）</v>
      </c>
      <c r="Q39" s="3685"/>
      <c r="R39" s="3746" t="e">
        <f>IF(F1="售价",ROUND(IF(D38="简单平均",AVERAGE(R38:W38),R38*F38+T38*H38+V38*J38),0),ROUND(IF(D38="简单平均",AVERAGE(R38:V38),R38*F38+T38*H38+V38*J38),1))</f>
        <v>#DIV/0!</v>
      </c>
      <c r="S39" s="3746"/>
      <c r="T39" s="3746"/>
      <c r="U39" s="3746"/>
      <c r="V39" s="3746"/>
      <c r="W39" s="3746"/>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2025-5</v>
      </c>
      <c r="D48" s="1184">
        <f>EDATE(C48,-1)</f>
        <v>45748</v>
      </c>
      <c r="E48" s="1184">
        <f t="shared" ref="E48:O48" si="16">EDATE(D48,-1)</f>
        <v>45717</v>
      </c>
      <c r="F48" s="1184">
        <f t="shared" si="16"/>
        <v>45689</v>
      </c>
      <c r="G48" s="1184">
        <f t="shared" si="16"/>
        <v>45658</v>
      </c>
      <c r="H48" s="1184">
        <f t="shared" si="16"/>
        <v>45627</v>
      </c>
      <c r="I48" s="1184">
        <f t="shared" si="16"/>
        <v>45597</v>
      </c>
      <c r="J48" s="1184">
        <f t="shared" si="16"/>
        <v>45566</v>
      </c>
      <c r="K48" s="1184">
        <f t="shared" si="16"/>
        <v>45536</v>
      </c>
      <c r="L48" s="1184">
        <f t="shared" si="16"/>
        <v>45505</v>
      </c>
      <c r="M48" s="1184">
        <f t="shared" si="16"/>
        <v>45474</v>
      </c>
      <c r="N48" s="1184">
        <f t="shared" si="16"/>
        <v>45444</v>
      </c>
      <c r="O48" s="1184">
        <f t="shared" si="16"/>
        <v>45413</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02" t="s">
        <v>1770</v>
      </c>
      <c r="D4" s="3703"/>
      <c r="E4" s="3704" t="s">
        <v>1771</v>
      </c>
      <c r="F4" s="3705"/>
      <c r="G4" s="3702" t="s">
        <v>1772</v>
      </c>
      <c r="H4" s="3703"/>
      <c r="I4" s="3702" t="s">
        <v>1773</v>
      </c>
      <c r="J4" s="3703"/>
      <c r="K4" s="559" t="s">
        <v>1774</v>
      </c>
      <c r="L4" s="2713"/>
      <c r="M4" s="2714"/>
      <c r="N4" s="2714"/>
      <c r="O4" s="2714"/>
      <c r="P4" s="3706" t="s">
        <v>1775</v>
      </c>
      <c r="Q4" s="3707"/>
      <c r="R4" s="3712" t="s">
        <v>1771</v>
      </c>
      <c r="S4" s="3713"/>
      <c r="T4" s="3712" t="s">
        <v>1772</v>
      </c>
      <c r="U4" s="3713"/>
      <c r="V4" s="3718" t="s">
        <v>1773</v>
      </c>
      <c r="W4" s="3718"/>
      <c r="X4" s="1354"/>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2713"/>
      <c r="M5" s="2714"/>
      <c r="N5" s="2714"/>
      <c r="O5" s="2714"/>
      <c r="P5" s="3708"/>
      <c r="Q5" s="3709"/>
      <c r="R5" s="3714"/>
      <c r="S5" s="3715"/>
      <c r="T5" s="3714"/>
      <c r="U5" s="3715"/>
      <c r="V5" s="3718"/>
      <c r="W5" s="3718"/>
      <c r="X5" s="1354"/>
      <c r="Y5" s="3714"/>
      <c r="Z5" s="3715"/>
      <c r="AA5" s="3700"/>
      <c r="AB5" s="3700"/>
      <c r="AC5" s="3700"/>
    </row>
    <row r="6" spans="1:29" ht="15.75" thickBot="1">
      <c r="A6" s="360"/>
      <c r="B6" s="361"/>
      <c r="C6" s="3719" t="s">
        <v>1677</v>
      </c>
      <c r="D6" s="3720"/>
      <c r="E6" s="3726" t="s">
        <v>1677</v>
      </c>
      <c r="F6" s="3727"/>
      <c r="G6" s="3719" t="s">
        <v>1677</v>
      </c>
      <c r="H6" s="3720"/>
      <c r="I6" s="3719" t="s">
        <v>1677</v>
      </c>
      <c r="J6" s="3720"/>
      <c r="K6" s="559" t="s">
        <v>1678</v>
      </c>
      <c r="L6" s="2713"/>
      <c r="M6" s="2714"/>
      <c r="N6" s="2714"/>
      <c r="O6" s="2714"/>
      <c r="P6" s="3710"/>
      <c r="Q6" s="3711"/>
      <c r="R6" s="3714"/>
      <c r="S6" s="3715"/>
      <c r="T6" s="3716"/>
      <c r="U6" s="3717"/>
      <c r="V6" s="3718"/>
      <c r="W6" s="3718"/>
      <c r="X6" s="1354"/>
      <c r="Y6" s="3716"/>
      <c r="Z6" s="3717"/>
      <c r="AA6" s="3701"/>
      <c r="AB6" s="3701"/>
      <c r="AC6" s="3701"/>
    </row>
    <row r="7" spans="1:29" s="108" customFormat="1" ht="15.75" thickBot="1">
      <c r="A7" s="362" t="s">
        <v>1679</v>
      </c>
      <c r="B7" s="363"/>
      <c r="C7" s="364">
        <f>'数据-取费表'!B2</f>
        <v>45793</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23" t="s">
        <v>1680</v>
      </c>
      <c r="Q7" s="3725"/>
      <c r="R7" s="700" t="s">
        <v>14</v>
      </c>
      <c r="S7" s="701">
        <f t="shared" ref="S7:S14" si="0">F7</f>
        <v>0</v>
      </c>
      <c r="T7" s="700" t="s">
        <v>14</v>
      </c>
      <c r="U7" s="701">
        <f t="shared" ref="U7:U14" si="1">H7</f>
        <v>0</v>
      </c>
      <c r="V7" s="700" t="s">
        <v>14</v>
      </c>
      <c r="W7" s="701">
        <f t="shared" ref="W7:W14" si="2">J7</f>
        <v>0</v>
      </c>
      <c r="X7" s="702"/>
      <c r="Y7" s="3723" t="s">
        <v>1680</v>
      </c>
      <c r="Z7" s="372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23" t="s">
        <v>1683</v>
      </c>
      <c r="Q8" s="3724"/>
      <c r="R8" s="700" t="s">
        <v>14</v>
      </c>
      <c r="S8" s="701">
        <f t="shared" si="0"/>
        <v>100</v>
      </c>
      <c r="T8" s="700" t="s">
        <v>14</v>
      </c>
      <c r="U8" s="701">
        <f t="shared" si="1"/>
        <v>100</v>
      </c>
      <c r="V8" s="700" t="s">
        <v>14</v>
      </c>
      <c r="W8" s="701">
        <f t="shared" si="2"/>
        <v>100</v>
      </c>
      <c r="X8" s="702"/>
      <c r="Y8" s="3723" t="s">
        <v>1683</v>
      </c>
      <c r="Z8" s="372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87" t="s">
        <v>1686</v>
      </c>
      <c r="Q9" s="1342" t="str">
        <f t="shared" ref="Q9:Q14" si="6">B9</f>
        <v>用途</v>
      </c>
      <c r="R9" s="700" t="s">
        <v>14</v>
      </c>
      <c r="S9" s="701">
        <f t="shared" si="0"/>
        <v>100</v>
      </c>
      <c r="T9" s="700" t="s">
        <v>14</v>
      </c>
      <c r="U9" s="701">
        <f t="shared" si="1"/>
        <v>100</v>
      </c>
      <c r="V9" s="700" t="s">
        <v>14</v>
      </c>
      <c r="W9" s="701">
        <f t="shared" si="2"/>
        <v>100</v>
      </c>
      <c r="X9" s="702"/>
      <c r="Y9" s="3562"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87"/>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87"/>
      <c r="Q11" s="1342">
        <f t="shared" si="6"/>
        <v>111</v>
      </c>
      <c r="R11" s="700" t="s">
        <v>14</v>
      </c>
      <c r="S11" s="701">
        <f t="shared" si="0"/>
        <v>100</v>
      </c>
      <c r="T11" s="700" t="s">
        <v>14</v>
      </c>
      <c r="U11" s="701">
        <f t="shared" si="1"/>
        <v>100</v>
      </c>
      <c r="V11" s="700" t="s">
        <v>14</v>
      </c>
      <c r="W11" s="701">
        <f t="shared" si="2"/>
        <v>100</v>
      </c>
      <c r="X11" s="702"/>
      <c r="Y11" s="356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87"/>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87"/>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9" t="s">
        <v>1691</v>
      </c>
      <c r="Q14" s="1351" t="str">
        <f t="shared" si="6"/>
        <v>交通便捷度</v>
      </c>
      <c r="R14" s="704" t="s">
        <v>14</v>
      </c>
      <c r="S14" s="705">
        <f t="shared" si="0"/>
        <v>100</v>
      </c>
      <c r="T14" s="704" t="s">
        <v>14</v>
      </c>
      <c r="U14" s="705">
        <f t="shared" si="1"/>
        <v>100</v>
      </c>
      <c r="V14" s="704" t="s">
        <v>14</v>
      </c>
      <c r="W14" s="705">
        <f t="shared" si="2"/>
        <v>100</v>
      </c>
      <c r="X14" s="1354"/>
      <c r="Y14" s="368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690"/>
      <c r="Q15" s="1351"/>
      <c r="R15" s="704"/>
      <c r="S15" s="705"/>
      <c r="T15" s="704"/>
      <c r="U15" s="705"/>
      <c r="V15" s="704"/>
      <c r="W15" s="705"/>
      <c r="X15" s="1354"/>
      <c r="Y15" s="3690"/>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0"/>
      <c r="Q16" s="1351" t="str">
        <f>B16</f>
        <v>公共配套设施</v>
      </c>
      <c r="R16" s="704" t="s">
        <v>14</v>
      </c>
      <c r="S16" s="705">
        <f>F16</f>
        <v>100</v>
      </c>
      <c r="T16" s="704" t="s">
        <v>14</v>
      </c>
      <c r="U16" s="705">
        <f>H16</f>
        <v>100</v>
      </c>
      <c r="V16" s="704" t="s">
        <v>14</v>
      </c>
      <c r="W16" s="705">
        <f>J16</f>
        <v>100</v>
      </c>
      <c r="X16" s="1354"/>
      <c r="Y16" s="369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690"/>
      <c r="Q17" s="1351"/>
      <c r="R17" s="704"/>
      <c r="S17" s="705"/>
      <c r="T17" s="704"/>
      <c r="U17" s="705"/>
      <c r="V17" s="704"/>
      <c r="W17" s="705"/>
      <c r="X17" s="1354"/>
      <c r="Y17" s="3690"/>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0"/>
      <c r="Q18" s="1351" t="str">
        <f>B18</f>
        <v>基础设施水平</v>
      </c>
      <c r="R18" s="704" t="s">
        <v>14</v>
      </c>
      <c r="S18" s="705">
        <f>F18</f>
        <v>100</v>
      </c>
      <c r="T18" s="704" t="s">
        <v>14</v>
      </c>
      <c r="U18" s="705">
        <f>H18</f>
        <v>100</v>
      </c>
      <c r="V18" s="704" t="s">
        <v>14</v>
      </c>
      <c r="W18" s="705">
        <f>J18</f>
        <v>100</v>
      </c>
      <c r="X18" s="1354"/>
      <c r="Y18" s="369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690"/>
      <c r="Q19" s="1351"/>
      <c r="R19" s="704"/>
      <c r="S19" s="705"/>
      <c r="T19" s="704"/>
      <c r="U19" s="705"/>
      <c r="V19" s="704"/>
      <c r="W19" s="705"/>
      <c r="X19" s="1354"/>
      <c r="Y19" s="3690"/>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0"/>
      <c r="Q20" s="1351" t="str">
        <f>B20</f>
        <v>自然及人文环境</v>
      </c>
      <c r="R20" s="704" t="s">
        <v>14</v>
      </c>
      <c r="S20" s="705">
        <f>F20</f>
        <v>100</v>
      </c>
      <c r="T20" s="704" t="s">
        <v>14</v>
      </c>
      <c r="U20" s="705">
        <f>H20</f>
        <v>100</v>
      </c>
      <c r="V20" s="704" t="s">
        <v>14</v>
      </c>
      <c r="W20" s="705">
        <f>J20</f>
        <v>100</v>
      </c>
      <c r="X20" s="1354"/>
      <c r="Y20" s="369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690"/>
      <c r="Q21" s="1351"/>
      <c r="R21" s="704"/>
      <c r="S21" s="705"/>
      <c r="T21" s="704"/>
      <c r="U21" s="705"/>
      <c r="V21" s="704"/>
      <c r="W21" s="705"/>
      <c r="X21" s="1354"/>
      <c r="Y21" s="369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0"/>
      <c r="Q22" s="1351" t="str">
        <f>B22</f>
        <v>楼层</v>
      </c>
      <c r="R22" s="704" t="s">
        <v>14</v>
      </c>
      <c r="S22" s="705">
        <f>F22</f>
        <v>100</v>
      </c>
      <c r="T22" s="704" t="s">
        <v>14</v>
      </c>
      <c r="U22" s="705">
        <f>H22</f>
        <v>100</v>
      </c>
      <c r="V22" s="704" t="s">
        <v>14</v>
      </c>
      <c r="W22" s="705">
        <f>J22</f>
        <v>100</v>
      </c>
      <c r="X22" s="1354"/>
      <c r="Y22" s="369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0"/>
      <c r="Q23" s="1351">
        <f>B23</f>
        <v>111</v>
      </c>
      <c r="R23" s="704" t="s">
        <v>14</v>
      </c>
      <c r="S23" s="705">
        <f>F23</f>
        <v>100</v>
      </c>
      <c r="T23" s="704" t="s">
        <v>14</v>
      </c>
      <c r="U23" s="705">
        <f>H23</f>
        <v>100</v>
      </c>
      <c r="V23" s="704" t="s">
        <v>14</v>
      </c>
      <c r="W23" s="705">
        <f>J23</f>
        <v>100</v>
      </c>
      <c r="X23" s="1354"/>
      <c r="Y23" s="369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0"/>
      <c r="Q24" s="1351">
        <f t="shared" ref="Q24:Q34" si="11">B24</f>
        <v>111</v>
      </c>
      <c r="R24" s="704" t="s">
        <v>14</v>
      </c>
      <c r="S24" s="705">
        <f>F24</f>
        <v>100</v>
      </c>
      <c r="T24" s="704" t="s">
        <v>14</v>
      </c>
      <c r="U24" s="705">
        <f>H24</f>
        <v>100</v>
      </c>
      <c r="V24" s="704" t="s">
        <v>14</v>
      </c>
      <c r="W24" s="705">
        <f>J24</f>
        <v>100</v>
      </c>
      <c r="X24" s="1354"/>
      <c r="Y24" s="3690"/>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5"/>
      <c r="M25" s="2716"/>
      <c r="N25" s="2716"/>
      <c r="O25" s="2770"/>
      <c r="P25" s="3690"/>
      <c r="Q25" s="1342">
        <f t="shared" si="11"/>
        <v>111</v>
      </c>
      <c r="R25" s="700" t="s">
        <v>14</v>
      </c>
      <c r="S25" s="701">
        <f>F25</f>
        <v>100</v>
      </c>
      <c r="T25" s="700" t="s">
        <v>14</v>
      </c>
      <c r="U25" s="701">
        <f>H25</f>
        <v>100</v>
      </c>
      <c r="V25" s="700" t="s">
        <v>14</v>
      </c>
      <c r="W25" s="701">
        <f>J25</f>
        <v>100</v>
      </c>
      <c r="X25" s="702"/>
      <c r="Y25" s="3690"/>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0"/>
      <c r="M26" s="2714"/>
      <c r="N26" s="2714"/>
      <c r="O26" s="2772"/>
      <c r="P26" s="3745"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4"/>
      <c r="Q27" s="706" t="str">
        <f t="shared" si="11"/>
        <v>成新率</v>
      </c>
      <c r="R27" s="707" t="s">
        <v>14</v>
      </c>
      <c r="S27" s="708" t="e">
        <f t="shared" si="12"/>
        <v>#N/A</v>
      </c>
      <c r="T27" s="707" t="s">
        <v>14</v>
      </c>
      <c r="U27" s="708" t="e">
        <f t="shared" si="13"/>
        <v>#N/A</v>
      </c>
      <c r="V27" s="707" t="s">
        <v>14</v>
      </c>
      <c r="W27" s="708" t="e">
        <f t="shared" si="14"/>
        <v>#N/A</v>
      </c>
      <c r="X27" s="709"/>
      <c r="Y27" s="3694"/>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4"/>
      <c r="Q28" s="1351" t="str">
        <f t="shared" si="11"/>
        <v>物业等级</v>
      </c>
      <c r="R28" s="704" t="s">
        <v>14</v>
      </c>
      <c r="S28" s="705">
        <f t="shared" si="12"/>
        <v>100</v>
      </c>
      <c r="T28" s="704" t="s">
        <v>14</v>
      </c>
      <c r="U28" s="705">
        <f t="shared" si="13"/>
        <v>100</v>
      </c>
      <c r="V28" s="704" t="s">
        <v>14</v>
      </c>
      <c r="W28" s="705">
        <f t="shared" si="14"/>
        <v>100</v>
      </c>
      <c r="X28" s="1354"/>
      <c r="Y28" s="3694"/>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694"/>
      <c r="Q29" s="1351" t="str">
        <f t="shared" si="11"/>
        <v>有无电梯</v>
      </c>
      <c r="R29" s="704" t="s">
        <v>14</v>
      </c>
      <c r="S29" s="705">
        <f t="shared" si="12"/>
        <v>100</v>
      </c>
      <c r="T29" s="704" t="s">
        <v>14</v>
      </c>
      <c r="U29" s="705">
        <f t="shared" si="13"/>
        <v>100</v>
      </c>
      <c r="V29" s="704" t="s">
        <v>14</v>
      </c>
      <c r="W29" s="705">
        <f t="shared" si="14"/>
        <v>100</v>
      </c>
      <c r="X29" s="1354"/>
      <c r="Y29" s="369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4"/>
      <c r="Q30" s="1351" t="str">
        <f t="shared" si="11"/>
        <v>建筑面积</v>
      </c>
      <c r="R30" s="704" t="s">
        <v>14</v>
      </c>
      <c r="S30" s="705" t="e">
        <f t="shared" si="12"/>
        <v>#N/A</v>
      </c>
      <c r="T30" s="704" t="s">
        <v>14</v>
      </c>
      <c r="U30" s="705" t="e">
        <f t="shared" si="13"/>
        <v>#N/A</v>
      </c>
      <c r="V30" s="704" t="s">
        <v>14</v>
      </c>
      <c r="W30" s="705" t="e">
        <f t="shared" si="14"/>
        <v>#N/A</v>
      </c>
      <c r="X30" s="1354"/>
      <c r="Y30" s="3694"/>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694"/>
      <c r="Q31" s="1342" t="str">
        <f t="shared" si="11"/>
        <v>是否封闭</v>
      </c>
      <c r="R31" s="700" t="s">
        <v>14</v>
      </c>
      <c r="S31" s="701">
        <f t="shared" si="12"/>
        <v>100</v>
      </c>
      <c r="T31" s="700" t="s">
        <v>14</v>
      </c>
      <c r="U31" s="701">
        <f t="shared" si="13"/>
        <v>100</v>
      </c>
      <c r="V31" s="700" t="s">
        <v>14</v>
      </c>
      <c r="W31" s="701">
        <f t="shared" si="14"/>
        <v>100</v>
      </c>
      <c r="X31" s="702"/>
      <c r="Y31" s="3694"/>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4" t="s">
        <v>1696</v>
      </c>
      <c r="Q32" s="1351">
        <f t="shared" si="11"/>
        <v>111</v>
      </c>
      <c r="R32" s="704" t="s">
        <v>14</v>
      </c>
      <c r="S32" s="705">
        <f t="shared" si="12"/>
        <v>100</v>
      </c>
      <c r="T32" s="704" t="s">
        <v>14</v>
      </c>
      <c r="U32" s="705">
        <f t="shared" si="13"/>
        <v>100</v>
      </c>
      <c r="V32" s="704" t="s">
        <v>14</v>
      </c>
      <c r="W32" s="705">
        <f t="shared" si="14"/>
        <v>100</v>
      </c>
      <c r="X32" s="1354"/>
      <c r="Y32" s="369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4"/>
      <c r="Q33" s="1351">
        <f t="shared" si="11"/>
        <v>111</v>
      </c>
      <c r="R33" s="704" t="s">
        <v>14</v>
      </c>
      <c r="S33" s="705">
        <f t="shared" si="12"/>
        <v>100</v>
      </c>
      <c r="T33" s="704" t="s">
        <v>14</v>
      </c>
      <c r="U33" s="705">
        <f t="shared" si="13"/>
        <v>100</v>
      </c>
      <c r="V33" s="704" t="s">
        <v>14</v>
      </c>
      <c r="W33" s="705">
        <f t="shared" si="14"/>
        <v>100</v>
      </c>
      <c r="X33" s="1354"/>
      <c r="Y33" s="369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694"/>
      <c r="Q34" s="1351">
        <f t="shared" si="11"/>
        <v>111</v>
      </c>
      <c r="R34" s="704" t="s">
        <v>14</v>
      </c>
      <c r="S34" s="705">
        <f t="shared" si="12"/>
        <v>100</v>
      </c>
      <c r="T34" s="704" t="s">
        <v>14</v>
      </c>
      <c r="U34" s="705">
        <f t="shared" si="13"/>
        <v>100</v>
      </c>
      <c r="V34" s="704" t="s">
        <v>14</v>
      </c>
      <c r="W34" s="705">
        <f t="shared" si="14"/>
        <v>100</v>
      </c>
      <c r="X34" s="1354"/>
      <c r="Y34" s="3694"/>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687" t="str">
        <f>A35</f>
        <v>成交单价（元/平方米）</v>
      </c>
      <c r="Q35" s="3687"/>
      <c r="R35" s="3688">
        <f>E35</f>
        <v>0</v>
      </c>
      <c r="S35" s="3688"/>
      <c r="T35" s="3688">
        <f>G35</f>
        <v>0</v>
      </c>
      <c r="U35" s="3688"/>
      <c r="V35" s="3688">
        <f>I35</f>
        <v>0</v>
      </c>
      <c r="W35" s="3688"/>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2"/>
      <c r="M36" s="2723"/>
      <c r="N36" s="2714"/>
      <c r="O36" s="2723"/>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684" t="str">
        <f>A37</f>
        <v>估价对象XX用房的比较价值（楼面单价，元/平方米）</v>
      </c>
      <c r="Q37" s="3685"/>
      <c r="R37" s="3746" t="e">
        <f>IF(F1="售价",ROUND(IF(D36="简单平均",AVERAGE(R36:W36),R36*F36+T36*H36+V36*J36),0),ROUND(IF(D36="简单平均",AVERAGE(R36:V36),R36*F36+T36*H36+V36*J36),1))</f>
        <v>#DIV/0!</v>
      </c>
      <c r="S37" s="3746"/>
      <c r="T37" s="3746"/>
      <c r="U37" s="3746"/>
      <c r="V37" s="3746"/>
      <c r="W37" s="3746"/>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2025-5</v>
      </c>
      <c r="D46" s="1184">
        <f>EDATE(C46,-1)</f>
        <v>45748</v>
      </c>
      <c r="E46" s="1184">
        <f t="shared" ref="E46:O46" si="16">EDATE(D46,-1)</f>
        <v>45717</v>
      </c>
      <c r="F46" s="1184">
        <f t="shared" si="16"/>
        <v>45689</v>
      </c>
      <c r="G46" s="1184">
        <f t="shared" si="16"/>
        <v>45658</v>
      </c>
      <c r="H46" s="1184">
        <f t="shared" si="16"/>
        <v>45627</v>
      </c>
      <c r="I46" s="1184">
        <f t="shared" si="16"/>
        <v>45597</v>
      </c>
      <c r="J46" s="1184">
        <f t="shared" si="16"/>
        <v>45566</v>
      </c>
      <c r="K46" s="1184">
        <f t="shared" si="16"/>
        <v>45536</v>
      </c>
      <c r="L46" s="1184">
        <f t="shared" si="16"/>
        <v>45505</v>
      </c>
      <c r="M46" s="1184">
        <f t="shared" si="16"/>
        <v>45474</v>
      </c>
      <c r="N46" s="1184">
        <f t="shared" si="16"/>
        <v>45444</v>
      </c>
      <c r="O46" s="1184">
        <f t="shared" si="16"/>
        <v>45413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702" t="s">
        <v>1770</v>
      </c>
      <c r="D4" s="3703"/>
      <c r="E4" s="3704" t="s">
        <v>1771</v>
      </c>
      <c r="F4" s="3705"/>
      <c r="G4" s="3702" t="s">
        <v>1772</v>
      </c>
      <c r="H4" s="3703"/>
      <c r="I4" s="3702" t="s">
        <v>1773</v>
      </c>
      <c r="J4" s="3703"/>
      <c r="K4" s="559" t="s">
        <v>1774</v>
      </c>
      <c r="L4" s="2713"/>
      <c r="M4" s="2714"/>
      <c r="N4" s="2714"/>
      <c r="O4" s="2714"/>
      <c r="P4" s="3706" t="s">
        <v>1775</v>
      </c>
      <c r="Q4" s="3707"/>
      <c r="R4" s="3712" t="s">
        <v>1771</v>
      </c>
      <c r="S4" s="3713"/>
      <c r="T4" s="3712" t="s">
        <v>1772</v>
      </c>
      <c r="U4" s="3713"/>
      <c r="V4" s="3718" t="s">
        <v>1773</v>
      </c>
      <c r="W4" s="3718"/>
      <c r="X4" s="1354"/>
      <c r="Y4" s="3712" t="s">
        <v>1775</v>
      </c>
      <c r="Z4" s="3713"/>
      <c r="AA4" s="3699" t="s">
        <v>1771</v>
      </c>
      <c r="AB4" s="3700" t="s">
        <v>1772</v>
      </c>
      <c r="AC4" s="3699" t="s">
        <v>1773</v>
      </c>
    </row>
    <row r="5" spans="1:30" ht="15">
      <c r="A5" s="358"/>
      <c r="B5" s="359"/>
      <c r="C5" s="3721" t="s">
        <v>1673</v>
      </c>
      <c r="D5" s="3722"/>
      <c r="E5" s="3728" t="s">
        <v>1674</v>
      </c>
      <c r="F5" s="3729"/>
      <c r="G5" s="3721" t="s">
        <v>1675</v>
      </c>
      <c r="H5" s="3722"/>
      <c r="I5" s="3721" t="s">
        <v>1676</v>
      </c>
      <c r="J5" s="3722"/>
      <c r="K5" s="559"/>
      <c r="L5" s="2713"/>
      <c r="M5" s="2714"/>
      <c r="N5" s="2714"/>
      <c r="O5" s="2714"/>
      <c r="P5" s="3708"/>
      <c r="Q5" s="3709"/>
      <c r="R5" s="3714"/>
      <c r="S5" s="3715"/>
      <c r="T5" s="3714"/>
      <c r="U5" s="3715"/>
      <c r="V5" s="3718"/>
      <c r="W5" s="3718"/>
      <c r="X5" s="1354"/>
      <c r="Y5" s="3714"/>
      <c r="Z5" s="3715"/>
      <c r="AA5" s="3700"/>
      <c r="AB5" s="3700"/>
      <c r="AC5" s="3700"/>
    </row>
    <row r="6" spans="1:30" ht="15.75" thickBot="1">
      <c r="A6" s="360"/>
      <c r="B6" s="361"/>
      <c r="C6" s="3719" t="s">
        <v>1677</v>
      </c>
      <c r="D6" s="3720"/>
      <c r="E6" s="3726" t="s">
        <v>1677</v>
      </c>
      <c r="F6" s="3727"/>
      <c r="G6" s="3719" t="s">
        <v>1677</v>
      </c>
      <c r="H6" s="3720"/>
      <c r="I6" s="3719" t="s">
        <v>1677</v>
      </c>
      <c r="J6" s="3720"/>
      <c r="K6" s="559" t="s">
        <v>1678</v>
      </c>
      <c r="L6" s="2713"/>
      <c r="M6" s="2714"/>
      <c r="N6" s="2714"/>
      <c r="O6" s="2714"/>
      <c r="P6" s="3710"/>
      <c r="Q6" s="3711"/>
      <c r="R6" s="3714"/>
      <c r="S6" s="3715"/>
      <c r="T6" s="3716"/>
      <c r="U6" s="3717"/>
      <c r="V6" s="3718"/>
      <c r="W6" s="3718"/>
      <c r="X6" s="1354"/>
      <c r="Y6" s="3716"/>
      <c r="Z6" s="3717"/>
      <c r="AA6" s="3701"/>
      <c r="AB6" s="3701"/>
      <c r="AC6" s="3701"/>
    </row>
    <row r="7" spans="1:30" s="108" customFormat="1" ht="15.75" thickBot="1">
      <c r="A7" s="362" t="s">
        <v>1679</v>
      </c>
      <c r="B7" s="363"/>
      <c r="C7" s="364">
        <f>'数据-取费表'!B2</f>
        <v>45793</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23" t="s">
        <v>1680</v>
      </c>
      <c r="Q7" s="3725"/>
      <c r="R7" s="700" t="s">
        <v>14</v>
      </c>
      <c r="S7" s="701">
        <f t="shared" ref="S7:S15" si="0">F7</f>
        <v>0</v>
      </c>
      <c r="T7" s="700" t="s">
        <v>14</v>
      </c>
      <c r="U7" s="701">
        <f t="shared" ref="U7:U15" si="1">H7</f>
        <v>0</v>
      </c>
      <c r="V7" s="700" t="s">
        <v>14</v>
      </c>
      <c r="W7" s="701">
        <f t="shared" ref="W7:W15" si="2">J7</f>
        <v>0</v>
      </c>
      <c r="X7" s="702"/>
      <c r="Y7" s="3723" t="s">
        <v>1680</v>
      </c>
      <c r="Z7" s="372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23" t="s">
        <v>1683</v>
      </c>
      <c r="Q8" s="3724"/>
      <c r="R8" s="700" t="s">
        <v>14</v>
      </c>
      <c r="S8" s="701">
        <f t="shared" si="0"/>
        <v>0</v>
      </c>
      <c r="T8" s="700" t="s">
        <v>14</v>
      </c>
      <c r="U8" s="701">
        <f t="shared" si="1"/>
        <v>0</v>
      </c>
      <c r="V8" s="700" t="s">
        <v>14</v>
      </c>
      <c r="W8" s="701">
        <f t="shared" si="2"/>
        <v>0</v>
      </c>
      <c r="X8" s="702"/>
      <c r="Y8" s="3723" t="s">
        <v>1683</v>
      </c>
      <c r="Z8" s="3724"/>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87"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165</v>
      </c>
      <c r="G10" s="414"/>
      <c r="H10" s="127">
        <f>ROUND(100/'数据-取费表'!G16,0)</f>
        <v>165</v>
      </c>
      <c r="I10" s="414"/>
      <c r="J10" s="127">
        <f>ROUND(100/'数据-取费表'!G16,0)</f>
        <v>165</v>
      </c>
      <c r="K10" s="619"/>
      <c r="L10" s="2717"/>
      <c r="M10" s="2718"/>
      <c r="N10" s="2718"/>
      <c r="O10" s="2771"/>
      <c r="P10" s="3687"/>
      <c r="Q10" s="1342" t="str">
        <f t="shared" si="6"/>
        <v>土地使用年限（年）</v>
      </c>
      <c r="R10" s="700" t="s">
        <v>14</v>
      </c>
      <c r="S10" s="701">
        <f t="shared" si="0"/>
        <v>165</v>
      </c>
      <c r="T10" s="700" t="s">
        <v>14</v>
      </c>
      <c r="U10" s="701">
        <f t="shared" si="1"/>
        <v>165</v>
      </c>
      <c r="V10" s="700" t="s">
        <v>14</v>
      </c>
      <c r="W10" s="701">
        <f t="shared" si="2"/>
        <v>165</v>
      </c>
      <c r="X10" s="702"/>
      <c r="Y10" s="3562"/>
      <c r="Z10" s="52" t="str">
        <f t="shared" si="7"/>
        <v>土地使用年限（年）</v>
      </c>
      <c r="AA10" s="703">
        <f t="shared" si="3"/>
        <v>0.60606060606060608</v>
      </c>
      <c r="AB10" s="703">
        <f t="shared" si="4"/>
        <v>0.60606060606060608</v>
      </c>
      <c r="AC10" s="703">
        <f t="shared" si="5"/>
        <v>0.60606060606060608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87"/>
      <c r="Q11" s="1342" t="str">
        <f t="shared" si="6"/>
        <v>容积率</v>
      </c>
      <c r="R11" s="700" t="s">
        <v>14</v>
      </c>
      <c r="S11" s="701" t="e">
        <f t="shared" si="0"/>
        <v>#N/A</v>
      </c>
      <c r="T11" s="700" t="s">
        <v>14</v>
      </c>
      <c r="U11" s="701" t="e">
        <f t="shared" si="1"/>
        <v>#N/A</v>
      </c>
      <c r="V11" s="700" t="s">
        <v>14</v>
      </c>
      <c r="W11" s="701" t="e">
        <f t="shared" si="2"/>
        <v>#N/A</v>
      </c>
      <c r="X11" s="702"/>
      <c r="Y11" s="3562"/>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87"/>
      <c r="Q12" s="1342" t="str">
        <f t="shared" si="6"/>
        <v>配建</v>
      </c>
      <c r="R12" s="700" t="s">
        <v>14</v>
      </c>
      <c r="S12" s="701">
        <f t="shared" si="0"/>
        <v>100</v>
      </c>
      <c r="T12" s="700" t="s">
        <v>14</v>
      </c>
      <c r="U12" s="701">
        <f t="shared" si="1"/>
        <v>100</v>
      </c>
      <c r="V12" s="700" t="s">
        <v>14</v>
      </c>
      <c r="W12" s="701">
        <f t="shared" si="2"/>
        <v>100</v>
      </c>
      <c r="X12" s="702"/>
      <c r="Y12" s="356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87"/>
      <c r="Q13" s="1342">
        <f t="shared" si="6"/>
        <v>111</v>
      </c>
      <c r="R13" s="700" t="s">
        <v>14</v>
      </c>
      <c r="S13" s="701">
        <f t="shared" si="0"/>
        <v>100</v>
      </c>
      <c r="T13" s="700" t="s">
        <v>14</v>
      </c>
      <c r="U13" s="701">
        <f t="shared" si="1"/>
        <v>100</v>
      </c>
      <c r="V13" s="700" t="s">
        <v>14</v>
      </c>
      <c r="W13" s="701">
        <f t="shared" si="2"/>
        <v>100</v>
      </c>
      <c r="X13" s="702"/>
      <c r="Y13" s="356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87"/>
      <c r="Q14" s="1342">
        <f t="shared" si="6"/>
        <v>111</v>
      </c>
      <c r="R14" s="700" t="s">
        <v>14</v>
      </c>
      <c r="S14" s="701">
        <f t="shared" si="0"/>
        <v>100</v>
      </c>
      <c r="T14" s="700" t="s">
        <v>14</v>
      </c>
      <c r="U14" s="701">
        <f t="shared" si="1"/>
        <v>100</v>
      </c>
      <c r="V14" s="700" t="s">
        <v>14</v>
      </c>
      <c r="W14" s="701">
        <f t="shared" si="2"/>
        <v>100</v>
      </c>
      <c r="X14" s="702"/>
      <c r="Y14" s="3562"/>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689" t="s">
        <v>1691</v>
      </c>
      <c r="Q15" s="1351" t="str">
        <f t="shared" si="6"/>
        <v>居住社区成熟度</v>
      </c>
      <c r="R15" s="704" t="s">
        <v>14</v>
      </c>
      <c r="S15" s="705">
        <f t="shared" si="0"/>
        <v>100</v>
      </c>
      <c r="T15" s="704" t="s">
        <v>14</v>
      </c>
      <c r="U15" s="705">
        <f t="shared" si="1"/>
        <v>100</v>
      </c>
      <c r="V15" s="704" t="s">
        <v>14</v>
      </c>
      <c r="W15" s="705">
        <f t="shared" si="2"/>
        <v>100</v>
      </c>
      <c r="X15" s="1354"/>
      <c r="Y15" s="3689"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0"/>
      <c r="M16" s="2714"/>
      <c r="N16" s="2714"/>
      <c r="O16" s="2772"/>
      <c r="P16" s="3690"/>
      <c r="Q16" s="1351"/>
      <c r="R16" s="704"/>
      <c r="S16" s="705"/>
      <c r="T16" s="704"/>
      <c r="U16" s="705"/>
      <c r="V16" s="704"/>
      <c r="W16" s="705"/>
      <c r="X16" s="1354"/>
      <c r="Y16" s="3690"/>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690"/>
      <c r="Q17" s="1351" t="str">
        <f>B17</f>
        <v>商业繁华度</v>
      </c>
      <c r="R17" s="704" t="s">
        <v>14</v>
      </c>
      <c r="S17" s="705">
        <f>F17</f>
        <v>100</v>
      </c>
      <c r="T17" s="704" t="s">
        <v>14</v>
      </c>
      <c r="U17" s="705">
        <f>H17</f>
        <v>100</v>
      </c>
      <c r="V17" s="704" t="s">
        <v>14</v>
      </c>
      <c r="W17" s="705">
        <f>J17</f>
        <v>100</v>
      </c>
      <c r="X17" s="1354"/>
      <c r="Y17" s="369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0"/>
      <c r="M18" s="2714"/>
      <c r="N18" s="2714"/>
      <c r="O18" s="2772"/>
      <c r="P18" s="3690"/>
      <c r="Q18" s="1351"/>
      <c r="R18" s="704"/>
      <c r="S18" s="705"/>
      <c r="T18" s="704"/>
      <c r="U18" s="705"/>
      <c r="V18" s="704"/>
      <c r="W18" s="705"/>
      <c r="X18" s="1354"/>
      <c r="Y18" s="3690"/>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690"/>
      <c r="Q19" s="1351" t="str">
        <f>B19</f>
        <v>办公集聚程度</v>
      </c>
      <c r="R19" s="704" t="s">
        <v>14</v>
      </c>
      <c r="S19" s="705">
        <f>F19</f>
        <v>100</v>
      </c>
      <c r="T19" s="704" t="s">
        <v>14</v>
      </c>
      <c r="U19" s="705">
        <f>H19</f>
        <v>100</v>
      </c>
      <c r="V19" s="704" t="s">
        <v>14</v>
      </c>
      <c r="W19" s="705">
        <f>J19</f>
        <v>100</v>
      </c>
      <c r="X19" s="1354"/>
      <c r="Y19" s="369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0"/>
      <c r="M20" s="2714"/>
      <c r="N20" s="2714"/>
      <c r="O20" s="2772"/>
      <c r="P20" s="3690"/>
      <c r="Q20" s="1351"/>
      <c r="R20" s="704"/>
      <c r="S20" s="705"/>
      <c r="T20" s="704"/>
      <c r="U20" s="705"/>
      <c r="V20" s="704"/>
      <c r="W20" s="705"/>
      <c r="X20" s="1354"/>
      <c r="Y20" s="3690"/>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690"/>
      <c r="Q21" s="1351" t="str">
        <f>B21</f>
        <v>交通便捷度</v>
      </c>
      <c r="R21" s="704" t="s">
        <v>14</v>
      </c>
      <c r="S21" s="705">
        <f>F21</f>
        <v>100</v>
      </c>
      <c r="T21" s="704" t="s">
        <v>14</v>
      </c>
      <c r="U21" s="705">
        <f>H21</f>
        <v>100</v>
      </c>
      <c r="V21" s="704" t="s">
        <v>14</v>
      </c>
      <c r="W21" s="705">
        <f>J21</f>
        <v>100</v>
      </c>
      <c r="X21" s="1354"/>
      <c r="Y21" s="369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0"/>
      <c r="M22" s="2714"/>
      <c r="N22" s="2714"/>
      <c r="O22" s="2772"/>
      <c r="P22" s="3690"/>
      <c r="Q22" s="1351"/>
      <c r="R22" s="704"/>
      <c r="S22" s="705"/>
      <c r="T22" s="704"/>
      <c r="U22" s="705"/>
      <c r="V22" s="704"/>
      <c r="W22" s="705"/>
      <c r="X22" s="1354"/>
      <c r="Y22" s="3690"/>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690"/>
      <c r="Q23" s="1351" t="str">
        <f t="shared" ref="Q23:Q37" si="8">B23</f>
        <v>区域土地利用方向</v>
      </c>
      <c r="R23" s="704" t="s">
        <v>14</v>
      </c>
      <c r="S23" s="705">
        <f>F23</f>
        <v>100</v>
      </c>
      <c r="T23" s="704" t="s">
        <v>14</v>
      </c>
      <c r="U23" s="705">
        <f>H23</f>
        <v>100</v>
      </c>
      <c r="V23" s="704" t="s">
        <v>14</v>
      </c>
      <c r="W23" s="705">
        <f>J23</f>
        <v>100</v>
      </c>
      <c r="X23" s="1354"/>
      <c r="Y23" s="369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690"/>
      <c r="Q24" s="1351"/>
      <c r="R24" s="704"/>
      <c r="S24" s="705"/>
      <c r="T24" s="704"/>
      <c r="U24" s="705"/>
      <c r="V24" s="704"/>
      <c r="W24" s="705"/>
      <c r="X24" s="1354"/>
      <c r="Y24" s="3690"/>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690"/>
      <c r="Q25" s="1351" t="str">
        <f t="shared" si="8"/>
        <v>自然及人文环境状况</v>
      </c>
      <c r="R25" s="704" t="s">
        <v>14</v>
      </c>
      <c r="S25" s="705">
        <f>F25</f>
        <v>100</v>
      </c>
      <c r="T25" s="704" t="s">
        <v>14</v>
      </c>
      <c r="U25" s="705">
        <f>H25</f>
        <v>100</v>
      </c>
      <c r="V25" s="704" t="s">
        <v>14</v>
      </c>
      <c r="W25" s="705">
        <f>J25</f>
        <v>100</v>
      </c>
      <c r="X25" s="1354"/>
      <c r="Y25" s="369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0"/>
      <c r="M26" s="2714"/>
      <c r="N26" s="2714"/>
      <c r="O26" s="2772"/>
      <c r="P26" s="3690"/>
      <c r="Q26" s="1351"/>
      <c r="R26" s="704"/>
      <c r="S26" s="705"/>
      <c r="T26" s="704"/>
      <c r="U26" s="705"/>
      <c r="V26" s="704"/>
      <c r="W26" s="705"/>
      <c r="X26" s="1354"/>
      <c r="Y26" s="3690"/>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690"/>
      <c r="Q27" s="1342" t="str">
        <f t="shared" si="8"/>
        <v>公共配套设施</v>
      </c>
      <c r="R27" s="700" t="s">
        <v>14</v>
      </c>
      <c r="S27" s="701">
        <f>F27</f>
        <v>100</v>
      </c>
      <c r="T27" s="700" t="s">
        <v>14</v>
      </c>
      <c r="U27" s="701">
        <f>H27</f>
        <v>100</v>
      </c>
      <c r="V27" s="700" t="s">
        <v>14</v>
      </c>
      <c r="W27" s="701">
        <f>J27</f>
        <v>100</v>
      </c>
      <c r="X27" s="702"/>
      <c r="Y27" s="3690"/>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5"/>
      <c r="M28" s="2716"/>
      <c r="N28" s="2716"/>
      <c r="O28" s="2770"/>
      <c r="P28" s="3690"/>
      <c r="Q28" s="1342"/>
      <c r="R28" s="700"/>
      <c r="S28" s="701"/>
      <c r="T28" s="700"/>
      <c r="U28" s="701"/>
      <c r="V28" s="700"/>
      <c r="W28" s="701"/>
      <c r="X28" s="702"/>
      <c r="Y28" s="3690"/>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690"/>
      <c r="Q29" s="1342" t="str">
        <f t="shared" ref="Q29" si="9">B29</f>
        <v>基础设施水平</v>
      </c>
      <c r="R29" s="700" t="s">
        <v>14</v>
      </c>
      <c r="S29" s="701">
        <f>F29</f>
        <v>100</v>
      </c>
      <c r="T29" s="700" t="s">
        <v>14</v>
      </c>
      <c r="U29" s="701">
        <f>H29</f>
        <v>100</v>
      </c>
      <c r="V29" s="700" t="s">
        <v>14</v>
      </c>
      <c r="W29" s="701">
        <f>J29</f>
        <v>100</v>
      </c>
      <c r="X29" s="702"/>
      <c r="Y29" s="3690"/>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5"/>
      <c r="M30" s="2716"/>
      <c r="N30" s="2716"/>
      <c r="O30" s="2770"/>
      <c r="P30" s="3690"/>
      <c r="Q30" s="1342"/>
      <c r="R30" s="700"/>
      <c r="S30" s="701"/>
      <c r="T30" s="700"/>
      <c r="U30" s="701"/>
      <c r="V30" s="700"/>
      <c r="W30" s="701"/>
      <c r="X30" s="702"/>
      <c r="Y30" s="3690"/>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69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0"/>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690"/>
      <c r="Q32" s="1351" t="str">
        <f t="shared" si="8"/>
        <v>毗邻道路的类型与等级</v>
      </c>
      <c r="R32" s="704" t="s">
        <v>14</v>
      </c>
      <c r="S32" s="705">
        <f t="shared" si="10"/>
        <v>100</v>
      </c>
      <c r="T32" s="704" t="s">
        <v>14</v>
      </c>
      <c r="U32" s="705">
        <f t="shared" si="11"/>
        <v>100</v>
      </c>
      <c r="V32" s="704" t="s">
        <v>14</v>
      </c>
      <c r="W32" s="705">
        <f t="shared" si="12"/>
        <v>100</v>
      </c>
      <c r="X32" s="1354"/>
      <c r="Y32" s="369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690"/>
      <c r="Q33" s="1351"/>
      <c r="R33" s="704"/>
      <c r="S33" s="705"/>
      <c r="T33" s="704"/>
      <c r="U33" s="705"/>
      <c r="V33" s="704"/>
      <c r="W33" s="705"/>
      <c r="X33" s="1354"/>
      <c r="Y33" s="3690"/>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690"/>
      <c r="Q34" s="1351" t="str">
        <f t="shared" si="8"/>
        <v>土地级别</v>
      </c>
      <c r="R34" s="704" t="s">
        <v>14</v>
      </c>
      <c r="S34" s="705">
        <f t="shared" si="10"/>
        <v>100</v>
      </c>
      <c r="T34" s="704" t="s">
        <v>14</v>
      </c>
      <c r="U34" s="705">
        <f t="shared" si="11"/>
        <v>100</v>
      </c>
      <c r="V34" s="704" t="s">
        <v>14</v>
      </c>
      <c r="W34" s="705">
        <f t="shared" si="12"/>
        <v>100</v>
      </c>
      <c r="X34" s="1354"/>
      <c r="Y34" s="3690"/>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690"/>
      <c r="Q35" s="1351">
        <f t="shared" si="8"/>
        <v>111</v>
      </c>
      <c r="R35" s="704" t="s">
        <v>14</v>
      </c>
      <c r="S35" s="705">
        <f t="shared" si="10"/>
        <v>100</v>
      </c>
      <c r="T35" s="704" t="s">
        <v>14</v>
      </c>
      <c r="U35" s="705">
        <f t="shared" si="11"/>
        <v>100</v>
      </c>
      <c r="V35" s="704" t="s">
        <v>14</v>
      </c>
      <c r="W35" s="705">
        <f t="shared" si="12"/>
        <v>100</v>
      </c>
      <c r="X35" s="1354"/>
      <c r="Y35" s="3690"/>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45" t="s">
        <v>1696</v>
      </c>
      <c r="Q36" s="1351">
        <f t="shared" si="8"/>
        <v>111</v>
      </c>
      <c r="R36" s="704" t="s">
        <v>14</v>
      </c>
      <c r="S36" s="705">
        <f t="shared" si="10"/>
        <v>100</v>
      </c>
      <c r="T36" s="704" t="s">
        <v>14</v>
      </c>
      <c r="U36" s="705">
        <f t="shared" si="11"/>
        <v>100</v>
      </c>
      <c r="V36" s="704" t="s">
        <v>14</v>
      </c>
      <c r="W36" s="705">
        <f t="shared" si="12"/>
        <v>100</v>
      </c>
      <c r="X36" s="1354"/>
      <c r="Y36" s="3694"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694"/>
      <c r="Q37" s="1351">
        <f t="shared" si="8"/>
        <v>111</v>
      </c>
      <c r="R37" s="707" t="s">
        <v>14</v>
      </c>
      <c r="S37" s="708">
        <f t="shared" si="10"/>
        <v>100</v>
      </c>
      <c r="T37" s="707" t="s">
        <v>14</v>
      </c>
      <c r="U37" s="708">
        <f t="shared" si="11"/>
        <v>100</v>
      </c>
      <c r="V37" s="707" t="s">
        <v>14</v>
      </c>
      <c r="W37" s="708">
        <f t="shared" si="12"/>
        <v>100</v>
      </c>
      <c r="X37" s="709"/>
      <c r="Y37" s="3694"/>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694"/>
      <c r="Q38" s="1351" t="str">
        <f>B38</f>
        <v>宗地面积</v>
      </c>
      <c r="R38" s="704" t="s">
        <v>14</v>
      </c>
      <c r="S38" s="705" t="e">
        <f t="shared" si="10"/>
        <v>#N/A</v>
      </c>
      <c r="T38" s="704" t="s">
        <v>14</v>
      </c>
      <c r="U38" s="705" t="e">
        <f t="shared" si="11"/>
        <v>#N/A</v>
      </c>
      <c r="V38" s="704" t="s">
        <v>14</v>
      </c>
      <c r="W38" s="705" t="e">
        <f t="shared" si="12"/>
        <v>#N/A</v>
      </c>
      <c r="X38" s="1354"/>
      <c r="Y38" s="3694"/>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694"/>
      <c r="Q39" s="1351" t="str">
        <f t="shared" ref="Q39:Q45" si="14">B39</f>
        <v>宗地形状</v>
      </c>
      <c r="R39" s="704" t="s">
        <v>14</v>
      </c>
      <c r="S39" s="705">
        <f t="shared" si="10"/>
        <v>100</v>
      </c>
      <c r="T39" s="704" t="s">
        <v>14</v>
      </c>
      <c r="U39" s="705">
        <f t="shared" si="11"/>
        <v>100</v>
      </c>
      <c r="V39" s="704" t="s">
        <v>14</v>
      </c>
      <c r="W39" s="705">
        <f t="shared" si="12"/>
        <v>100</v>
      </c>
      <c r="X39" s="1354"/>
      <c r="Y39" s="369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694"/>
      <c r="Q40" s="1351" t="str">
        <f t="shared" si="14"/>
        <v>临街宽度及深度</v>
      </c>
      <c r="R40" s="704" t="s">
        <v>14</v>
      </c>
      <c r="S40" s="705">
        <f t="shared" si="10"/>
        <v>100</v>
      </c>
      <c r="T40" s="704" t="s">
        <v>14</v>
      </c>
      <c r="U40" s="705">
        <f t="shared" si="11"/>
        <v>100</v>
      </c>
      <c r="V40" s="704" t="s">
        <v>14</v>
      </c>
      <c r="W40" s="705">
        <f t="shared" si="12"/>
        <v>100</v>
      </c>
      <c r="X40" s="1354"/>
      <c r="Y40" s="3694"/>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694"/>
      <c r="Q41" s="1351" t="str">
        <f t="shared" si="14"/>
        <v>宗地开发程度</v>
      </c>
      <c r="R41" s="700" t="s">
        <v>14</v>
      </c>
      <c r="S41" s="701">
        <f t="shared" si="10"/>
        <v>100</v>
      </c>
      <c r="T41" s="700" t="s">
        <v>14</v>
      </c>
      <c r="U41" s="701">
        <f t="shared" si="11"/>
        <v>100</v>
      </c>
      <c r="V41" s="700" t="s">
        <v>14</v>
      </c>
      <c r="W41" s="701">
        <f t="shared" si="12"/>
        <v>100</v>
      </c>
      <c r="X41" s="702"/>
      <c r="Y41" s="3694"/>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694" t="s">
        <v>1696</v>
      </c>
      <c r="Q42" s="1351" t="str">
        <f t="shared" si="14"/>
        <v>工程地质条件</v>
      </c>
      <c r="R42" s="704" t="s">
        <v>14</v>
      </c>
      <c r="S42" s="705">
        <f t="shared" si="10"/>
        <v>100</v>
      </c>
      <c r="T42" s="704" t="s">
        <v>14</v>
      </c>
      <c r="U42" s="705">
        <f t="shared" si="11"/>
        <v>100</v>
      </c>
      <c r="V42" s="704" t="s">
        <v>14</v>
      </c>
      <c r="W42" s="705">
        <f t="shared" si="12"/>
        <v>100</v>
      </c>
      <c r="X42" s="1354"/>
      <c r="Y42" s="3694"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694"/>
      <c r="Q43" s="1351">
        <f t="shared" si="14"/>
        <v>111</v>
      </c>
      <c r="R43" s="704" t="s">
        <v>14</v>
      </c>
      <c r="S43" s="705">
        <f t="shared" si="10"/>
        <v>100</v>
      </c>
      <c r="T43" s="704" t="s">
        <v>14</v>
      </c>
      <c r="U43" s="705">
        <f t="shared" si="11"/>
        <v>100</v>
      </c>
      <c r="V43" s="704" t="s">
        <v>14</v>
      </c>
      <c r="W43" s="705">
        <f t="shared" si="12"/>
        <v>100</v>
      </c>
      <c r="X43" s="1354"/>
      <c r="Y43" s="3694"/>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694"/>
      <c r="Q44" s="1351">
        <f t="shared" si="14"/>
        <v>111</v>
      </c>
      <c r="R44" s="704" t="s">
        <v>14</v>
      </c>
      <c r="S44" s="705">
        <f t="shared" si="10"/>
        <v>100</v>
      </c>
      <c r="T44" s="704" t="s">
        <v>14</v>
      </c>
      <c r="U44" s="705">
        <f t="shared" si="11"/>
        <v>100</v>
      </c>
      <c r="V44" s="704" t="s">
        <v>14</v>
      </c>
      <c r="W44" s="705">
        <f t="shared" si="12"/>
        <v>100</v>
      </c>
      <c r="X44" s="1354"/>
      <c r="Y44" s="3694"/>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694"/>
      <c r="Q45" s="1351">
        <f t="shared" si="14"/>
        <v>111</v>
      </c>
      <c r="R45" s="707" t="s">
        <v>14</v>
      </c>
      <c r="S45" s="708">
        <f t="shared" si="10"/>
        <v>100</v>
      </c>
      <c r="T45" s="707" t="s">
        <v>14</v>
      </c>
      <c r="U45" s="708">
        <f t="shared" si="11"/>
        <v>100</v>
      </c>
      <c r="V45" s="707" t="s">
        <v>14</v>
      </c>
      <c r="W45" s="708">
        <f t="shared" si="12"/>
        <v>100</v>
      </c>
      <c r="X45" s="709"/>
      <c r="Y45" s="3694"/>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2"/>
      <c r="M46" s="2723"/>
      <c r="N46" s="2714"/>
      <c r="O46" s="2723"/>
      <c r="P46" s="3687" t="str">
        <f>A46</f>
        <v>成交单价</v>
      </c>
      <c r="Q46" s="3687"/>
      <c r="R46" s="3718">
        <f>E46</f>
        <v>0</v>
      </c>
      <c r="S46" s="3718"/>
      <c r="T46" s="3718">
        <f>G46</f>
        <v>0</v>
      </c>
      <c r="U46" s="3718"/>
      <c r="V46" s="3718">
        <f>I46</f>
        <v>0</v>
      </c>
      <c r="W46" s="3718"/>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2"/>
      <c r="M47" s="2723"/>
      <c r="N47" s="2723"/>
      <c r="O47" s="2723"/>
      <c r="P47" s="3687" t="str">
        <f>A47</f>
        <v>比较价值（元/平方米）</v>
      </c>
      <c r="Q47" s="3687"/>
      <c r="R47" s="3747" t="e">
        <f>ROUND(PRODUCT(R46,AA7:AA45),0)</f>
        <v>#DIV/0!</v>
      </c>
      <c r="S47" s="3747"/>
      <c r="T47" s="3747" t="e">
        <f>ROUND(PRODUCT(T46,AB7:AB45),0)</f>
        <v>#DIV/0!</v>
      </c>
      <c r="U47" s="3747"/>
      <c r="V47" s="3747" t="e">
        <f>ROUND(PRODUCT(V46,AC7:AC45),0)</f>
        <v>#DIV/0!</v>
      </c>
      <c r="W47" s="3747"/>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84" t="str">
        <f>A48</f>
        <v>估价对象XX用房的比较价值（楼面单价，元/平方米）</v>
      </c>
      <c r="Q48" s="3685"/>
      <c r="R48" s="3748" t="e">
        <f>ROUND(IF(D47="简单平均",AVERAGE(R47:W47),R47*F47+T47*H47+V47*J47),0)</f>
        <v>#DIV/0!</v>
      </c>
      <c r="S48" s="3748"/>
      <c r="T48" s="3748"/>
      <c r="U48" s="3748"/>
      <c r="V48" s="3748"/>
      <c r="W48" s="3748"/>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2" t="s">
        <v>1883</v>
      </c>
      <c r="D55" s="1983" t="s">
        <v>1884</v>
      </c>
      <c r="E55" s="633" t="s">
        <v>1885</v>
      </c>
      <c r="F55" s="889" t="s">
        <v>1886</v>
      </c>
      <c r="G55" s="3702" t="s">
        <v>1887</v>
      </c>
      <c r="H55" s="3749"/>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456.55</v>
      </c>
      <c r="F56" s="885" t="e">
        <f t="shared" ref="F56:F64" si="15">ROUND(B56*E56/10000,0)</f>
        <v>#DIV/0!</v>
      </c>
      <c r="G56" s="3698"/>
      <c r="H56" s="3687"/>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v>
      </c>
      <c r="D57" s="944">
        <v>0.25</v>
      </c>
      <c r="E57" s="641"/>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v>
      </c>
      <c r="D58" s="944">
        <v>0.25</v>
      </c>
      <c r="E58" s="641"/>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v>
      </c>
      <c r="D59" s="944">
        <v>0.25</v>
      </c>
      <c r="E59" s="641"/>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456.55</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2025-5-1</v>
      </c>
      <c r="D67" s="691">
        <f>EDATE(C67,-3)</f>
        <v>45689</v>
      </c>
      <c r="E67" s="691">
        <f>EDATE(D67,-3)</f>
        <v>45597</v>
      </c>
      <c r="F67" s="691">
        <f t="shared" ref="F67:O67" si="18">EDATE(E67,-3)</f>
        <v>45505</v>
      </c>
      <c r="G67" s="691">
        <f t="shared" si="18"/>
        <v>45413</v>
      </c>
      <c r="H67" s="691">
        <f t="shared" si="18"/>
        <v>45323</v>
      </c>
      <c r="I67" s="691">
        <f t="shared" si="18"/>
        <v>45231</v>
      </c>
      <c r="J67" s="691">
        <f t="shared" si="18"/>
        <v>45139</v>
      </c>
      <c r="K67" s="691">
        <f t="shared" si="18"/>
        <v>45047</v>
      </c>
      <c r="L67" s="691">
        <f t="shared" si="18"/>
        <v>44958</v>
      </c>
      <c r="M67" s="691">
        <f t="shared" si="18"/>
        <v>44866</v>
      </c>
      <c r="N67" s="691">
        <f t="shared" si="18"/>
        <v>44774</v>
      </c>
      <c r="O67" s="691">
        <f t="shared" si="18"/>
        <v>44682</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8"/>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02" t="s">
        <v>1770</v>
      </c>
      <c r="D4" s="3703"/>
      <c r="E4" s="3704" t="s">
        <v>1771</v>
      </c>
      <c r="F4" s="3705"/>
      <c r="G4" s="3702" t="s">
        <v>1772</v>
      </c>
      <c r="H4" s="3703"/>
      <c r="I4" s="3702" t="s">
        <v>1773</v>
      </c>
      <c r="J4" s="3703"/>
      <c r="K4" s="559" t="s">
        <v>1774</v>
      </c>
      <c r="L4" s="2713"/>
      <c r="M4" s="2714"/>
      <c r="N4" s="2714"/>
      <c r="O4" s="2714"/>
      <c r="P4" s="3706" t="s">
        <v>1775</v>
      </c>
      <c r="Q4" s="3707"/>
      <c r="R4" s="3712" t="s">
        <v>1771</v>
      </c>
      <c r="S4" s="3713"/>
      <c r="T4" s="3712" t="s">
        <v>1772</v>
      </c>
      <c r="U4" s="3713"/>
      <c r="V4" s="3718" t="s">
        <v>1773</v>
      </c>
      <c r="W4" s="3718"/>
      <c r="X4" s="1354"/>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2713"/>
      <c r="M5" s="2714"/>
      <c r="N5" s="2714"/>
      <c r="O5" s="2714"/>
      <c r="P5" s="3708"/>
      <c r="Q5" s="3709"/>
      <c r="R5" s="3714"/>
      <c r="S5" s="3715"/>
      <c r="T5" s="3714"/>
      <c r="U5" s="3715"/>
      <c r="V5" s="3718"/>
      <c r="W5" s="3718"/>
      <c r="X5" s="1354"/>
      <c r="Y5" s="3714"/>
      <c r="Z5" s="3715"/>
      <c r="AA5" s="3700"/>
      <c r="AB5" s="3700"/>
      <c r="AC5" s="3700"/>
    </row>
    <row r="6" spans="1:29" ht="15.75" thickBot="1">
      <c r="A6" s="360"/>
      <c r="B6" s="361"/>
      <c r="C6" s="3750" t="s">
        <v>1919</v>
      </c>
      <c r="D6" s="3751"/>
      <c r="E6" s="3752" t="s">
        <v>1919</v>
      </c>
      <c r="F6" s="3753"/>
      <c r="G6" s="3750" t="s">
        <v>1919</v>
      </c>
      <c r="H6" s="3751"/>
      <c r="I6" s="3750" t="s">
        <v>1919</v>
      </c>
      <c r="J6" s="3751"/>
      <c r="K6" s="559" t="s">
        <v>1678</v>
      </c>
      <c r="L6" s="2713"/>
      <c r="M6" s="2714"/>
      <c r="N6" s="2714"/>
      <c r="O6" s="2714"/>
      <c r="P6" s="3710"/>
      <c r="Q6" s="3711"/>
      <c r="R6" s="3714"/>
      <c r="S6" s="3715"/>
      <c r="T6" s="3716"/>
      <c r="U6" s="3717"/>
      <c r="V6" s="3718"/>
      <c r="W6" s="3718"/>
      <c r="X6" s="1354"/>
      <c r="Y6" s="3716"/>
      <c r="Z6" s="3717"/>
      <c r="AA6" s="3701"/>
      <c r="AB6" s="3701"/>
      <c r="AC6" s="3701"/>
    </row>
    <row r="7" spans="1:29" s="108" customFormat="1" ht="15.75" thickBot="1">
      <c r="A7" s="362" t="s">
        <v>1679</v>
      </c>
      <c r="B7" s="363"/>
      <c r="C7" s="364">
        <f>'数据-取费表'!B2</f>
        <v>45793</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23" t="s">
        <v>1680</v>
      </c>
      <c r="Q7" s="3725"/>
      <c r="R7" s="700" t="s">
        <v>14</v>
      </c>
      <c r="S7" s="701">
        <f t="shared" ref="S7:S15" si="0">F7</f>
        <v>0</v>
      </c>
      <c r="T7" s="700" t="s">
        <v>14</v>
      </c>
      <c r="U7" s="701">
        <f t="shared" ref="U7:U15" si="1">H7</f>
        <v>0</v>
      </c>
      <c r="V7" s="700" t="s">
        <v>14</v>
      </c>
      <c r="W7" s="701">
        <f t="shared" ref="W7:W15" si="2">J7</f>
        <v>0</v>
      </c>
      <c r="X7" s="702"/>
      <c r="Y7" s="3723" t="s">
        <v>1680</v>
      </c>
      <c r="Z7" s="372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23" t="s">
        <v>1683</v>
      </c>
      <c r="Q8" s="3724"/>
      <c r="R8" s="700" t="s">
        <v>14</v>
      </c>
      <c r="S8" s="701">
        <f t="shared" si="0"/>
        <v>0</v>
      </c>
      <c r="T8" s="700" t="s">
        <v>14</v>
      </c>
      <c r="U8" s="701">
        <f t="shared" si="1"/>
        <v>0</v>
      </c>
      <c r="V8" s="700" t="s">
        <v>14</v>
      </c>
      <c r="W8" s="701">
        <f t="shared" si="2"/>
        <v>0</v>
      </c>
      <c r="X8" s="702"/>
      <c r="Y8" s="3723" t="s">
        <v>1683</v>
      </c>
      <c r="Z8" s="3724"/>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87"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165</v>
      </c>
      <c r="G10" s="383"/>
      <c r="H10" s="127">
        <f>ROUND(100/'数据-取费表'!G16,0)</f>
        <v>165</v>
      </c>
      <c r="I10" s="383"/>
      <c r="J10" s="127">
        <f>ROUND(100/'数据-取费表'!G16,0)</f>
        <v>165</v>
      </c>
      <c r="K10" s="619"/>
      <c r="L10" s="2717"/>
      <c r="M10" s="2718"/>
      <c r="N10" s="2718"/>
      <c r="O10" s="2771"/>
      <c r="P10" s="3687"/>
      <c r="Q10" s="1342" t="str">
        <f t="shared" si="6"/>
        <v>土地使用年限（年）</v>
      </c>
      <c r="R10" s="700" t="s">
        <v>14</v>
      </c>
      <c r="S10" s="701">
        <f t="shared" si="0"/>
        <v>165</v>
      </c>
      <c r="T10" s="700" t="s">
        <v>14</v>
      </c>
      <c r="U10" s="701">
        <f t="shared" si="1"/>
        <v>165</v>
      </c>
      <c r="V10" s="700" t="s">
        <v>14</v>
      </c>
      <c r="W10" s="701">
        <f t="shared" si="2"/>
        <v>165</v>
      </c>
      <c r="X10" s="702"/>
      <c r="Y10" s="3562"/>
      <c r="Z10" s="52" t="str">
        <f t="shared" si="7"/>
        <v>土地使用年限（年）</v>
      </c>
      <c r="AA10" s="703">
        <f t="shared" si="3"/>
        <v>0.60606060606060608</v>
      </c>
      <c r="AB10" s="703">
        <f t="shared" si="4"/>
        <v>0.60606060606060608</v>
      </c>
      <c r="AC10" s="703">
        <f t="shared" si="5"/>
        <v>0.60606060606060608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687"/>
      <c r="Q11" s="1342" t="str">
        <f t="shared" si="6"/>
        <v>容积率</v>
      </c>
      <c r="R11" s="700" t="s">
        <v>14</v>
      </c>
      <c r="S11" s="701" t="e">
        <f t="shared" si="0"/>
        <v>#N/A</v>
      </c>
      <c r="T11" s="700" t="s">
        <v>14</v>
      </c>
      <c r="U11" s="701" t="e">
        <f t="shared" si="1"/>
        <v>#N/A</v>
      </c>
      <c r="V11" s="700" t="s">
        <v>14</v>
      </c>
      <c r="W11" s="701" t="e">
        <f t="shared" si="2"/>
        <v>#N/A</v>
      </c>
      <c r="X11" s="702"/>
      <c r="Y11" s="356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87"/>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87"/>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87"/>
      <c r="Q14" s="1342">
        <f t="shared" si="6"/>
        <v>111</v>
      </c>
      <c r="R14" s="700" t="s">
        <v>14</v>
      </c>
      <c r="S14" s="701">
        <f t="shared" si="0"/>
        <v>100</v>
      </c>
      <c r="T14" s="700" t="s">
        <v>14</v>
      </c>
      <c r="U14" s="701">
        <f t="shared" si="1"/>
        <v>100</v>
      </c>
      <c r="V14" s="700" t="s">
        <v>14</v>
      </c>
      <c r="W14" s="701">
        <f t="shared" si="2"/>
        <v>100</v>
      </c>
      <c r="X14" s="702"/>
      <c r="Y14" s="3562"/>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689" t="s">
        <v>1691</v>
      </c>
      <c r="Q15" s="1351" t="str">
        <f t="shared" si="6"/>
        <v>产业集聚程度</v>
      </c>
      <c r="R15" s="704" t="s">
        <v>14</v>
      </c>
      <c r="S15" s="705">
        <f t="shared" si="0"/>
        <v>100</v>
      </c>
      <c r="T15" s="704" t="s">
        <v>14</v>
      </c>
      <c r="U15" s="705">
        <f t="shared" si="1"/>
        <v>100</v>
      </c>
      <c r="V15" s="704" t="s">
        <v>14</v>
      </c>
      <c r="W15" s="705">
        <f t="shared" si="2"/>
        <v>100</v>
      </c>
      <c r="X15" s="1354"/>
      <c r="Y15" s="3689"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0"/>
      <c r="M16" s="2714"/>
      <c r="N16" s="2714"/>
      <c r="O16" s="2772"/>
      <c r="P16" s="3690"/>
      <c r="Q16" s="1351"/>
      <c r="R16" s="704"/>
      <c r="S16" s="705"/>
      <c r="T16" s="704"/>
      <c r="U16" s="705"/>
      <c r="V16" s="704"/>
      <c r="W16" s="705"/>
      <c r="X16" s="1354"/>
      <c r="Y16" s="3690"/>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690"/>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0"/>
      <c r="M18" s="2714"/>
      <c r="N18" s="2714"/>
      <c r="O18" s="2772"/>
      <c r="P18" s="3690"/>
      <c r="Q18" s="1351"/>
      <c r="R18" s="704"/>
      <c r="S18" s="705"/>
      <c r="T18" s="704"/>
      <c r="U18" s="705"/>
      <c r="V18" s="704"/>
      <c r="W18" s="705"/>
      <c r="X18" s="1354"/>
      <c r="Y18" s="3690"/>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690"/>
      <c r="Q19" s="1351" t="str">
        <f t="shared" ref="Q19:Q33" si="8">B19</f>
        <v>区域土地利用方向</v>
      </c>
      <c r="R19" s="704" t="s">
        <v>14</v>
      </c>
      <c r="S19" s="705">
        <f>F19</f>
        <v>100</v>
      </c>
      <c r="T19" s="704" t="s">
        <v>14</v>
      </c>
      <c r="U19" s="705">
        <f>H19</f>
        <v>100</v>
      </c>
      <c r="V19" s="704" t="s">
        <v>14</v>
      </c>
      <c r="W19" s="705">
        <f>J19</f>
        <v>100</v>
      </c>
      <c r="X19" s="1354"/>
      <c r="Y19" s="3690"/>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0"/>
      <c r="M20" s="2714"/>
      <c r="N20" s="2714"/>
      <c r="O20" s="2772"/>
      <c r="P20" s="3690"/>
      <c r="Q20" s="1351"/>
      <c r="R20" s="704"/>
      <c r="S20" s="705"/>
      <c r="T20" s="704"/>
      <c r="U20" s="705"/>
      <c r="V20" s="704"/>
      <c r="W20" s="705"/>
      <c r="X20" s="1354"/>
      <c r="Y20" s="3690"/>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690"/>
      <c r="Q21" s="1351" t="str">
        <f t="shared" si="8"/>
        <v>环境状况</v>
      </c>
      <c r="R21" s="704" t="s">
        <v>14</v>
      </c>
      <c r="S21" s="705">
        <f>F21</f>
        <v>100</v>
      </c>
      <c r="T21" s="704" t="s">
        <v>14</v>
      </c>
      <c r="U21" s="705">
        <f>H21</f>
        <v>100</v>
      </c>
      <c r="V21" s="704" t="s">
        <v>14</v>
      </c>
      <c r="W21" s="705">
        <f>J21</f>
        <v>100</v>
      </c>
      <c r="X21" s="1354"/>
      <c r="Y21" s="3690"/>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0"/>
      <c r="M22" s="2714"/>
      <c r="N22" s="2714"/>
      <c r="O22" s="2772"/>
      <c r="P22" s="3690"/>
      <c r="Q22" s="1351"/>
      <c r="R22" s="704"/>
      <c r="S22" s="705"/>
      <c r="T22" s="704"/>
      <c r="U22" s="705"/>
      <c r="V22" s="704"/>
      <c r="W22" s="705"/>
      <c r="X22" s="1354"/>
      <c r="Y22" s="3690"/>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690"/>
      <c r="Q23" s="1342" t="str">
        <f t="shared" si="8"/>
        <v>公共配套设施</v>
      </c>
      <c r="R23" s="700" t="s">
        <v>14</v>
      </c>
      <c r="S23" s="701">
        <f>F23</f>
        <v>100</v>
      </c>
      <c r="T23" s="700" t="s">
        <v>14</v>
      </c>
      <c r="U23" s="701">
        <f>H23</f>
        <v>100</v>
      </c>
      <c r="V23" s="700" t="s">
        <v>14</v>
      </c>
      <c r="W23" s="701">
        <f>J23</f>
        <v>100</v>
      </c>
      <c r="X23" s="702"/>
      <c r="Y23" s="3690"/>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5"/>
      <c r="M24" s="2716"/>
      <c r="N24" s="2716"/>
      <c r="O24" s="2770"/>
      <c r="P24" s="3690"/>
      <c r="Q24" s="1342"/>
      <c r="R24" s="700"/>
      <c r="S24" s="701"/>
      <c r="T24" s="700"/>
      <c r="U24" s="701"/>
      <c r="V24" s="700"/>
      <c r="W24" s="701"/>
      <c r="X24" s="702"/>
      <c r="Y24" s="3690"/>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690"/>
      <c r="Q25" s="1342" t="str">
        <f t="shared" ref="Q25" si="9">B25</f>
        <v>基础设施水平</v>
      </c>
      <c r="R25" s="700" t="s">
        <v>14</v>
      </c>
      <c r="S25" s="701">
        <f>F25</f>
        <v>100</v>
      </c>
      <c r="T25" s="700" t="s">
        <v>14</v>
      </c>
      <c r="U25" s="701">
        <f>H25</f>
        <v>100</v>
      </c>
      <c r="V25" s="700" t="s">
        <v>14</v>
      </c>
      <c r="W25" s="701">
        <f>J25</f>
        <v>100</v>
      </c>
      <c r="X25" s="702"/>
      <c r="Y25" s="3690"/>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5"/>
      <c r="M26" s="2716"/>
      <c r="N26" s="2716"/>
      <c r="O26" s="2770"/>
      <c r="P26" s="3690"/>
      <c r="Q26" s="1342"/>
      <c r="R26" s="700"/>
      <c r="S26" s="701"/>
      <c r="T26" s="700"/>
      <c r="U26" s="701"/>
      <c r="V26" s="700"/>
      <c r="W26" s="701"/>
      <c r="X26" s="702"/>
      <c r="Y26" s="3690"/>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69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0"/>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690"/>
      <c r="Q28" s="1351" t="str">
        <f t="shared" si="8"/>
        <v>毗邻道路的类型与等级</v>
      </c>
      <c r="R28" s="704" t="s">
        <v>14</v>
      </c>
      <c r="S28" s="705">
        <f t="shared" si="10"/>
        <v>100</v>
      </c>
      <c r="T28" s="704" t="s">
        <v>14</v>
      </c>
      <c r="U28" s="705">
        <f t="shared" si="11"/>
        <v>100</v>
      </c>
      <c r="V28" s="704" t="s">
        <v>14</v>
      </c>
      <c r="W28" s="705">
        <f t="shared" si="12"/>
        <v>100</v>
      </c>
      <c r="X28" s="1354"/>
      <c r="Y28" s="3690"/>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0"/>
      <c r="M29" s="2714"/>
      <c r="N29" s="2714"/>
      <c r="O29" s="2772"/>
      <c r="P29" s="3690"/>
      <c r="Q29" s="1351"/>
      <c r="R29" s="704"/>
      <c r="S29" s="705"/>
      <c r="T29" s="704"/>
      <c r="U29" s="705"/>
      <c r="V29" s="704"/>
      <c r="W29" s="705"/>
      <c r="X29" s="1354"/>
      <c r="Y29" s="3690"/>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690"/>
      <c r="Q30" s="1351" t="str">
        <f t="shared" si="8"/>
        <v>土地级别</v>
      </c>
      <c r="R30" s="704" t="s">
        <v>14</v>
      </c>
      <c r="S30" s="705">
        <f t="shared" si="10"/>
        <v>100</v>
      </c>
      <c r="T30" s="704" t="s">
        <v>14</v>
      </c>
      <c r="U30" s="705">
        <f t="shared" si="11"/>
        <v>100</v>
      </c>
      <c r="V30" s="704" t="s">
        <v>14</v>
      </c>
      <c r="W30" s="705">
        <f t="shared" si="12"/>
        <v>100</v>
      </c>
      <c r="X30" s="1354"/>
      <c r="Y30" s="3690"/>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0"/>
      <c r="Q31" s="1351">
        <f t="shared" si="8"/>
        <v>111</v>
      </c>
      <c r="R31" s="704" t="s">
        <v>14</v>
      </c>
      <c r="S31" s="705">
        <f t="shared" si="10"/>
        <v>100</v>
      </c>
      <c r="T31" s="704" t="s">
        <v>14</v>
      </c>
      <c r="U31" s="705">
        <f t="shared" si="11"/>
        <v>100</v>
      </c>
      <c r="V31" s="704" t="s">
        <v>14</v>
      </c>
      <c r="W31" s="705">
        <f t="shared" si="12"/>
        <v>100</v>
      </c>
      <c r="X31" s="1354"/>
      <c r="Y31" s="3690"/>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45" t="s">
        <v>1696</v>
      </c>
      <c r="Q32" s="1351">
        <f t="shared" si="8"/>
        <v>111</v>
      </c>
      <c r="R32" s="704" t="s">
        <v>14</v>
      </c>
      <c r="S32" s="705">
        <f t="shared" si="10"/>
        <v>100</v>
      </c>
      <c r="T32" s="704" t="s">
        <v>14</v>
      </c>
      <c r="U32" s="705">
        <f t="shared" si="11"/>
        <v>100</v>
      </c>
      <c r="V32" s="704" t="s">
        <v>14</v>
      </c>
      <c r="W32" s="705">
        <f t="shared" si="12"/>
        <v>100</v>
      </c>
      <c r="X32" s="1354"/>
      <c r="Y32" s="3694"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694"/>
      <c r="Q33" s="1351">
        <f t="shared" si="8"/>
        <v>111</v>
      </c>
      <c r="R33" s="707" t="s">
        <v>14</v>
      </c>
      <c r="S33" s="708">
        <f t="shared" si="10"/>
        <v>100</v>
      </c>
      <c r="T33" s="707" t="s">
        <v>14</v>
      </c>
      <c r="U33" s="708">
        <f t="shared" si="11"/>
        <v>100</v>
      </c>
      <c r="V33" s="707" t="s">
        <v>14</v>
      </c>
      <c r="W33" s="708">
        <f t="shared" si="12"/>
        <v>100</v>
      </c>
      <c r="X33" s="709"/>
      <c r="Y33" s="3694"/>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694"/>
      <c r="Q34" s="1351" t="str">
        <f>B34</f>
        <v>宗地面积</v>
      </c>
      <c r="R34" s="704" t="s">
        <v>14</v>
      </c>
      <c r="S34" s="705" t="e">
        <f t="shared" si="10"/>
        <v>#N/A</v>
      </c>
      <c r="T34" s="704" t="s">
        <v>14</v>
      </c>
      <c r="U34" s="705" t="e">
        <f t="shared" si="11"/>
        <v>#N/A</v>
      </c>
      <c r="V34" s="704" t="s">
        <v>14</v>
      </c>
      <c r="W34" s="705" t="e">
        <f t="shared" si="12"/>
        <v>#N/A</v>
      </c>
      <c r="X34" s="1354"/>
      <c r="Y34" s="369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694"/>
      <c r="Q35" s="1351" t="str">
        <f t="shared" ref="Q35:Q40" si="14">B35</f>
        <v>宗地形状</v>
      </c>
      <c r="R35" s="704" t="s">
        <v>14</v>
      </c>
      <c r="S35" s="705">
        <f t="shared" si="10"/>
        <v>100</v>
      </c>
      <c r="T35" s="704" t="s">
        <v>14</v>
      </c>
      <c r="U35" s="705">
        <f t="shared" si="11"/>
        <v>100</v>
      </c>
      <c r="V35" s="704" t="s">
        <v>14</v>
      </c>
      <c r="W35" s="705">
        <f t="shared" si="12"/>
        <v>100</v>
      </c>
      <c r="X35" s="1354"/>
      <c r="Y35" s="3694"/>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694"/>
      <c r="Q36" s="1351" t="str">
        <f t="shared" si="14"/>
        <v>宗地开发程度</v>
      </c>
      <c r="R36" s="700" t="s">
        <v>14</v>
      </c>
      <c r="S36" s="701">
        <f t="shared" si="10"/>
        <v>100</v>
      </c>
      <c r="T36" s="700" t="s">
        <v>14</v>
      </c>
      <c r="U36" s="701">
        <f t="shared" si="11"/>
        <v>100</v>
      </c>
      <c r="V36" s="700" t="s">
        <v>14</v>
      </c>
      <c r="W36" s="701">
        <f t="shared" si="12"/>
        <v>100</v>
      </c>
      <c r="X36" s="702"/>
      <c r="Y36" s="3694"/>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694" t="s">
        <v>1696</v>
      </c>
      <c r="Q37" s="1351" t="str">
        <f t="shared" si="14"/>
        <v>工程地质条件</v>
      </c>
      <c r="R37" s="704" t="s">
        <v>14</v>
      </c>
      <c r="S37" s="705">
        <f t="shared" si="10"/>
        <v>100</v>
      </c>
      <c r="T37" s="704" t="s">
        <v>14</v>
      </c>
      <c r="U37" s="705">
        <f t="shared" si="11"/>
        <v>100</v>
      </c>
      <c r="V37" s="704" t="s">
        <v>14</v>
      </c>
      <c r="W37" s="705">
        <f t="shared" si="12"/>
        <v>100</v>
      </c>
      <c r="X37" s="1354"/>
      <c r="Y37" s="3694"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694"/>
      <c r="Q38" s="1351">
        <f t="shared" si="14"/>
        <v>111</v>
      </c>
      <c r="R38" s="704" t="s">
        <v>14</v>
      </c>
      <c r="S38" s="705">
        <f t="shared" si="10"/>
        <v>100</v>
      </c>
      <c r="T38" s="704" t="s">
        <v>14</v>
      </c>
      <c r="U38" s="705">
        <f t="shared" si="11"/>
        <v>100</v>
      </c>
      <c r="V38" s="704" t="s">
        <v>14</v>
      </c>
      <c r="W38" s="705">
        <f t="shared" si="12"/>
        <v>100</v>
      </c>
      <c r="X38" s="1354"/>
      <c r="Y38" s="3694"/>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694"/>
      <c r="Q39" s="1351">
        <f t="shared" si="14"/>
        <v>111</v>
      </c>
      <c r="R39" s="704" t="s">
        <v>14</v>
      </c>
      <c r="S39" s="705">
        <f t="shared" si="10"/>
        <v>100</v>
      </c>
      <c r="T39" s="704" t="s">
        <v>14</v>
      </c>
      <c r="U39" s="705">
        <f t="shared" si="11"/>
        <v>100</v>
      </c>
      <c r="V39" s="704" t="s">
        <v>14</v>
      </c>
      <c r="W39" s="705">
        <f t="shared" si="12"/>
        <v>100</v>
      </c>
      <c r="X39" s="1354"/>
      <c r="Y39" s="3694"/>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694"/>
      <c r="Q40" s="1351">
        <f t="shared" si="14"/>
        <v>111</v>
      </c>
      <c r="R40" s="707" t="s">
        <v>14</v>
      </c>
      <c r="S40" s="708">
        <f t="shared" si="10"/>
        <v>100</v>
      </c>
      <c r="T40" s="707" t="s">
        <v>14</v>
      </c>
      <c r="U40" s="708">
        <f t="shared" si="11"/>
        <v>100</v>
      </c>
      <c r="V40" s="707" t="s">
        <v>14</v>
      </c>
      <c r="W40" s="708">
        <f t="shared" si="12"/>
        <v>100</v>
      </c>
      <c r="X40" s="709"/>
      <c r="Y40" s="3694"/>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2"/>
      <c r="M41" s="2714"/>
      <c r="N41" s="2714"/>
      <c r="O41" s="2723"/>
      <c r="P41" s="3687" t="str">
        <f>A41</f>
        <v>成交单价</v>
      </c>
      <c r="Q41" s="3687"/>
      <c r="R41" s="3718">
        <f>E41</f>
        <v>0</v>
      </c>
      <c r="S41" s="3718"/>
      <c r="T41" s="3718">
        <f>G41</f>
        <v>0</v>
      </c>
      <c r="U41" s="3718"/>
      <c r="V41" s="3718">
        <f>I41</f>
        <v>0</v>
      </c>
      <c r="W41" s="3718"/>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2"/>
      <c r="M42" s="2714"/>
      <c r="N42" s="2714"/>
      <c r="O42" s="2723"/>
      <c r="P42" s="3687" t="str">
        <f>A42</f>
        <v>比较价值（元/平方米）</v>
      </c>
      <c r="Q42" s="3687"/>
      <c r="R42" s="3747" t="e">
        <f>ROUND(PRODUCT(R41,AA7:AA40),0)</f>
        <v>#DIV/0!</v>
      </c>
      <c r="S42" s="3747"/>
      <c r="T42" s="3747" t="e">
        <f>ROUND(PRODUCT(T41,AB7:AB40),0)</f>
        <v>#DIV/0!</v>
      </c>
      <c r="U42" s="3747"/>
      <c r="V42" s="3747" t="e">
        <f>ROUND(PRODUCT(V41,AC7:AC40),0)</f>
        <v>#DIV/0!</v>
      </c>
      <c r="W42" s="3747"/>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684" t="str">
        <f>A43</f>
        <v>估价对象XX用房的比较价值（楼面单价，元/平方米）</v>
      </c>
      <c r="Q43" s="3685"/>
      <c r="R43" s="3748" t="e">
        <f>ROUND(IF(D42="简单平均",AVERAGE(R42:W42),R42*F42+T42*H42+V42*J42),0)</f>
        <v>#DIV/0!</v>
      </c>
      <c r="S43" s="3748"/>
      <c r="T43" s="3748"/>
      <c r="U43" s="3748"/>
      <c r="V43" s="3748"/>
      <c r="W43" s="3748"/>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2" t="s">
        <v>1883</v>
      </c>
      <c r="D50" s="1983" t="s">
        <v>1884</v>
      </c>
      <c r="E50" s="633" t="s">
        <v>1885</v>
      </c>
      <c r="F50" s="634" t="s">
        <v>1886</v>
      </c>
      <c r="G50" s="3702" t="s">
        <v>1887</v>
      </c>
      <c r="H50" s="3749"/>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3">
        <v>1</v>
      </c>
      <c r="E51" s="637">
        <f>'数据-汇总表'!E8+'数据-汇总表'!E9</f>
        <v>456.55</v>
      </c>
      <c r="F51" s="638" t="e">
        <f t="shared" ref="F51:F60" si="15">ROUND(B51*E51/10000,0)</f>
        <v>#DIV/0!</v>
      </c>
      <c r="G51" s="3698"/>
      <c r="H51" s="3687"/>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v>
      </c>
      <c r="D52" s="944">
        <v>0.25</v>
      </c>
      <c r="E52" s="641"/>
      <c r="F52" s="638" t="e">
        <f t="shared" si="15"/>
        <v>#DIV/0!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v>
      </c>
      <c r="D53" s="944">
        <v>0.25</v>
      </c>
      <c r="E53" s="641"/>
      <c r="F53" s="638" t="e">
        <f t="shared" si="15"/>
        <v>#DIV/0!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v>
      </c>
      <c r="D54" s="944">
        <v>0.25</v>
      </c>
      <c r="E54" s="641"/>
      <c r="F54" s="638" t="e">
        <f t="shared" si="15"/>
        <v>#DIV/0!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2025-5-1</v>
      </c>
      <c r="D63" s="691">
        <f>EDATE(C63,-3)</f>
        <v>45689</v>
      </c>
      <c r="E63" s="691">
        <f>EDATE(D63,-3)</f>
        <v>45597</v>
      </c>
      <c r="F63" s="691">
        <f t="shared" ref="F63:O63" si="18">EDATE(E63,-3)</f>
        <v>45505</v>
      </c>
      <c r="G63" s="691">
        <f t="shared" si="18"/>
        <v>45413</v>
      </c>
      <c r="H63" s="691">
        <f t="shared" si="18"/>
        <v>45323</v>
      </c>
      <c r="I63" s="691">
        <f t="shared" si="18"/>
        <v>45231</v>
      </c>
      <c r="J63" s="691">
        <f t="shared" si="18"/>
        <v>45139</v>
      </c>
      <c r="K63" s="691">
        <f t="shared" si="18"/>
        <v>45047</v>
      </c>
      <c r="L63" s="691">
        <f t="shared" si="18"/>
        <v>44958</v>
      </c>
      <c r="M63" s="691">
        <f t="shared" si="18"/>
        <v>44866</v>
      </c>
      <c r="N63" s="691">
        <f t="shared" si="18"/>
        <v>44774</v>
      </c>
      <c r="O63" s="691">
        <f t="shared" si="18"/>
        <v>44682</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8"/>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57" t="s">
        <v>2084</v>
      </c>
      <c r="D1" s="3758"/>
      <c r="E1" s="3758"/>
      <c r="F1" s="3758"/>
      <c r="G1" s="3758"/>
      <c r="H1" s="3758"/>
      <c r="I1" s="3758"/>
      <c r="J1" s="3758"/>
      <c r="K1" s="3758"/>
      <c r="L1" s="3758"/>
      <c r="M1" s="3758"/>
      <c r="N1" s="3758"/>
      <c r="O1" s="3758"/>
      <c r="P1" s="3758"/>
      <c r="Q1" s="3758"/>
      <c r="R1" s="3758"/>
      <c r="S1" s="3759"/>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1"/>
      <c r="G1" s="2791"/>
      <c r="H1" s="2791"/>
      <c r="I1" s="2791"/>
      <c r="J1" s="2791"/>
      <c r="K1" s="2791"/>
      <c r="L1" s="2791"/>
      <c r="M1" s="2791"/>
      <c r="N1" s="2791"/>
      <c r="O1" s="2791"/>
      <c r="P1" s="2791"/>
    </row>
    <row r="2" spans="1:16" ht="15.75">
      <c r="A2" s="2144" t="s">
        <v>2073</v>
      </c>
      <c r="B2" s="2601" t="e">
        <f ca="1">SUMIF(B6:B13,"&lt;&gt;#ref!",B6:B13)</f>
        <v>#DIV/0!</v>
      </c>
      <c r="C2" s="2144" t="s">
        <v>2074</v>
      </c>
      <c r="D2" s="2144" t="s">
        <v>2075</v>
      </c>
      <c r="E2" s="2611">
        <f ca="1">SUMIF(E6:E13,"&lt;&gt;#ref!",E6:E13)</f>
        <v>0</v>
      </c>
      <c r="F2" s="2791"/>
      <c r="G2" s="2791"/>
      <c r="H2" s="2791"/>
      <c r="I2" s="2791"/>
      <c r="J2" s="2791"/>
      <c r="K2" s="2791"/>
      <c r="L2" s="2791"/>
      <c r="M2" s="2791"/>
      <c r="N2" s="2791"/>
      <c r="O2" s="2791"/>
      <c r="P2" s="2791"/>
    </row>
    <row r="3" spans="1:16" ht="15.75">
      <c r="A3" s="2144" t="s">
        <v>2076</v>
      </c>
      <c r="B3" s="2601" t="e">
        <f ca="1">ROUND(B2*10000/E2,0)</f>
        <v>#DIV/0!</v>
      </c>
      <c r="C3" s="2144"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2077</v>
      </c>
      <c r="B5" s="2609" t="s">
        <v>2078</v>
      </c>
      <c r="C5" s="2145"/>
      <c r="D5" s="2791"/>
      <c r="E5" s="2610" t="s">
        <v>2079</v>
      </c>
      <c r="F5" s="2791"/>
      <c r="G5" s="2791"/>
      <c r="H5" s="2791"/>
      <c r="I5" s="2791"/>
      <c r="J5" s="2791"/>
      <c r="K5" s="2791"/>
      <c r="L5" s="2791"/>
      <c r="M5" s="2791"/>
      <c r="N5" s="2791"/>
      <c r="O5" s="2791"/>
      <c r="P5" s="2791"/>
    </row>
    <row r="6" spans="1:16" ht="15.75">
      <c r="A6" s="2608" t="s">
        <v>2080</v>
      </c>
      <c r="B6" s="2601" t="e">
        <f ca="1">SUMIF(INDIRECT("'"&amp;A6&amp;"'"&amp;"!A:A"),"总价",INDIRECT("'"&amp;A6&amp;"'"&amp;"!B:B"))</f>
        <v>#DIV/0!</v>
      </c>
      <c r="C6" s="2144" t="s">
        <v>2074</v>
      </c>
      <c r="D6" s="2791"/>
      <c r="E6" s="2611">
        <f ca="1">SUMIF(INDIRECT("'"&amp;A6&amp;"'"&amp;"!C:C"),"建筑面积",INDIRECT("'"&amp;A6&amp;"'"&amp;"!D:D"))</f>
        <v>0</v>
      </c>
      <c r="F6" s="2791"/>
      <c r="G6" s="2791"/>
      <c r="H6" s="2791"/>
      <c r="I6" s="2791"/>
      <c r="J6" s="2791"/>
      <c r="K6" s="2791"/>
      <c r="L6" s="2791"/>
      <c r="M6" s="2791"/>
      <c r="N6" s="2791"/>
      <c r="O6" s="2791"/>
      <c r="P6" s="2791"/>
    </row>
    <row r="7" spans="1:16" ht="15.75">
      <c r="A7" s="2608"/>
      <c r="B7" s="2601" t="e">
        <f ca="1">SUMIF(INDIRECT("'"&amp;A7&amp;"'"&amp;"!A:A"),"总价",INDIRECT("'"&amp;A7&amp;"'"&amp;"!B:B"))</f>
        <v>#REF!</v>
      </c>
      <c r="C7" s="2144" t="s">
        <v>2074</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2074</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2074</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2074</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2074</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2074</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2074</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0"/>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8"/>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75">
      <c r="A4" s="3767"/>
      <c r="B4" s="3768"/>
      <c r="C4" s="3768"/>
      <c r="D4" s="3769"/>
      <c r="E4" s="3769"/>
      <c r="F4" s="3769"/>
      <c r="G4" s="3769"/>
      <c r="H4" s="3769"/>
      <c r="I4" s="3769"/>
      <c r="J4" s="3770"/>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10"/>
      <c r="AD6" s="2011"/>
      <c r="AE6" s="2011"/>
      <c r="AF6" s="2011"/>
      <c r="AG6" s="2011"/>
      <c r="AH6" s="2011"/>
      <c r="AI6" s="2011"/>
      <c r="AJ6" s="2012"/>
    </row>
    <row r="7" spans="1:36" ht="24.75" thickBot="1">
      <c r="A7" s="3302" t="s">
        <v>3237</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7"/>
      <c r="T7" s="3359" t="e">
        <f t="shared" si="0"/>
        <v>#DIV/0!</v>
      </c>
      <c r="U7" s="1212"/>
      <c r="V7" s="3359"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7"/>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t="e">
        <f t="shared" si="0"/>
        <v>#DIV/0!</v>
      </c>
      <c r="U8" s="1212"/>
      <c r="V8" s="3359" t="e">
        <f t="shared" si="1"/>
        <v>#DIV/0!</v>
      </c>
      <c r="W8" s="3764" t="s">
        <v>1960</v>
      </c>
      <c r="X8" s="376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t="e">
        <f t="shared" si="0"/>
        <v>#DIV/0!</v>
      </c>
      <c r="U9" s="1212"/>
      <c r="V9" s="3359" t="e">
        <f t="shared" si="1"/>
        <v>#DIV/0!</v>
      </c>
      <c r="W9" s="3766"/>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t="e">
        <f t="shared" si="0"/>
        <v>#DIV/0!</v>
      </c>
      <c r="U10" s="1212"/>
      <c r="V10" s="3359" t="e">
        <f t="shared" si="1"/>
        <v>#DIV/0!</v>
      </c>
      <c r="W10" s="376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5" thickBot="1">
      <c r="A12" s="3302" t="s">
        <v>3238</v>
      </c>
      <c r="B12" s="3303" t="s">
        <v>3239</v>
      </c>
      <c r="C12" s="3304"/>
      <c r="D12" s="3305" t="s">
        <v>3240</v>
      </c>
      <c r="E12" s="3306" t="s">
        <v>3241</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15.75" thickBot="1">
      <c r="A13" s="3302" t="s">
        <v>3242</v>
      </c>
      <c r="B13" s="2033" t="s">
        <v>1982</v>
      </c>
      <c r="C13" s="754">
        <f>ROUND(C16*D16*E16*F16*G16*H16*I16*J16,4)</f>
        <v>0</v>
      </c>
      <c r="D13" s="2034" t="s">
        <v>1983</v>
      </c>
      <c r="E13" s="2035"/>
      <c r="F13" s="2035"/>
      <c r="G13" s="2036"/>
      <c r="H13" s="2036"/>
      <c r="I13" s="2036"/>
      <c r="J13" s="2037"/>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3243</v>
      </c>
      <c r="G14" s="3310" t="s">
        <v>3243</v>
      </c>
      <c r="H14" s="3310" t="s">
        <v>3243</v>
      </c>
      <c r="I14" s="3310" t="s">
        <v>3243</v>
      </c>
      <c r="J14" s="3310" t="s">
        <v>3243</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3244</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6"/>
      <c r="M16" s="1996"/>
      <c r="N16" s="1996"/>
      <c r="O16" s="1996"/>
      <c r="P16" s="1996"/>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c r="A17" s="3328" t="s">
        <v>3245</v>
      </c>
      <c r="B17" s="3319" t="s">
        <v>3246</v>
      </c>
      <c r="C17" s="3329">
        <f>ROUND(IF(OR(E2="工业",E2="公共服务"),1,IF(AND(E18=0,E19=0),1,IF(AND(E18=J24,E19=G19),0.8,IF(E19=0,1+E17*(-0.2),1+E17*G17*(-0.2))))),4)</f>
        <v>1</v>
      </c>
      <c r="D17" s="3320" t="s">
        <v>3247</v>
      </c>
      <c r="E17" s="3329" t="e">
        <f>ROUND(G18/I18,2)</f>
        <v>#DIV/0!</v>
      </c>
      <c r="F17" s="3320" t="s">
        <v>3250</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3248</v>
      </c>
      <c r="E18" s="3327"/>
      <c r="F18" s="3322" t="s">
        <v>3251</v>
      </c>
      <c r="G18" s="3326">
        <f>ROUND(1-(1/(POWER(1+G24,E18))),4)</f>
        <v>0</v>
      </c>
      <c r="H18" s="3322" t="s">
        <v>3253</v>
      </c>
      <c r="I18" s="3326">
        <f>ROUND(1-(1/(POWER(1+G24,J24))),4)</f>
        <v>0</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3249</v>
      </c>
      <c r="E19" s="3336"/>
      <c r="F19" s="3337" t="s">
        <v>3252</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771" t="s">
        <v>3254</v>
      </c>
      <c r="B20" s="167" t="s">
        <v>1994</v>
      </c>
      <c r="C20" s="3323" t="e">
        <f>ROUND(IF(F21="与级别开发程度一致",0,(G21-E21)/C21),0)</f>
        <v>#DIV/0!</v>
      </c>
      <c r="D20" s="3339" t="s">
        <v>1998</v>
      </c>
      <c r="E20" s="3340"/>
      <c r="F20" s="3777" t="s">
        <v>1995</v>
      </c>
      <c r="G20" s="3778"/>
      <c r="H20" s="3324"/>
      <c r="I20" s="3324"/>
      <c r="J20" s="3325"/>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15" thickBot="1">
      <c r="A21" s="3772"/>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2000</v>
      </c>
      <c r="C22" s="2159">
        <f>SUMIF(修正!C20:C51,E3,修正!E20:E51)</f>
        <v>0</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3" t="s">
        <v>2002</v>
      </c>
      <c r="E23" s="760">
        <v>44197</v>
      </c>
      <c r="F23" s="2053" t="s">
        <v>2003</v>
      </c>
      <c r="G23" s="761">
        <f>'数据-取费表'!B2</f>
        <v>45793</v>
      </c>
      <c r="H23" s="3341" t="s">
        <v>3256</v>
      </c>
      <c r="I23" s="3342" t="str">
        <f>IF(H23="季度增幅（自定义）",SUMIF(N25:N28,E2,O25:O28),"")</f>
        <v/>
      </c>
      <c r="J23" s="3444" t="s">
        <v>3255</v>
      </c>
      <c r="K23" s="1124"/>
      <c r="L23" s="2054" t="s">
        <v>2004</v>
      </c>
      <c r="M23" s="1327">
        <f>ROUND(SUMIF(地价!B2:G2,E2,地价!B16:G16),0)</f>
        <v>0</v>
      </c>
      <c r="N23" s="2055" t="s">
        <v>2005</v>
      </c>
      <c r="O23" s="762">
        <f>ROUNDDOWN(DATEDIF(E23,G23,"M")/3,0)</f>
        <v>17</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3335</v>
      </c>
      <c r="C25" s="770">
        <f>IF(B25="容积率修正",IF(G3&lt;10,D26,J26),C27)</f>
        <v>0</v>
      </c>
      <c r="D25" s="2066"/>
      <c r="E25" s="2066"/>
      <c r="F25" s="2066"/>
      <c r="G25" s="2066"/>
      <c r="H25" s="2066"/>
      <c r="I25" s="2066"/>
      <c r="J25" s="2067"/>
      <c r="K25" s="1124"/>
      <c r="L25" s="2786"/>
      <c r="M25" s="2786"/>
      <c r="N25" s="2068"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3" t="s">
        <v>3257</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3258</v>
      </c>
      <c r="J26" s="771" t="str">
        <f>IF(G3&gt;=10,D115,"——")</f>
        <v>——</v>
      </c>
      <c r="K26" s="1124"/>
      <c r="L26" s="2786"/>
      <c r="M26" s="2786"/>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6"/>
      <c r="M28" s="2786"/>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49" t="s">
        <v>1936</v>
      </c>
      <c r="M30" s="3350" t="s">
        <v>1990</v>
      </c>
      <c r="N30" s="3350" t="s">
        <v>1991</v>
      </c>
      <c r="O30" s="3350" t="s">
        <v>1992</v>
      </c>
      <c r="P30" s="3350" t="s">
        <v>1993</v>
      </c>
      <c r="Q30" s="3353"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2" t="s">
        <v>1999</v>
      </c>
      <c r="M32" s="2569">
        <f>ROUND($E$24*(1+M31),3)</f>
        <v>5.3999999999999999E-2</v>
      </c>
      <c r="N32" s="2569">
        <f>ROUND($E$24*(1+N31),3)</f>
        <v>5.1999999999999998E-2</v>
      </c>
      <c r="O32" s="2569">
        <f>ROUND($E$24*(1+O31),3)</f>
        <v>0.05</v>
      </c>
      <c r="P32" s="2569">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4" t="s">
        <v>3260</v>
      </c>
      <c r="G33" s="2098"/>
      <c r="H33" s="2098"/>
      <c r="I33" s="2098"/>
      <c r="J33" s="2099"/>
      <c r="K33" s="1118"/>
      <c r="L33" s="3347" t="s">
        <v>3263</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7" t="s">
        <v>3264</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5" t="s">
        <v>3261</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5" t="s">
        <v>3265</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5"/>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0"/>
      <c r="K37" s="3357" t="s">
        <v>3266</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6"/>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76"/>
      <c r="B39" s="2040" t="s">
        <v>3259</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8" t="s">
        <v>3267</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3269</v>
      </c>
      <c r="B52" s="2133">
        <f>估价对象房地状况!C19</f>
        <v>0</v>
      </c>
      <c r="C52" s="2043"/>
      <c r="D52" s="1064">
        <f t="shared" si="7"/>
        <v>0</v>
      </c>
      <c r="E52" s="744"/>
      <c r="F52" s="1813"/>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3269</v>
      </c>
      <c r="B63" s="2133">
        <f>估价对象房地状况!C19</f>
        <v>0</v>
      </c>
      <c r="C63" s="2043"/>
      <c r="D63" s="1064">
        <f t="shared" si="12"/>
        <v>0</v>
      </c>
      <c r="E63" s="744"/>
      <c r="F63" s="1813"/>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7" t="s">
        <v>3269</v>
      </c>
      <c r="B74" s="2133">
        <f>估价对象房地状况!C19</f>
        <v>0</v>
      </c>
      <c r="C74" s="2043"/>
      <c r="D74" s="1064">
        <f t="shared" si="17"/>
        <v>0</v>
      </c>
      <c r="E74" s="746"/>
      <c r="F74" s="1813"/>
      <c r="G74" s="1062"/>
      <c r="H74" s="1065" t="str">
        <f t="shared" si="18"/>
        <v>——</v>
      </c>
      <c r="I74" s="3365">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5">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5">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5">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5">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5">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6">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5">
        <v>0.3</v>
      </c>
      <c r="J84" s="1063">
        <f t="shared" si="24"/>
        <v>0</v>
      </c>
      <c r="K84" s="1063">
        <f t="shared" si="25"/>
        <v>0</v>
      </c>
      <c r="L84" s="1063">
        <v>0</v>
      </c>
      <c r="M84" s="1063">
        <f t="shared" si="26"/>
        <v>0</v>
      </c>
      <c r="N84" s="1063">
        <f t="shared" si="26"/>
        <v>0</v>
      </c>
      <c r="Z84" s="1997"/>
      <c r="AA84" s="2052"/>
      <c r="AG84" s="1120"/>
      <c r="AK84" s="2052"/>
    </row>
    <row r="85" spans="1:37" ht="36">
      <c r="A85" s="3367" t="s">
        <v>3270</v>
      </c>
      <c r="B85" s="2133">
        <f>估价对象房地状况!G17</f>
        <v>0</v>
      </c>
      <c r="C85" s="2043"/>
      <c r="D85" s="1064">
        <f t="shared" si="22"/>
        <v>0</v>
      </c>
      <c r="E85" s="746"/>
      <c r="F85" s="1813"/>
      <c r="G85" s="1062"/>
      <c r="H85" s="1065" t="str">
        <f t="shared" si="23"/>
        <v>——</v>
      </c>
      <c r="I85" s="3365">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5">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5">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5">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5">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6">
        <v>0.05</v>
      </c>
      <c r="J90" s="1063">
        <f t="shared" si="24"/>
        <v>0</v>
      </c>
      <c r="K90" s="1063">
        <f t="shared" si="25"/>
        <v>0</v>
      </c>
      <c r="L90" s="1063">
        <v>0</v>
      </c>
      <c r="M90" s="1063">
        <f t="shared" si="26"/>
        <v>0</v>
      </c>
      <c r="N90" s="1063">
        <f t="shared" si="26"/>
        <v>0</v>
      </c>
    </row>
    <row r="91" spans="1:37" ht="15">
      <c r="A91" s="3375" t="s">
        <v>2612</v>
      </c>
      <c r="B91" s="3376">
        <f>1+E93</f>
        <v>1</v>
      </c>
      <c r="C91" s="3369"/>
      <c r="D91" s="3370"/>
      <c r="E91" s="1813"/>
      <c r="F91" s="1813"/>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3273</v>
      </c>
      <c r="B94" s="3368" t="str">
        <f>估价对象房地状况!C18</f>
        <v>估价对象周边道路状况、公共交通通达情况、停车便捷程度，综合评价交通便捷度较好</v>
      </c>
      <c r="C94" s="2043"/>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3269</v>
      </c>
      <c r="B95" s="3368">
        <f>估价对象房地状况!C19</f>
        <v>0</v>
      </c>
      <c r="C95" s="2043"/>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3274</v>
      </c>
      <c r="B96" s="3383" t="s">
        <v>3285</v>
      </c>
      <c r="C96" s="2043"/>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3275</v>
      </c>
      <c r="B97" s="3368">
        <f>估价对象房地状况!C24</f>
        <v>0</v>
      </c>
      <c r="C97" s="2043"/>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24">
      <c r="A98" s="3377" t="s">
        <v>3276</v>
      </c>
      <c r="B98" s="3384" t="s">
        <v>3286</v>
      </c>
      <c r="C98" s="2043"/>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25.5">
      <c r="A99" s="3377" t="s">
        <v>3277</v>
      </c>
      <c r="B99" s="3368" t="str">
        <f>估价对象房地状况!C21</f>
        <v>估价对象所在区域公共配套设施齐备情况</v>
      </c>
      <c r="C99" s="2043"/>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5.5">
      <c r="A100" s="3377" t="s">
        <v>3278</v>
      </c>
      <c r="B100" s="3368" t="str">
        <f>估价对象房地状况!C22</f>
        <v>估价对象所在区域基础设施水平</v>
      </c>
      <c r="C100" s="2043"/>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3279</v>
      </c>
      <c r="B101" s="3385" t="str">
        <f>估价对象房地状况!C20</f>
        <v>区域自然环境：；人文环境；综合评价环境状况一般</v>
      </c>
      <c r="C101" s="2043"/>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3" t="s">
        <v>3294</v>
      </c>
      <c r="B103" s="3773"/>
      <c r="C103" s="3773"/>
      <c r="D103" s="3773"/>
      <c r="E103" s="3773"/>
      <c r="F103" s="3773"/>
      <c r="G103" s="3773"/>
      <c r="H103" s="3773"/>
      <c r="I103" s="3773"/>
      <c r="J103" s="3773"/>
      <c r="K103" s="3388"/>
      <c r="L103" s="3388"/>
      <c r="M103" s="3388"/>
      <c r="N103" s="3388"/>
    </row>
    <row r="104" spans="1:14">
      <c r="A104" s="3774" t="s">
        <v>3295</v>
      </c>
      <c r="B104" s="3774" t="s">
        <v>3296</v>
      </c>
      <c r="C104" s="3389" t="s">
        <v>3297</v>
      </c>
      <c r="D104" s="3390"/>
      <c r="E104" s="3390"/>
      <c r="F104" s="3390"/>
      <c r="G104" s="3390"/>
      <c r="H104" s="3390"/>
      <c r="I104" s="3390"/>
      <c r="J104" s="3391"/>
      <c r="K104" s="3392"/>
      <c r="L104" s="3392"/>
      <c r="M104" s="3392"/>
      <c r="N104" s="3392"/>
    </row>
    <row r="105" spans="1:14">
      <c r="A105" s="3774"/>
      <c r="B105" s="3774"/>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760"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1"/>
      <c r="B111" s="3393" t="s">
        <v>3268</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3" t="s">
        <v>3311</v>
      </c>
      <c r="B113" s="3763"/>
      <c r="C113" s="3763"/>
      <c r="D113" s="3763"/>
      <c r="E113" s="3763"/>
      <c r="F113" s="3763"/>
      <c r="G113" s="3763"/>
      <c r="H113" s="3763"/>
      <c r="I113" s="3763"/>
      <c r="J113" s="376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0</v>
      </c>
      <c r="C116" s="3398" t="s">
        <v>3313</v>
      </c>
      <c r="D116" s="3399">
        <f>SUMPRODUCT((A118:A122=F116)*(B117:M117=H116)*B118:M122)</f>
        <v>0</v>
      </c>
      <c r="E116" s="1999" t="s">
        <v>3314</v>
      </c>
      <c r="F116" s="3400">
        <f>E2</f>
        <v>0</v>
      </c>
      <c r="G116" s="1999" t="s">
        <v>3315</v>
      </c>
      <c r="H116" s="3400">
        <f>G2</f>
        <v>0</v>
      </c>
      <c r="I116" s="1999"/>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3329</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3330</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3331</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2612</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88" t="s">
        <v>2607</v>
      </c>
      <c r="B20" s="3783" t="s">
        <v>2628</v>
      </c>
      <c r="C20" s="3101" t="s">
        <v>2439</v>
      </c>
      <c r="D20" s="3102"/>
      <c r="E20" s="3103">
        <v>1</v>
      </c>
      <c r="F20" s="3104" t="s">
        <v>2440</v>
      </c>
      <c r="G20" s="3104"/>
    </row>
    <row r="21" spans="1:13" ht="19.5" customHeight="1">
      <c r="A21" s="3789"/>
      <c r="B21" s="3782"/>
      <c r="C21" s="3105" t="s">
        <v>2441</v>
      </c>
      <c r="D21" s="3106"/>
      <c r="E21" s="3107">
        <v>1</v>
      </c>
      <c r="F21" s="3104" t="s">
        <v>2442</v>
      </c>
      <c r="G21" s="3104"/>
    </row>
    <row r="22" spans="1:13" ht="19.5" customHeight="1">
      <c r="A22" s="3789"/>
      <c r="B22" s="3782"/>
      <c r="C22" s="3105" t="s">
        <v>2443</v>
      </c>
      <c r="D22" s="3106"/>
      <c r="E22" s="3107">
        <v>0.9</v>
      </c>
      <c r="F22" s="3104" t="s">
        <v>2444</v>
      </c>
      <c r="G22" s="3104"/>
    </row>
    <row r="23" spans="1:13" ht="19.5" customHeight="1">
      <c r="A23" s="3789"/>
      <c r="B23" s="3782"/>
      <c r="C23" s="3105" t="s">
        <v>2445</v>
      </c>
      <c r="D23" s="3106"/>
      <c r="E23" s="3107">
        <v>0.9</v>
      </c>
      <c r="F23" s="3104" t="s">
        <v>2446</v>
      </c>
      <c r="G23" s="3104"/>
    </row>
    <row r="24" spans="1:13" ht="19.5" customHeight="1">
      <c r="A24" s="3789"/>
      <c r="B24" s="3782"/>
      <c r="C24" s="3105" t="s">
        <v>2447</v>
      </c>
      <c r="D24" s="3106"/>
      <c r="E24" s="3107">
        <v>0.8</v>
      </c>
      <c r="F24" s="3104" t="s">
        <v>2448</v>
      </c>
      <c r="G24" s="3104"/>
    </row>
    <row r="25" spans="1:13" ht="19.5" customHeight="1" thickBot="1">
      <c r="A25" s="3790"/>
      <c r="B25" s="3784"/>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85" t="s">
        <v>2631</v>
      </c>
      <c r="B27" s="3783" t="s">
        <v>2612</v>
      </c>
      <c r="C27" s="3101" t="s">
        <v>2452</v>
      </c>
      <c r="D27" s="3102"/>
      <c r="E27" s="3103">
        <v>1</v>
      </c>
      <c r="F27" s="3104" t="s">
        <v>2453</v>
      </c>
      <c r="G27" s="3104"/>
    </row>
    <row r="28" spans="1:13" ht="19.5" customHeight="1">
      <c r="A28" s="3786"/>
      <c r="B28" s="3782"/>
      <c r="C28" s="3105" t="s">
        <v>2454</v>
      </c>
      <c r="D28" s="3106"/>
      <c r="E28" s="3107">
        <v>1</v>
      </c>
      <c r="F28" s="3104" t="s">
        <v>2455</v>
      </c>
      <c r="G28" s="3104"/>
    </row>
    <row r="29" spans="1:13" ht="19.5" customHeight="1">
      <c r="A29" s="3786"/>
      <c r="B29" s="3782"/>
      <c r="C29" s="3105" t="s">
        <v>2456</v>
      </c>
      <c r="D29" s="3106"/>
      <c r="E29" s="3107">
        <v>0.8</v>
      </c>
      <c r="F29" s="3104" t="s">
        <v>2457</v>
      </c>
      <c r="G29" s="3104"/>
    </row>
    <row r="30" spans="1:13" ht="19.5" customHeight="1">
      <c r="A30" s="3786"/>
      <c r="B30" s="3782"/>
      <c r="C30" s="3105" t="s">
        <v>2458</v>
      </c>
      <c r="D30" s="3106"/>
      <c r="E30" s="3107">
        <v>0.8</v>
      </c>
      <c r="F30" s="3104" t="s">
        <v>2459</v>
      </c>
      <c r="G30" s="3104"/>
    </row>
    <row r="31" spans="1:13" ht="19.5" customHeight="1">
      <c r="A31" s="3786"/>
      <c r="B31" s="3782"/>
      <c r="C31" s="3105" t="s">
        <v>2460</v>
      </c>
      <c r="D31" s="3106"/>
      <c r="E31" s="3107">
        <v>0.8</v>
      </c>
      <c r="F31" s="3104" t="s">
        <v>2461</v>
      </c>
      <c r="G31" s="3104"/>
    </row>
    <row r="32" spans="1:13" ht="19.5" customHeight="1">
      <c r="A32" s="3786"/>
      <c r="B32" s="3782"/>
      <c r="C32" s="3105" t="s">
        <v>2462</v>
      </c>
      <c r="D32" s="3106"/>
      <c r="E32" s="3107">
        <v>0.7</v>
      </c>
      <c r="F32" s="3104" t="s">
        <v>2463</v>
      </c>
      <c r="G32" s="3104"/>
    </row>
    <row r="33" spans="1:7" ht="19.5" customHeight="1">
      <c r="A33" s="3786"/>
      <c r="B33" s="3782"/>
      <c r="C33" s="3105" t="s">
        <v>2464</v>
      </c>
      <c r="D33" s="3106"/>
      <c r="E33" s="3107">
        <v>0.8</v>
      </c>
      <c r="F33" s="3104" t="s">
        <v>2465</v>
      </c>
      <c r="G33" s="3104"/>
    </row>
    <row r="34" spans="1:7" ht="19.5" customHeight="1">
      <c r="A34" s="3786"/>
      <c r="B34" s="3782"/>
      <c r="C34" s="3105" t="s">
        <v>2466</v>
      </c>
      <c r="D34" s="3106"/>
      <c r="E34" s="3107">
        <v>0.6</v>
      </c>
      <c r="F34" s="3104" t="s">
        <v>2467</v>
      </c>
      <c r="G34" s="3104"/>
    </row>
    <row r="35" spans="1:7" ht="19.5" customHeight="1">
      <c r="A35" s="3786"/>
      <c r="B35" s="3782"/>
      <c r="C35" s="3105" t="s">
        <v>2468</v>
      </c>
      <c r="D35" s="3106"/>
      <c r="E35" s="3107">
        <v>0.2</v>
      </c>
      <c r="F35" s="3104" t="s">
        <v>2469</v>
      </c>
      <c r="G35" s="3104"/>
    </row>
    <row r="36" spans="1:7" ht="19.5" customHeight="1">
      <c r="A36" s="3786"/>
      <c r="B36" s="3782"/>
      <c r="C36" s="3105" t="s">
        <v>2470</v>
      </c>
      <c r="D36" s="3106"/>
      <c r="E36" s="3107">
        <v>0.2</v>
      </c>
      <c r="F36" s="3104" t="s">
        <v>2471</v>
      </c>
      <c r="G36" s="3104"/>
    </row>
    <row r="37" spans="1:7" ht="19.5" customHeight="1">
      <c r="A37" s="3786"/>
      <c r="B37" s="3780" t="s">
        <v>2632</v>
      </c>
      <c r="C37" s="3105" t="s">
        <v>2472</v>
      </c>
      <c r="D37" s="3106"/>
      <c r="E37" s="3107">
        <v>0.6</v>
      </c>
      <c r="F37" s="3104" t="s">
        <v>2473</v>
      </c>
      <c r="G37" s="3104"/>
    </row>
    <row r="38" spans="1:7" ht="19.5" customHeight="1">
      <c r="A38" s="3786"/>
      <c r="B38" s="3782"/>
      <c r="C38" s="3105" t="s">
        <v>2474</v>
      </c>
      <c r="D38" s="3106"/>
      <c r="E38" s="3107">
        <v>0.6</v>
      </c>
      <c r="F38" s="3104" t="s">
        <v>2475</v>
      </c>
      <c r="G38" s="3104"/>
    </row>
    <row r="39" spans="1:7" ht="19.5" customHeight="1" thickBot="1">
      <c r="A39" s="3787"/>
      <c r="B39" s="3784"/>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88" t="s">
        <v>2610</v>
      </c>
      <c r="B41" s="3783" t="s">
        <v>2634</v>
      </c>
      <c r="C41" s="3101" t="s">
        <v>2479</v>
      </c>
      <c r="D41" s="3102"/>
      <c r="E41" s="3103">
        <v>1</v>
      </c>
      <c r="F41" s="3104" t="s">
        <v>2480</v>
      </c>
      <c r="G41" s="3104"/>
    </row>
    <row r="42" spans="1:7" ht="19.5" customHeight="1">
      <c r="A42" s="3789"/>
      <c r="B42" s="3782"/>
      <c r="C42" s="3105" t="s">
        <v>2481</v>
      </c>
      <c r="D42" s="3106"/>
      <c r="E42" s="3107">
        <v>1</v>
      </c>
      <c r="F42" s="3104" t="s">
        <v>2482</v>
      </c>
      <c r="G42" s="3104"/>
    </row>
    <row r="43" spans="1:7" ht="19.5" customHeight="1">
      <c r="A43" s="3789"/>
      <c r="B43" s="3781"/>
      <c r="C43" s="3105" t="s">
        <v>2483</v>
      </c>
      <c r="D43" s="3106"/>
      <c r="E43" s="3107">
        <v>1.5</v>
      </c>
      <c r="F43" s="3104" t="s">
        <v>2484</v>
      </c>
      <c r="G43" s="3104"/>
    </row>
    <row r="44" spans="1:7" ht="19.5" customHeight="1">
      <c r="A44" s="3789"/>
      <c r="B44" s="3116" t="s">
        <v>2635</v>
      </c>
      <c r="C44" s="3105" t="s">
        <v>2636</v>
      </c>
      <c r="D44" s="3106"/>
      <c r="E44" s="3107">
        <v>2</v>
      </c>
      <c r="F44" s="3104" t="s">
        <v>2485</v>
      </c>
      <c r="G44" s="3104"/>
    </row>
    <row r="45" spans="1:7" ht="19.5" customHeight="1">
      <c r="A45" s="3789"/>
      <c r="B45" s="3780" t="s">
        <v>2637</v>
      </c>
      <c r="C45" s="3105" t="s">
        <v>2486</v>
      </c>
      <c r="D45" s="3106"/>
      <c r="E45" s="3107">
        <v>1</v>
      </c>
      <c r="F45" s="3104" t="s">
        <v>2487</v>
      </c>
      <c r="G45" s="3104"/>
    </row>
    <row r="46" spans="1:7" ht="19.5" customHeight="1">
      <c r="A46" s="3789"/>
      <c r="B46" s="3782"/>
      <c r="C46" s="3105" t="s">
        <v>2488</v>
      </c>
      <c r="D46" s="3106"/>
      <c r="E46" s="3107">
        <v>1</v>
      </c>
      <c r="F46" s="3104" t="s">
        <v>2489</v>
      </c>
      <c r="G46" s="3104"/>
    </row>
    <row r="47" spans="1:7" ht="19.5" customHeight="1">
      <c r="A47" s="3789"/>
      <c r="B47" s="3782"/>
      <c r="C47" s="3105" t="s">
        <v>2490</v>
      </c>
      <c r="D47" s="3106"/>
      <c r="E47" s="3107">
        <v>1</v>
      </c>
      <c r="F47" s="3104" t="s">
        <v>2491</v>
      </c>
      <c r="G47" s="3104"/>
    </row>
    <row r="48" spans="1:7" ht="19.5" customHeight="1">
      <c r="A48" s="3789"/>
      <c r="B48" s="3782"/>
      <c r="C48" s="3105" t="s">
        <v>2492</v>
      </c>
      <c r="D48" s="3106"/>
      <c r="E48" s="3107">
        <v>1</v>
      </c>
      <c r="F48" s="3104" t="s">
        <v>2493</v>
      </c>
      <c r="G48" s="3104"/>
    </row>
    <row r="49" spans="1:7" ht="19.5" customHeight="1">
      <c r="A49" s="3789"/>
      <c r="B49" s="3782"/>
      <c r="C49" s="3105" t="s">
        <v>2494</v>
      </c>
      <c r="D49" s="3106"/>
      <c r="E49" s="3107">
        <v>1</v>
      </c>
      <c r="F49" s="3104" t="s">
        <v>2495</v>
      </c>
      <c r="G49" s="3104"/>
    </row>
    <row r="50" spans="1:7" ht="19.5" customHeight="1">
      <c r="A50" s="3789"/>
      <c r="B50" s="3782"/>
      <c r="C50" s="3105" t="s">
        <v>2496</v>
      </c>
      <c r="D50" s="3106"/>
      <c r="E50" s="3107">
        <v>1</v>
      </c>
      <c r="F50" s="3104" t="s">
        <v>2497</v>
      </c>
      <c r="G50" s="3104"/>
    </row>
    <row r="51" spans="1:7" ht="19.5" customHeight="1" thickBot="1">
      <c r="A51" s="3790"/>
      <c r="B51" s="3784"/>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80" t="s">
        <v>2651</v>
      </c>
      <c r="C73" s="3090" t="s">
        <v>2652</v>
      </c>
      <c r="D73" s="3090" t="s">
        <v>2653</v>
      </c>
      <c r="E73" s="3116">
        <v>0.2</v>
      </c>
      <c r="F73" s="3116">
        <v>25</v>
      </c>
    </row>
    <row r="74" spans="1:7" ht="24">
      <c r="A74" s="3116">
        <v>2</v>
      </c>
      <c r="B74" s="3782"/>
      <c r="C74" s="3090" t="s">
        <v>2654</v>
      </c>
      <c r="D74" s="3090" t="s">
        <v>2655</v>
      </c>
      <c r="E74" s="3116">
        <v>0.2</v>
      </c>
      <c r="F74" s="3116">
        <v>25</v>
      </c>
    </row>
    <row r="75" spans="1:7" ht="24">
      <c r="A75" s="3116">
        <v>3</v>
      </c>
      <c r="B75" s="3782"/>
      <c r="C75" s="3090" t="s">
        <v>2656</v>
      </c>
      <c r="D75" s="3090" t="s">
        <v>2657</v>
      </c>
      <c r="E75" s="3116">
        <v>0.2</v>
      </c>
      <c r="F75" s="3116">
        <v>25</v>
      </c>
    </row>
    <row r="76" spans="1:7" ht="13.5">
      <c r="A76" s="3116">
        <v>4</v>
      </c>
      <c r="B76" s="3782"/>
      <c r="C76" s="3090" t="s">
        <v>2658</v>
      </c>
      <c r="D76" s="3090" t="s">
        <v>2659</v>
      </c>
      <c r="E76" s="3116">
        <v>0.15</v>
      </c>
      <c r="F76" s="3116">
        <v>20</v>
      </c>
    </row>
    <row r="77" spans="1:7" ht="24">
      <c r="A77" s="3116">
        <v>5</v>
      </c>
      <c r="B77" s="3782"/>
      <c r="C77" s="3090" t="s">
        <v>2660</v>
      </c>
      <c r="D77" s="3090" t="s">
        <v>2661</v>
      </c>
      <c r="E77" s="3116">
        <v>0.15</v>
      </c>
      <c r="F77" s="3116">
        <v>20</v>
      </c>
    </row>
    <row r="78" spans="1:7" ht="24">
      <c r="A78" s="3116">
        <v>6</v>
      </c>
      <c r="B78" s="3782"/>
      <c r="C78" s="3090" t="s">
        <v>2662</v>
      </c>
      <c r="D78" s="3090" t="s">
        <v>2663</v>
      </c>
      <c r="E78" s="3116">
        <v>0.15</v>
      </c>
      <c r="F78" s="3116">
        <v>20</v>
      </c>
    </row>
    <row r="79" spans="1:7" ht="24">
      <c r="A79" s="3116">
        <v>7</v>
      </c>
      <c r="B79" s="3782"/>
      <c r="C79" s="3090" t="s">
        <v>2664</v>
      </c>
      <c r="D79" s="3090" t="s">
        <v>2665</v>
      </c>
      <c r="E79" s="3116">
        <v>0.15</v>
      </c>
      <c r="F79" s="3116">
        <v>20</v>
      </c>
    </row>
    <row r="80" spans="1:7" ht="24">
      <c r="A80" s="3116">
        <v>8</v>
      </c>
      <c r="B80" s="3782"/>
      <c r="C80" s="3090" t="s">
        <v>2666</v>
      </c>
      <c r="D80" s="3090" t="s">
        <v>2667</v>
      </c>
      <c r="E80" s="3116">
        <v>0.1</v>
      </c>
      <c r="F80" s="3116">
        <v>15</v>
      </c>
    </row>
    <row r="81" spans="1:6" ht="24">
      <c r="A81" s="3116">
        <v>9</v>
      </c>
      <c r="B81" s="3782"/>
      <c r="C81" s="3090" t="s">
        <v>2668</v>
      </c>
      <c r="D81" s="3090" t="s">
        <v>2669</v>
      </c>
      <c r="E81" s="3116">
        <v>0.1</v>
      </c>
      <c r="F81" s="3116">
        <v>15</v>
      </c>
    </row>
    <row r="82" spans="1:6" ht="24">
      <c r="A82" s="3116">
        <v>10</v>
      </c>
      <c r="B82" s="3782"/>
      <c r="C82" s="3090" t="s">
        <v>2670</v>
      </c>
      <c r="D82" s="3090" t="s">
        <v>2671</v>
      </c>
      <c r="E82" s="3116">
        <v>0.1</v>
      </c>
      <c r="F82" s="3116">
        <v>15</v>
      </c>
    </row>
    <row r="83" spans="1:6" ht="24">
      <c r="A83" s="3116">
        <v>11</v>
      </c>
      <c r="B83" s="3782"/>
      <c r="C83" s="3090" t="s">
        <v>2672</v>
      </c>
      <c r="D83" s="3090" t="s">
        <v>2673</v>
      </c>
      <c r="E83" s="3116">
        <v>0.1</v>
      </c>
      <c r="F83" s="3116">
        <v>15</v>
      </c>
    </row>
    <row r="84" spans="1:6" ht="24">
      <c r="A84" s="3116">
        <v>12</v>
      </c>
      <c r="B84" s="3782"/>
      <c r="C84" s="3090" t="s">
        <v>2674</v>
      </c>
      <c r="D84" s="3090" t="s">
        <v>2675</v>
      </c>
      <c r="E84" s="3116">
        <v>0.1</v>
      </c>
      <c r="F84" s="3116">
        <v>15</v>
      </c>
    </row>
    <row r="85" spans="1:6" ht="13.5">
      <c r="A85" s="3116">
        <v>13</v>
      </c>
      <c r="B85" s="3782"/>
      <c r="C85" s="3090" t="s">
        <v>2676</v>
      </c>
      <c r="D85" s="3090" t="s">
        <v>2677</v>
      </c>
      <c r="E85" s="3116">
        <v>0.1</v>
      </c>
      <c r="F85" s="3116">
        <v>15</v>
      </c>
    </row>
    <row r="86" spans="1:6" ht="13.5">
      <c r="A86" s="3116">
        <v>14</v>
      </c>
      <c r="B86" s="3782"/>
      <c r="C86" s="3090" t="s">
        <v>2678</v>
      </c>
      <c r="D86" s="3090" t="s">
        <v>2679</v>
      </c>
      <c r="E86" s="3116">
        <v>0.1</v>
      </c>
      <c r="F86" s="3116">
        <v>15</v>
      </c>
    </row>
    <row r="87" spans="1:6" ht="13.5">
      <c r="A87" s="3116">
        <v>15</v>
      </c>
      <c r="B87" s="3782"/>
      <c r="C87" s="3090" t="s">
        <v>2680</v>
      </c>
      <c r="D87" s="3090" t="s">
        <v>2681</v>
      </c>
      <c r="E87" s="3116">
        <v>0.1</v>
      </c>
      <c r="F87" s="3116">
        <v>15</v>
      </c>
    </row>
    <row r="88" spans="1:6" ht="24">
      <c r="A88" s="3116">
        <v>16</v>
      </c>
      <c r="B88" s="3782"/>
      <c r="C88" s="3090" t="s">
        <v>2682</v>
      </c>
      <c r="D88" s="3090" t="s">
        <v>2683</v>
      </c>
      <c r="E88" s="3116">
        <v>0.1</v>
      </c>
      <c r="F88" s="3116">
        <v>15</v>
      </c>
    </row>
    <row r="89" spans="1:6" ht="24">
      <c r="A89" s="3116">
        <v>17</v>
      </c>
      <c r="B89" s="3781"/>
      <c r="C89" s="3090" t="s">
        <v>2684</v>
      </c>
      <c r="D89" s="3090" t="s">
        <v>2685</v>
      </c>
      <c r="E89" s="3116">
        <v>0.1</v>
      </c>
      <c r="F89" s="3116">
        <v>15</v>
      </c>
    </row>
    <row r="90" spans="1:6" ht="13.5">
      <c r="A90" s="3116">
        <v>18</v>
      </c>
      <c r="B90" s="3780" t="s">
        <v>2686</v>
      </c>
      <c r="C90" s="3090" t="s">
        <v>2687</v>
      </c>
      <c r="D90" s="3090" t="s">
        <v>2688</v>
      </c>
      <c r="E90" s="3116">
        <v>0.2</v>
      </c>
      <c r="F90" s="3116">
        <v>25</v>
      </c>
    </row>
    <row r="91" spans="1:6" ht="24">
      <c r="A91" s="3116">
        <v>19</v>
      </c>
      <c r="B91" s="3782"/>
      <c r="C91" s="3090" t="s">
        <v>2689</v>
      </c>
      <c r="D91" s="3090" t="s">
        <v>2690</v>
      </c>
      <c r="E91" s="3116">
        <v>0.2</v>
      </c>
      <c r="F91" s="3116">
        <v>25</v>
      </c>
    </row>
    <row r="92" spans="1:6" ht="13.5">
      <c r="A92" s="3116">
        <v>20</v>
      </c>
      <c r="B92" s="3782"/>
      <c r="C92" s="3090" t="s">
        <v>2691</v>
      </c>
      <c r="D92" s="3090" t="s">
        <v>2692</v>
      </c>
      <c r="E92" s="3116">
        <v>0.15</v>
      </c>
      <c r="F92" s="3116">
        <v>20</v>
      </c>
    </row>
    <row r="93" spans="1:6" ht="13.5">
      <c r="A93" s="3116">
        <v>21</v>
      </c>
      <c r="B93" s="3782"/>
      <c r="C93" s="3090" t="s">
        <v>2693</v>
      </c>
      <c r="D93" s="3090" t="s">
        <v>2694</v>
      </c>
      <c r="E93" s="3116">
        <v>0.15</v>
      </c>
      <c r="F93" s="3116">
        <v>20</v>
      </c>
    </row>
    <row r="94" spans="1:6" ht="13.5">
      <c r="A94" s="3116">
        <v>22</v>
      </c>
      <c r="B94" s="3782"/>
      <c r="C94" s="3090" t="s">
        <v>2695</v>
      </c>
      <c r="D94" s="3090" t="s">
        <v>2696</v>
      </c>
      <c r="E94" s="3116">
        <v>0.15</v>
      </c>
      <c r="F94" s="3116">
        <v>20</v>
      </c>
    </row>
    <row r="95" spans="1:6" ht="36">
      <c r="A95" s="3116">
        <v>23</v>
      </c>
      <c r="B95" s="3782"/>
      <c r="C95" s="3090" t="s">
        <v>2697</v>
      </c>
      <c r="D95" s="3090" t="s">
        <v>2698</v>
      </c>
      <c r="E95" s="3116">
        <v>0.15</v>
      </c>
      <c r="F95" s="3116">
        <v>20</v>
      </c>
    </row>
    <row r="96" spans="1:6" ht="13.5">
      <c r="A96" s="3116">
        <v>24</v>
      </c>
      <c r="B96" s="3782"/>
      <c r="C96" s="3090" t="s">
        <v>2699</v>
      </c>
      <c r="D96" s="3090" t="s">
        <v>2700</v>
      </c>
      <c r="E96" s="3116">
        <v>0.1</v>
      </c>
      <c r="F96" s="3116">
        <v>15</v>
      </c>
    </row>
    <row r="97" spans="1:6" ht="13.5">
      <c r="A97" s="3116">
        <v>25</v>
      </c>
      <c r="B97" s="3782"/>
      <c r="C97" s="3090" t="s">
        <v>2701</v>
      </c>
      <c r="D97" s="3090" t="s">
        <v>2702</v>
      </c>
      <c r="E97" s="3116">
        <v>0.1</v>
      </c>
      <c r="F97" s="3116">
        <v>15</v>
      </c>
    </row>
    <row r="98" spans="1:6" ht="24">
      <c r="A98" s="3116">
        <v>26</v>
      </c>
      <c r="B98" s="3782"/>
      <c r="C98" s="3090" t="s">
        <v>2703</v>
      </c>
      <c r="D98" s="3090" t="s">
        <v>2704</v>
      </c>
      <c r="E98" s="3116">
        <v>0.1</v>
      </c>
      <c r="F98" s="3116">
        <v>15</v>
      </c>
    </row>
    <row r="99" spans="1:6" ht="24">
      <c r="A99" s="3116">
        <v>27</v>
      </c>
      <c r="B99" s="3782"/>
      <c r="C99" s="3090" t="s">
        <v>2705</v>
      </c>
      <c r="D99" s="3090" t="s">
        <v>2706</v>
      </c>
      <c r="E99" s="3116">
        <v>0.1</v>
      </c>
      <c r="F99" s="3116">
        <v>15</v>
      </c>
    </row>
    <row r="100" spans="1:6" ht="13.5">
      <c r="A100" s="3116">
        <v>28</v>
      </c>
      <c r="B100" s="3782"/>
      <c r="C100" s="3090" t="s">
        <v>2707</v>
      </c>
      <c r="D100" s="3090" t="s">
        <v>2708</v>
      </c>
      <c r="E100" s="3116">
        <v>0.1</v>
      </c>
      <c r="F100" s="3116">
        <v>15</v>
      </c>
    </row>
    <row r="101" spans="1:6" ht="13.5">
      <c r="A101" s="3116">
        <v>29</v>
      </c>
      <c r="B101" s="3782"/>
      <c r="C101" s="3090" t="s">
        <v>2709</v>
      </c>
      <c r="D101" s="3090" t="s">
        <v>2710</v>
      </c>
      <c r="E101" s="3116">
        <v>0.1</v>
      </c>
      <c r="F101" s="3116">
        <v>15</v>
      </c>
    </row>
    <row r="102" spans="1:6" ht="13.5">
      <c r="A102" s="3116">
        <v>30</v>
      </c>
      <c r="B102" s="3782"/>
      <c r="C102" s="3090" t="s">
        <v>2711</v>
      </c>
      <c r="D102" s="3090" t="s">
        <v>2712</v>
      </c>
      <c r="E102" s="3116">
        <v>0.1</v>
      </c>
      <c r="F102" s="3116">
        <v>15</v>
      </c>
    </row>
    <row r="103" spans="1:6" ht="24">
      <c r="A103" s="3116">
        <v>31</v>
      </c>
      <c r="B103" s="3782"/>
      <c r="C103" s="3090" t="s">
        <v>2713</v>
      </c>
      <c r="D103" s="3090" t="s">
        <v>2714</v>
      </c>
      <c r="E103" s="3116">
        <v>0.1</v>
      </c>
      <c r="F103" s="3116">
        <v>15</v>
      </c>
    </row>
    <row r="104" spans="1:6" ht="24">
      <c r="A104" s="3116">
        <v>32</v>
      </c>
      <c r="B104" s="3782"/>
      <c r="C104" s="3090" t="s">
        <v>2715</v>
      </c>
      <c r="D104" s="3090" t="s">
        <v>2716</v>
      </c>
      <c r="E104" s="3116">
        <v>0.1</v>
      </c>
      <c r="F104" s="3116">
        <v>15</v>
      </c>
    </row>
    <row r="105" spans="1:6" ht="24">
      <c r="A105" s="3116">
        <v>33</v>
      </c>
      <c r="B105" s="3782"/>
      <c r="C105" s="3090" t="s">
        <v>2717</v>
      </c>
      <c r="D105" s="3090" t="s">
        <v>2718</v>
      </c>
      <c r="E105" s="3116">
        <v>0.1</v>
      </c>
      <c r="F105" s="3116">
        <v>15</v>
      </c>
    </row>
    <row r="106" spans="1:6" ht="24">
      <c r="A106" s="3116">
        <v>34</v>
      </c>
      <c r="B106" s="3781"/>
      <c r="C106" s="3090" t="s">
        <v>2719</v>
      </c>
      <c r="D106" s="3090" t="s">
        <v>2720</v>
      </c>
      <c r="E106" s="3116">
        <v>0.1</v>
      </c>
      <c r="F106" s="3116">
        <v>15</v>
      </c>
    </row>
    <row r="107" spans="1:6" ht="24">
      <c r="A107" s="3116">
        <v>35</v>
      </c>
      <c r="B107" s="3780" t="s">
        <v>2721</v>
      </c>
      <c r="C107" s="3116" t="s">
        <v>2722</v>
      </c>
      <c r="D107" s="3090" t="s">
        <v>2723</v>
      </c>
      <c r="E107" s="3116">
        <v>0.15</v>
      </c>
      <c r="F107" s="3116">
        <v>20</v>
      </c>
    </row>
    <row r="108" spans="1:6" ht="13.5">
      <c r="A108" s="3116">
        <v>36</v>
      </c>
      <c r="B108" s="3782"/>
      <c r="C108" s="3116" t="s">
        <v>2724</v>
      </c>
      <c r="D108" s="3090" t="s">
        <v>2725</v>
      </c>
      <c r="E108" s="3116">
        <v>0.15</v>
      </c>
      <c r="F108" s="3116">
        <v>20</v>
      </c>
    </row>
    <row r="109" spans="1:6" ht="13.5">
      <c r="A109" s="3116">
        <v>37</v>
      </c>
      <c r="B109" s="3782"/>
      <c r="C109" s="3116" t="s">
        <v>2726</v>
      </c>
      <c r="D109" s="3090" t="s">
        <v>2727</v>
      </c>
      <c r="E109" s="3116">
        <v>0.15</v>
      </c>
      <c r="F109" s="3116">
        <v>20</v>
      </c>
    </row>
    <row r="110" spans="1:6" ht="13.5">
      <c r="A110" s="3116">
        <v>38</v>
      </c>
      <c r="B110" s="3782"/>
      <c r="C110" s="3116" t="s">
        <v>2728</v>
      </c>
      <c r="D110" s="3090" t="s">
        <v>2729</v>
      </c>
      <c r="E110" s="3116">
        <v>0.1</v>
      </c>
      <c r="F110" s="3116">
        <v>15</v>
      </c>
    </row>
    <row r="111" spans="1:6" ht="24">
      <c r="A111" s="3116">
        <v>39</v>
      </c>
      <c r="B111" s="3782"/>
      <c r="C111" s="3116" t="s">
        <v>2730</v>
      </c>
      <c r="D111" s="3090" t="s">
        <v>2731</v>
      </c>
      <c r="E111" s="3116">
        <v>0.1</v>
      </c>
      <c r="F111" s="3116">
        <v>15</v>
      </c>
    </row>
    <row r="112" spans="1:6" ht="24">
      <c r="A112" s="3116">
        <v>40</v>
      </c>
      <c r="B112" s="3781"/>
      <c r="C112" s="3116" t="s">
        <v>2732</v>
      </c>
      <c r="D112" s="3090" t="s">
        <v>2733</v>
      </c>
      <c r="E112" s="3116">
        <v>0.1</v>
      </c>
      <c r="F112" s="3116">
        <v>15</v>
      </c>
    </row>
    <row r="113" spans="1:6" ht="13.5">
      <c r="A113" s="3116">
        <v>41</v>
      </c>
      <c r="B113" s="3779" t="s">
        <v>2734</v>
      </c>
      <c r="C113" s="3116" t="s">
        <v>2735</v>
      </c>
      <c r="D113" s="3090" t="s">
        <v>2736</v>
      </c>
      <c r="E113" s="3116">
        <v>0.1</v>
      </c>
      <c r="F113" s="3116">
        <v>15</v>
      </c>
    </row>
    <row r="114" spans="1:6" ht="13.5">
      <c r="A114" s="3116">
        <v>42</v>
      </c>
      <c r="B114" s="3779"/>
      <c r="C114" s="3116" t="s">
        <v>2737</v>
      </c>
      <c r="D114" s="3090" t="s">
        <v>2738</v>
      </c>
      <c r="E114" s="3116">
        <v>0.1</v>
      </c>
      <c r="F114" s="3116">
        <v>15</v>
      </c>
    </row>
    <row r="115" spans="1:6" ht="24">
      <c r="A115" s="3116">
        <v>43</v>
      </c>
      <c r="B115" s="3779"/>
      <c r="C115" s="3116" t="s">
        <v>2739</v>
      </c>
      <c r="D115" s="3090" t="s">
        <v>2740</v>
      </c>
      <c r="E115" s="3116">
        <v>0.1</v>
      </c>
      <c r="F115" s="3116">
        <v>15</v>
      </c>
    </row>
    <row r="116" spans="1:6" ht="13.5">
      <c r="A116" s="3116">
        <v>44</v>
      </c>
      <c r="B116" s="3780" t="s">
        <v>2741</v>
      </c>
      <c r="C116" s="3116" t="s">
        <v>2742</v>
      </c>
      <c r="D116" s="3090" t="s">
        <v>2743</v>
      </c>
      <c r="E116" s="3116">
        <v>0.1</v>
      </c>
      <c r="F116" s="3116">
        <v>15</v>
      </c>
    </row>
    <row r="117" spans="1:6" ht="24">
      <c r="A117" s="3116">
        <v>45</v>
      </c>
      <c r="B117" s="3781"/>
      <c r="C117" s="3090" t="s">
        <v>2744</v>
      </c>
      <c r="D117" s="3090" t="s">
        <v>2745</v>
      </c>
      <c r="E117" s="3116">
        <v>0.1</v>
      </c>
      <c r="F117" s="3116">
        <v>15</v>
      </c>
    </row>
    <row r="118" spans="1:6" ht="24">
      <c r="A118" s="3116">
        <v>46</v>
      </c>
      <c r="B118" s="3780" t="s">
        <v>2746</v>
      </c>
      <c r="C118" s="3116" t="s">
        <v>2747</v>
      </c>
      <c r="D118" s="3090" t="s">
        <v>2748</v>
      </c>
      <c r="E118" s="3116">
        <v>0.1</v>
      </c>
      <c r="F118" s="3116">
        <v>15</v>
      </c>
    </row>
    <row r="119" spans="1:6" ht="24">
      <c r="A119" s="3116">
        <v>47</v>
      </c>
      <c r="B119" s="3781"/>
      <c r="C119" s="3116" t="s">
        <v>2749</v>
      </c>
      <c r="D119" s="3090" t="s">
        <v>2750</v>
      </c>
      <c r="E119" s="3116">
        <v>0.1</v>
      </c>
      <c r="F119" s="3116">
        <v>15</v>
      </c>
    </row>
    <row r="120" spans="1:6" ht="13.5">
      <c r="A120" s="3116">
        <v>48</v>
      </c>
      <c r="B120" s="3780" t="s">
        <v>2751</v>
      </c>
      <c r="C120" s="3116" t="s">
        <v>2752</v>
      </c>
      <c r="D120" s="3090" t="s">
        <v>2753</v>
      </c>
      <c r="E120" s="3116">
        <v>0.1</v>
      </c>
      <c r="F120" s="3116">
        <v>15</v>
      </c>
    </row>
    <row r="121" spans="1:6" ht="13.5">
      <c r="A121" s="3116">
        <v>49</v>
      </c>
      <c r="B121" s="3781"/>
      <c r="C121" s="3116" t="s">
        <v>2754</v>
      </c>
      <c r="D121" s="3090" t="s">
        <v>2755</v>
      </c>
      <c r="E121" s="3116">
        <v>0.1</v>
      </c>
      <c r="F121" s="3116">
        <v>15</v>
      </c>
    </row>
    <row r="122" spans="1:6" ht="24">
      <c r="A122" s="3116">
        <v>50</v>
      </c>
      <c r="B122" s="3779" t="s">
        <v>2756</v>
      </c>
      <c r="C122" s="3116" t="s">
        <v>2757</v>
      </c>
      <c r="D122" s="3090" t="s">
        <v>2758</v>
      </c>
      <c r="E122" s="3116">
        <v>0.1</v>
      </c>
      <c r="F122" s="3116">
        <v>15</v>
      </c>
    </row>
    <row r="123" spans="1:6" ht="24">
      <c r="A123" s="3116">
        <v>51</v>
      </c>
      <c r="B123" s="3779"/>
      <c r="C123" s="3116" t="s">
        <v>2759</v>
      </c>
      <c r="D123" s="3090" t="s">
        <v>2760</v>
      </c>
      <c r="E123" s="3116">
        <v>0.1</v>
      </c>
      <c r="F123" s="3116">
        <v>15</v>
      </c>
    </row>
    <row r="124" spans="1:6" ht="24">
      <c r="A124" s="3116">
        <v>52</v>
      </c>
      <c r="B124" s="3779" t="s">
        <v>2761</v>
      </c>
      <c r="C124" s="3116" t="s">
        <v>2762</v>
      </c>
      <c r="D124" s="3090" t="s">
        <v>2763</v>
      </c>
      <c r="E124" s="3116">
        <v>0.1</v>
      </c>
      <c r="F124" s="3116">
        <v>15</v>
      </c>
    </row>
    <row r="125" spans="1:6" ht="24">
      <c r="A125" s="3116">
        <v>53</v>
      </c>
      <c r="B125" s="3779"/>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79" t="s">
        <v>2769</v>
      </c>
      <c r="C127" s="3116" t="s">
        <v>2770</v>
      </c>
      <c r="D127" s="3090" t="s">
        <v>2771</v>
      </c>
      <c r="E127" s="3116">
        <v>0.1</v>
      </c>
      <c r="F127" s="3116">
        <v>15</v>
      </c>
    </row>
    <row r="128" spans="1:6" ht="13.5">
      <c r="A128" s="3116">
        <v>56</v>
      </c>
      <c r="B128" s="3779"/>
      <c r="C128" s="3116" t="s">
        <v>2772</v>
      </c>
      <c r="D128" s="3090" t="s">
        <v>2773</v>
      </c>
      <c r="E128" s="3116">
        <v>0.1</v>
      </c>
      <c r="F128" s="3116">
        <v>15</v>
      </c>
    </row>
    <row r="129" spans="1:6" ht="24">
      <c r="A129" s="3116">
        <v>57</v>
      </c>
      <c r="B129" s="3779"/>
      <c r="C129" s="3116" t="s">
        <v>2774</v>
      </c>
      <c r="D129" s="3090" t="s">
        <v>2775</v>
      </c>
      <c r="E129" s="3116">
        <v>0.1</v>
      </c>
      <c r="F129" s="3116">
        <v>15</v>
      </c>
    </row>
    <row r="130" spans="1:6" ht="24">
      <c r="A130" s="3116">
        <v>58</v>
      </c>
      <c r="B130" s="3779" t="s">
        <v>2776</v>
      </c>
      <c r="C130" s="3116" t="s">
        <v>2777</v>
      </c>
      <c r="D130" s="3090" t="s">
        <v>2778</v>
      </c>
      <c r="E130" s="3116">
        <v>0.1</v>
      </c>
      <c r="F130" s="3116">
        <v>15</v>
      </c>
    </row>
    <row r="131" spans="1:6" ht="13.5">
      <c r="A131" s="3116">
        <v>59</v>
      </c>
      <c r="B131" s="3779"/>
      <c r="C131" s="3116" t="s">
        <v>2779</v>
      </c>
      <c r="D131" s="3090" t="s">
        <v>2780</v>
      </c>
      <c r="E131" s="3116">
        <v>0.1</v>
      </c>
      <c r="F131" s="3116">
        <v>15</v>
      </c>
    </row>
    <row r="132" spans="1:6" ht="13.5">
      <c r="A132" s="3116">
        <v>60</v>
      </c>
      <c r="B132" s="3780" t="s">
        <v>2781</v>
      </c>
      <c r="C132" s="3116" t="s">
        <v>2782</v>
      </c>
      <c r="D132" s="3090" t="s">
        <v>2783</v>
      </c>
      <c r="E132" s="3116">
        <v>0.1</v>
      </c>
      <c r="F132" s="3116">
        <v>15</v>
      </c>
    </row>
    <row r="133" spans="1:6" ht="13.5">
      <c r="A133" s="3116">
        <v>61</v>
      </c>
      <c r="B133" s="3781"/>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79" t="s">
        <v>2789</v>
      </c>
      <c r="C135" s="3116" t="s">
        <v>2790</v>
      </c>
      <c r="D135" s="3090" t="s">
        <v>2791</v>
      </c>
      <c r="E135" s="3116">
        <v>0.1</v>
      </c>
      <c r="F135" s="3116">
        <v>15</v>
      </c>
    </row>
    <row r="136" spans="1:6" ht="13.5">
      <c r="A136" s="3116">
        <v>64</v>
      </c>
      <c r="B136" s="3779"/>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2798</v>
      </c>
      <c r="B1" s="3125"/>
      <c r="C1" s="3125"/>
      <c r="D1" s="3125"/>
      <c r="E1" s="3125"/>
      <c r="F1" s="3125"/>
      <c r="G1" s="3125"/>
      <c r="H1" s="3125"/>
      <c r="I1" s="3125"/>
      <c r="J1" s="3125"/>
      <c r="K1" s="3125"/>
      <c r="L1" s="3125"/>
      <c r="M1" s="3125"/>
      <c r="N1" s="748"/>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49">
        <f>SUMPRODUCT((A95:A184=ROUNDDOWN(基准地价修正!G3,1))*(B94:M94=基准地价修正!G2)*(B95:M184))</f>
        <v>0</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49">
        <f>SUMPRODUCT((A371:A460=ROUNDDOWN(基准地价修正!G3,1))*(B370:M370=基准地价修正!G2)*(B371:M460))</f>
        <v>0</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92"/>
      <c r="B4" s="3476" t="s">
        <v>917</v>
      </c>
      <c r="C4" s="3476"/>
      <c r="D4" s="3476"/>
      <c r="E4" s="1492"/>
    </row>
    <row r="5" spans="1:5" ht="16.5" thickTop="1">
      <c r="A5" s="1490"/>
      <c r="B5" s="3474" t="s">
        <v>909</v>
      </c>
      <c r="C5" s="1493" t="s">
        <v>910</v>
      </c>
      <c r="D5" s="849">
        <f ca="1">结果表!H101</f>
        <v>1390</v>
      </c>
      <c r="E5" s="1490"/>
    </row>
    <row r="6" spans="1:5" ht="15.75">
      <c r="A6" s="1490"/>
      <c r="B6" s="3474"/>
      <c r="C6" s="1493" t="s">
        <v>911</v>
      </c>
      <c r="D6" s="849" t="str">
        <f ca="1">NUMBERSTRING(INT(D5*10000),2)&amp;"元整"</f>
        <v>壹仟叁佰玖拾万元整</v>
      </c>
      <c r="E6" s="1490"/>
    </row>
    <row r="7" spans="1:5" ht="15.75">
      <c r="A7" s="1490"/>
      <c r="B7" s="3479"/>
      <c r="C7" s="1494" t="s">
        <v>912</v>
      </c>
      <c r="D7" s="850">
        <f ca="1">结果表!H102</f>
        <v>30449</v>
      </c>
      <c r="E7" s="1490"/>
    </row>
    <row r="8" spans="1:5" ht="15.75">
      <c r="A8" s="1490"/>
      <c r="B8" s="3480" t="str">
        <f>结果表!E103</f>
        <v>2.估价师知悉的法定优先受偿款</v>
      </c>
      <c r="C8" s="1495" t="s">
        <v>913</v>
      </c>
      <c r="D8" s="850">
        <f>结果表!H103</f>
        <v>0</v>
      </c>
      <c r="E8" s="1490"/>
    </row>
    <row r="9" spans="1:5" ht="15.75">
      <c r="A9" s="1490"/>
      <c r="B9" s="348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3" t="str">
        <f>结果表!E107</f>
        <v>3.房地产抵押价值</v>
      </c>
      <c r="C13" s="1498" t="s">
        <v>910</v>
      </c>
      <c r="D13" s="852">
        <f ca="1">结果表!H107</f>
        <v>1390</v>
      </c>
      <c r="E13" s="1490"/>
    </row>
    <row r="14" spans="1:5" ht="15.75">
      <c r="A14" s="1490"/>
      <c r="B14" s="3474"/>
      <c r="C14" s="1493" t="s">
        <v>911</v>
      </c>
      <c r="D14" s="849" t="str">
        <f ca="1">NUMBERSTRING(INT(D13*10000),2)&amp;"元整"</f>
        <v>壹仟叁佰玖拾万元整</v>
      </c>
      <c r="E14" s="1490"/>
    </row>
    <row r="15" spans="1:5" ht="15">
      <c r="A15" s="1490"/>
      <c r="B15" s="3479"/>
      <c r="C15" s="1494" t="s">
        <v>921</v>
      </c>
      <c r="D15" s="858">
        <f ca="1">结果表!H108</f>
        <v>30449</v>
      </c>
      <c r="E15" s="1490"/>
    </row>
    <row r="16" spans="1:5" ht="15">
      <c r="A16" s="1490"/>
      <c r="B16" s="3480" t="str">
        <f>结果表!E109</f>
        <v>——</v>
      </c>
      <c r="C16" s="1498" t="s">
        <v>922</v>
      </c>
      <c r="D16" s="1499" t="str">
        <f>结果表!H109</f>
        <v>——</v>
      </c>
      <c r="E16" s="1490"/>
    </row>
    <row r="17" spans="1:5" ht="15.75">
      <c r="A17" s="1490"/>
      <c r="B17" s="3481"/>
      <c r="C17" s="1493" t="s">
        <v>923</v>
      </c>
      <c r="D17" s="849" t="e">
        <f>NUMBERSTRING(INT(D16*10000),2)&amp;"元整"</f>
        <v>#VALUE!</v>
      </c>
      <c r="E17" s="1490"/>
    </row>
    <row r="18" spans="1:5" ht="15">
      <c r="A18" s="1490"/>
      <c r="B18" s="3482"/>
      <c r="C18" s="1494" t="s">
        <v>912</v>
      </c>
      <c r="D18" s="858" t="str">
        <f>结果表!H110</f>
        <v>——</v>
      </c>
      <c r="E18" s="1490"/>
    </row>
    <row r="19" spans="1:5" ht="15.75">
      <c r="A19" s="1490"/>
      <c r="B19" s="3473" t="str">
        <f>结果表!E111</f>
        <v>——</v>
      </c>
      <c r="C19" s="1498" t="s">
        <v>910</v>
      </c>
      <c r="D19" s="850" t="str">
        <f>结果表!H111</f>
        <v>——</v>
      </c>
      <c r="E19" s="1490"/>
    </row>
    <row r="20" spans="1:5" ht="15.75">
      <c r="A20" s="1490"/>
      <c r="B20" s="3474"/>
      <c r="C20" s="1493" t="s">
        <v>923</v>
      </c>
      <c r="D20" s="849" t="e">
        <f>NUMBERSTRING(INT(D19*10000),2)&amp;"元整"</f>
        <v>#VALUE!</v>
      </c>
      <c r="E20" s="1490"/>
    </row>
    <row r="21" spans="1:5" ht="15.75" thickBot="1">
      <c r="A21" s="1490"/>
      <c r="B21" s="347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28005</v>
      </c>
      <c r="C2" s="2" t="s">
        <v>106</v>
      </c>
      <c r="D2" s="199"/>
      <c r="E2" s="199"/>
      <c r="F2" s="199"/>
      <c r="G2" s="199"/>
    </row>
    <row r="3" spans="1:7" s="200" customFormat="1" ht="18" customHeight="1" thickBot="1">
      <c r="A3" s="203" t="s">
        <v>58</v>
      </c>
      <c r="B3" s="204">
        <f ca="1">ROUND(B2*10000/'数据-汇总表'!E3,0)</f>
        <v>613405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9</v>
      </c>
      <c r="D10" s="844">
        <f>'数据-汇总表'!E6</f>
        <v>456.55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9</v>
      </c>
      <c r="D19" s="848">
        <f>'数据-汇总表'!E3</f>
        <v>456.55</v>
      </c>
      <c r="E19" s="211">
        <f>'数据-取费表'!B31</f>
        <v>200</v>
      </c>
      <c r="F19" s="231"/>
      <c r="G19" s="1" t="s">
        <v>436</v>
      </c>
    </row>
    <row r="20" spans="1:7" s="214" customFormat="1" ht="13.5" customHeight="1">
      <c r="A20" s="776" t="s">
        <v>419</v>
      </c>
      <c r="B20" s="210" t="s">
        <v>77</v>
      </c>
      <c r="C20" s="232">
        <f>ROUND((C5+C19)*F20,0)</f>
        <v>619</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1318</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3186</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3186</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27859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137</v>
      </c>
      <c r="D34" s="217"/>
      <c r="E34" s="220"/>
      <c r="F34" s="257">
        <f>IF('数据-取费表'!B24=0,1,'数据-取费表'!N16)</f>
        <v>1</v>
      </c>
      <c r="G34" s="219" t="s">
        <v>89</v>
      </c>
    </row>
    <row r="35" spans="1:7" ht="13.5" customHeight="1">
      <c r="A35" s="779" t="s">
        <v>351</v>
      </c>
      <c r="B35" s="215" t="s">
        <v>33</v>
      </c>
      <c r="C35" s="220">
        <f>ROUND(C34*F35,0)</f>
        <v>7</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9</v>
      </c>
      <c r="D37" s="217">
        <f>'数据-汇总表'!E3</f>
        <v>456.55</v>
      </c>
      <c r="E37" s="249">
        <f>'数据-取费表'!B35</f>
        <v>200</v>
      </c>
      <c r="F37" s="259"/>
      <c r="G37" s="261" t="s">
        <v>92</v>
      </c>
    </row>
    <row r="38" spans="1:7" ht="13.5" customHeight="1">
      <c r="A38" s="779" t="s">
        <v>354</v>
      </c>
      <c r="B38" s="215" t="s">
        <v>36</v>
      </c>
      <c r="C38" s="220">
        <f>ROUND(C34*F38,0)</f>
        <v>3</v>
      </c>
      <c r="D38" s="220"/>
      <c r="E38" s="220"/>
      <c r="F38" s="259">
        <f>'数据-取费表'!B36</f>
        <v>0.02</v>
      </c>
      <c r="G38" s="219" t="s">
        <v>90</v>
      </c>
    </row>
    <row r="39" spans="1:7" s="214" customFormat="1" ht="13.5" customHeight="1">
      <c r="A39" s="776" t="s">
        <v>338</v>
      </c>
      <c r="B39" s="210" t="s">
        <v>77</v>
      </c>
      <c r="C39" s="232">
        <f>ROUND(C33*F20,0)</f>
        <v>5</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5</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5</v>
      </c>
      <c r="D42" s="238"/>
      <c r="E42" s="238"/>
      <c r="F42" s="239"/>
      <c r="G42" s="3655" t="s">
        <v>94</v>
      </c>
    </row>
    <row r="43" spans="1:7" ht="13.5" customHeight="1">
      <c r="A43" s="779" t="s">
        <v>347</v>
      </c>
      <c r="B43" s="215" t="s">
        <v>426</v>
      </c>
      <c r="C43" s="238">
        <f ca="1">ROUND(IF('数据-取费表'!B22&lt;=1,C39*F22*'数据-取费表'!B21/2,C39*(POWER((1+F22),'数据-取费表'!B21/2)-1)),0)</f>
        <v>0</v>
      </c>
      <c r="D43" s="238"/>
      <c r="E43" s="238"/>
      <c r="F43" s="239"/>
      <c r="G43" s="3656"/>
    </row>
    <row r="44" spans="1:7" ht="13.5" customHeight="1">
      <c r="A44" s="779" t="s">
        <v>348</v>
      </c>
      <c r="B44" s="215" t="s">
        <v>428</v>
      </c>
      <c r="C44" s="238">
        <f ca="1">ROUND(IF('数据-取费表'!B22&lt;=1,C40*F22*'数据-取费表'!B21/2,C40*(POWER((1+F22),'数据-取费表'!B21/2)-1)),4)</f>
        <v>5.9999999999999995E-4</v>
      </c>
      <c r="D44" s="238"/>
      <c r="E44" s="238"/>
      <c r="F44" s="239"/>
      <c r="G44" s="3657"/>
    </row>
    <row r="45" spans="1:7" s="214" customFormat="1" ht="13.5" customHeight="1">
      <c r="A45" s="776" t="s">
        <v>341</v>
      </c>
      <c r="B45" s="244" t="s">
        <v>85</v>
      </c>
      <c r="C45" s="245">
        <f>C46</f>
        <v>24</v>
      </c>
      <c r="D45" s="235">
        <f>C47</f>
        <v>3.0000000000000001E-3</v>
      </c>
      <c r="E45" s="236" t="s">
        <v>102</v>
      </c>
      <c r="F45" s="246"/>
      <c r="G45" s="247" t="s">
        <v>434</v>
      </c>
    </row>
    <row r="46" spans="1:7" s="214" customFormat="1" ht="13.5" customHeight="1">
      <c r="A46" s="779" t="s">
        <v>349</v>
      </c>
      <c r="B46" s="248" t="s">
        <v>427</v>
      </c>
      <c r="C46" s="249">
        <f>ROUND((C33+C39)*F27,0)</f>
        <v>24</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206</v>
      </c>
      <c r="D49" s="232"/>
      <c r="E49" s="232"/>
      <c r="F49" s="264"/>
      <c r="G49" s="234" t="s">
        <v>435</v>
      </c>
    </row>
    <row r="50" spans="1:7" s="258" customFormat="1" ht="24">
      <c r="A50" s="776" t="s">
        <v>344</v>
      </c>
      <c r="B50" s="210" t="s">
        <v>97</v>
      </c>
      <c r="C50" s="232"/>
      <c r="D50" s="232"/>
      <c r="E50" s="232"/>
      <c r="F50" s="264">
        <f>IF('数据-取费表'!B24=0,'数据-取费表'!N16,1)</f>
        <v>0.71</v>
      </c>
      <c r="G50" s="247" t="s">
        <v>98</v>
      </c>
    </row>
    <row r="51" spans="1:7" ht="16.5" customHeight="1">
      <c r="A51" s="776" t="s">
        <v>345</v>
      </c>
      <c r="B51" s="210" t="s">
        <v>105</v>
      </c>
      <c r="C51" s="232">
        <f ca="1">ROUND(C49*F50,0)</f>
        <v>146</v>
      </c>
      <c r="D51" s="232"/>
      <c r="E51" s="232"/>
      <c r="F51" s="264"/>
      <c r="G51" s="234" t="s">
        <v>37</v>
      </c>
    </row>
    <row r="52" spans="1:7" s="208" customFormat="1" ht="16.5" thickBot="1">
      <c r="A52" s="265" t="s">
        <v>38</v>
      </c>
      <c r="B52" s="266"/>
      <c r="C52" s="267">
        <f ca="1">C31+C51</f>
        <v>28005</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1" t="s">
        <v>3181</v>
      </c>
      <c r="B1" s="3791"/>
    </row>
    <row r="2" spans="1:7" ht="14.25" thickBot="1">
      <c r="A2" s="3253"/>
      <c r="B2" s="3253"/>
    </row>
    <row r="3" spans="1:7" ht="14.25" thickBot="1">
      <c r="A3" s="3253"/>
      <c r="B3" s="3253"/>
      <c r="C3" s="3254" t="s">
        <v>2811</v>
      </c>
      <c r="D3" s="3254" t="s">
        <v>2867</v>
      </c>
      <c r="E3" s="3254" t="s">
        <v>2813</v>
      </c>
      <c r="F3" s="3254" t="s">
        <v>2868</v>
      </c>
      <c r="G3" s="3254" t="s">
        <v>2631</v>
      </c>
    </row>
    <row r="4" spans="1:7" ht="14.2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4.2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4.2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4.2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4.2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4.2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4.2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4.2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4.2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4.2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4.2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92" t="s">
        <v>3232</v>
      </c>
      <c r="B1" s="3792"/>
      <c r="C1" s="3792"/>
      <c r="D1" s="3792"/>
      <c r="E1" s="3792"/>
      <c r="F1" s="3793"/>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19">
        <f>基准地价修正!G23</f>
        <v>45793</v>
      </c>
      <c r="B1" s="3208" t="s">
        <v>3378</v>
      </c>
      <c r="C1" s="3209"/>
      <c r="D1" s="3209"/>
      <c r="E1" s="3209"/>
      <c r="F1" s="3209"/>
      <c r="G1" s="3209"/>
      <c r="H1" s="3209"/>
      <c r="I1" s="3209"/>
      <c r="J1" s="3163"/>
      <c r="K1" s="3209" t="s">
        <v>454</v>
      </c>
      <c r="L1" s="3209"/>
      <c r="M1" s="3209"/>
      <c r="N1" s="3209"/>
      <c r="O1" s="3209"/>
      <c r="P1" s="3209"/>
      <c r="Q1" s="3163"/>
      <c r="R1" s="3794" t="s">
        <v>456</v>
      </c>
      <c r="S1" s="3795"/>
      <c r="T1" s="3795"/>
      <c r="U1" s="3795"/>
      <c r="V1" s="3795"/>
      <c r="W1" s="3795"/>
      <c r="X1" s="3163"/>
      <c r="Y1" s="3794" t="s">
        <v>457</v>
      </c>
      <c r="Z1" s="3795"/>
      <c r="AA1" s="3795"/>
      <c r="AB1" s="3795"/>
      <c r="AC1" s="3795"/>
      <c r="AD1" s="3795"/>
    </row>
    <row r="2" spans="1:44"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c r="AF2" t="s">
        <v>3405</v>
      </c>
      <c r="AG2" t="s">
        <v>673</v>
      </c>
      <c r="AH2" t="s">
        <v>21</v>
      </c>
      <c r="AI2" t="s">
        <v>3406</v>
      </c>
      <c r="AJ2" t="s">
        <v>3</v>
      </c>
      <c r="AK2" t="s">
        <v>3407</v>
      </c>
      <c r="AM2" t="s">
        <v>3405</v>
      </c>
      <c r="AN2" t="s">
        <v>673</v>
      </c>
      <c r="AO2" t="s">
        <v>21</v>
      </c>
      <c r="AP2" t="s">
        <v>3406</v>
      </c>
      <c r="AQ2" t="s">
        <v>3</v>
      </c>
      <c r="AR2" t="s">
        <v>3407</v>
      </c>
    </row>
    <row r="3" spans="1:44" s="3159" customFormat="1" ht="12.75">
      <c r="A3" s="3147" t="s">
        <v>2819</v>
      </c>
      <c r="B3" s="3148"/>
      <c r="C3" s="3149"/>
      <c r="D3" s="3149">
        <f>ROUND(AVERAGEIF(D4:D24,"&lt;&gt;0"),2)</f>
        <v>0.39</v>
      </c>
      <c r="E3" s="3149">
        <f t="shared" ref="E3:H3" si="0">ROUND(AVERAGEIF(E4:E24,"&lt;&gt;0"),2)</f>
        <v>0.21</v>
      </c>
      <c r="F3" s="3149">
        <f t="shared" si="0"/>
        <v>-0.06</v>
      </c>
      <c r="G3" s="3149">
        <f t="shared" si="0"/>
        <v>0.46</v>
      </c>
      <c r="H3" s="3149">
        <f t="shared" si="0"/>
        <v>0.51</v>
      </c>
      <c r="I3" s="3149">
        <f>F3</f>
        <v>-0.06</v>
      </c>
      <c r="J3" s="3150"/>
      <c r="K3" s="3151">
        <f>ROUND(AVERAGEIF(K4:K24,"&lt;&gt;0"),4)</f>
        <v>3.8999999999999998E-3</v>
      </c>
      <c r="L3" s="3152">
        <f t="shared" ref="L3:O3" si="1">ROUND(AVERAGEIF(L4:L24,"&lt;&gt;0"),4)</f>
        <v>2.0999999999999999E-3</v>
      </c>
      <c r="M3" s="3152">
        <f t="shared" si="1"/>
        <v>-5.9999999999999995E-4</v>
      </c>
      <c r="N3" s="3152">
        <f t="shared" si="1"/>
        <v>4.5999999999999999E-3</v>
      </c>
      <c r="O3" s="3152">
        <f t="shared" si="1"/>
        <v>5.1000000000000004E-3</v>
      </c>
      <c r="P3" s="3152">
        <f>M3</f>
        <v>-5.9999999999999995E-4</v>
      </c>
      <c r="Q3" s="3150"/>
      <c r="R3" s="3153">
        <f>ROUND(SUMPRODUCT(PRODUCT(1+K4:K24)),4)</f>
        <v>1.0674999999999999</v>
      </c>
      <c r="S3" s="3154">
        <f t="shared" ref="S3:V3" si="2">ROUND(SUMPRODUCT(PRODUCT(1+L4:L24)),4)</f>
        <v>1.0355000000000001</v>
      </c>
      <c r="T3" s="3154">
        <f t="shared" si="2"/>
        <v>0.98880000000000001</v>
      </c>
      <c r="U3" s="3154">
        <f t="shared" si="2"/>
        <v>1.0798000000000001</v>
      </c>
      <c r="V3" s="3154">
        <f t="shared" si="2"/>
        <v>1.0911</v>
      </c>
      <c r="W3" s="3153">
        <f>T3</f>
        <v>0.98880000000000001</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4" t="s">
        <v>3404</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1.0571999999999999</v>
      </c>
      <c r="S5" s="3181">
        <f>ROUND(IF(项目基本情况!$B$8="出让",SUMPRODUCT(PRODUCT(1+L5:$L$24)),SUMPRODUCT(PRODUCT(1+L5:$L$23))),4)</f>
        <v>1.0339</v>
      </c>
      <c r="T5" s="3181">
        <f>ROUND(IF(项目基本情况!$B$8="出让",SUMPRODUCT(PRODUCT(1+M5:$M$24)),SUMPRODUCT(PRODUCT(1+M5:$M$23))),4)</f>
        <v>0.99129999999999996</v>
      </c>
      <c r="U5" s="3181">
        <f>ROUND(IF(项目基本情况!$B$8="出让",SUMPRODUCT(PRODUCT(1+N5:$N$24)),SUMPRODUCT(PRODUCT(1+N5:$N$23))),4)</f>
        <v>1.0679000000000001</v>
      </c>
      <c r="V5" s="3181">
        <f>ROUND(IF(项目基本情况!$B$8="出让",SUMPRODUCT(PRODUCT(1+O5:$O$24)),SUMPRODUCT(PRODUCT(1+O5:$O$23))),4)</f>
        <v>1.0871999999999999</v>
      </c>
      <c r="W5" s="3181">
        <f t="shared" ref="W5:W11" si="11">T5</f>
        <v>0.99129999999999996</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105.72</v>
      </c>
      <c r="AG5" s="3456">
        <f t="shared" ref="AG5:AK5" si="18">$AF$24*S5</f>
        <v>103.39</v>
      </c>
      <c r="AH5" s="3456">
        <f t="shared" si="18"/>
        <v>99.13</v>
      </c>
      <c r="AI5" s="3456">
        <f t="shared" si="18"/>
        <v>106.79</v>
      </c>
      <c r="AJ5" s="3456">
        <f t="shared" si="18"/>
        <v>108.72</v>
      </c>
      <c r="AK5" s="3456">
        <f t="shared" si="18"/>
        <v>99.13</v>
      </c>
      <c r="AM5" s="3462">
        <v>100</v>
      </c>
      <c r="AN5" s="3462">
        <v>100</v>
      </c>
      <c r="AO5" s="3462">
        <v>100</v>
      </c>
      <c r="AP5" s="3462">
        <v>100</v>
      </c>
      <c r="AQ5" s="3462">
        <v>100</v>
      </c>
      <c r="AR5" s="3462">
        <v>100</v>
      </c>
    </row>
    <row r="6" spans="1:44" s="3183" customFormat="1" ht="12.75">
      <c r="A6" s="2204" t="s">
        <v>3403</v>
      </c>
      <c r="B6" s="3175">
        <v>2025</v>
      </c>
      <c r="C6" s="3176">
        <v>3</v>
      </c>
      <c r="D6" s="3177">
        <v>0</v>
      </c>
      <c r="E6" s="3177">
        <v>0</v>
      </c>
      <c r="F6" s="3177">
        <v>0</v>
      </c>
      <c r="G6" s="3177">
        <v>0</v>
      </c>
      <c r="H6" s="3177">
        <v>0</v>
      </c>
      <c r="I6" s="3178">
        <f t="shared" ref="I6" si="19">F6</f>
        <v>0</v>
      </c>
      <c r="J6" s="3179"/>
      <c r="K6" s="3180">
        <f t="shared" ref="K6" si="20">D6/100</f>
        <v>0</v>
      </c>
      <c r="L6" s="3170">
        <f t="shared" ref="L6" si="21">E6/100</f>
        <v>0</v>
      </c>
      <c r="M6" s="3170">
        <f t="shared" ref="M6" si="22">F6/100</f>
        <v>0</v>
      </c>
      <c r="N6" s="3170">
        <f t="shared" ref="N6" si="23">G6/100</f>
        <v>0</v>
      </c>
      <c r="O6" s="3170">
        <f t="shared" ref="O6" si="24">H6/100</f>
        <v>0</v>
      </c>
      <c r="P6" s="3170">
        <f t="shared" si="10"/>
        <v>0</v>
      </c>
      <c r="Q6" s="3179"/>
      <c r="R6" s="3181">
        <f>ROUND(IF(项目基本情况!$B$8="出让",SUMPRODUCT(PRODUCT(1+K6:$K$24)),SUMPRODUCT(PRODUCT(1+K6:$K$23))),4)</f>
        <v>1.0571999999999999</v>
      </c>
      <c r="S6" s="3181">
        <f>ROUND(IF(项目基本情况!$B$8="出让",SUMPRODUCT(PRODUCT(1+L6:$L$24)),SUMPRODUCT(PRODUCT(1+L6:$L$23))),4)</f>
        <v>1.0339</v>
      </c>
      <c r="T6" s="3181">
        <f>ROUND(IF(项目基本情况!$B$8="出让",SUMPRODUCT(PRODUCT(1+M6:$M$24)),SUMPRODUCT(PRODUCT(1+M6:$M$23))),4)</f>
        <v>0.99129999999999996</v>
      </c>
      <c r="U6" s="3181">
        <f>ROUND(IF(项目基本情况!$B$8="出让",SUMPRODUCT(PRODUCT(1+N6:$N$24)),SUMPRODUCT(PRODUCT(1+N6:$N$23))),4)</f>
        <v>1.0679000000000001</v>
      </c>
      <c r="V6" s="3181">
        <f>ROUND(IF(项目基本情况!$B$8="出让",SUMPRODUCT(PRODUCT(1+O6:$O$24)),SUMPRODUCT(PRODUCT(1+O6:$O$23))),4)</f>
        <v>1.0871999999999999</v>
      </c>
      <c r="W6" s="3181">
        <f t="shared" si="11"/>
        <v>0.99129999999999996</v>
      </c>
      <c r="X6" s="3179"/>
      <c r="Y6" s="3182">
        <f t="shared" si="12"/>
        <v>0</v>
      </c>
      <c r="Z6" s="3182">
        <f t="shared" ref="Z6" si="25">IF(E6=0,0,ROUND(AVERAGE(E6:E19)/100,4))</f>
        <v>0</v>
      </c>
      <c r="AA6" s="3182">
        <f t="shared" ref="AA6" si="26">IF(F6=0,0,ROUND(AVERAGE(F6:F19)/100,4))</f>
        <v>0</v>
      </c>
      <c r="AB6" s="3182">
        <f t="shared" ref="AB6" si="27">IF(G6=0,0,ROUND(AVERAGE(G6:G19)/100,4))</f>
        <v>0</v>
      </c>
      <c r="AC6" s="3182">
        <f t="shared" ref="AC6" si="28">IF(H6=0,0,ROUND(AVERAGE(H6:H19)/100,4))</f>
        <v>0</v>
      </c>
      <c r="AD6" s="3182">
        <f t="shared" ref="AD6" si="29">AA6</f>
        <v>0</v>
      </c>
      <c r="AF6" s="3456">
        <f t="shared" ref="AF6:AF23" si="30">$AF$24*R6</f>
        <v>105.72</v>
      </c>
      <c r="AG6" s="3456">
        <f t="shared" ref="AG6:AG23" si="31">$AF$24*S6</f>
        <v>103.39</v>
      </c>
      <c r="AH6" s="3456">
        <f t="shared" ref="AH6:AH23" si="32">$AF$24*T6</f>
        <v>99.13</v>
      </c>
      <c r="AI6" s="3456">
        <f t="shared" ref="AI6:AI23" si="33">$AF$24*U6</f>
        <v>106.79</v>
      </c>
      <c r="AJ6" s="3456">
        <f t="shared" ref="AJ6:AJ23" si="34">$AF$24*V6</f>
        <v>108.72</v>
      </c>
      <c r="AK6" s="3456">
        <f t="shared" ref="AK6:AK23" si="35">$AF$24*W6</f>
        <v>99.13</v>
      </c>
      <c r="AM6" s="3456">
        <f>AM5/(1+D5/100)</f>
        <v>100</v>
      </c>
      <c r="AN6" s="3456">
        <f t="shared" ref="AN6:AR6" si="36">AN5/(1+E5/100)</f>
        <v>100</v>
      </c>
      <c r="AO6" s="3456">
        <f t="shared" si="36"/>
        <v>100</v>
      </c>
      <c r="AP6" s="3456">
        <f t="shared" si="36"/>
        <v>100</v>
      </c>
      <c r="AQ6" s="3456">
        <f t="shared" si="36"/>
        <v>100</v>
      </c>
      <c r="AR6" s="3456">
        <f t="shared" si="36"/>
        <v>100</v>
      </c>
    </row>
    <row r="7" spans="1:44" s="3193" customFormat="1" ht="12.75">
      <c r="A7" s="3184" t="s">
        <v>3402</v>
      </c>
      <c r="B7" s="3185">
        <v>2025</v>
      </c>
      <c r="C7" s="3186">
        <v>2</v>
      </c>
      <c r="D7" s="3187">
        <v>0</v>
      </c>
      <c r="E7" s="3187">
        <v>0</v>
      </c>
      <c r="F7" s="3187">
        <v>0</v>
      </c>
      <c r="G7" s="3187">
        <v>0</v>
      </c>
      <c r="H7" s="3188">
        <v>0</v>
      </c>
      <c r="I7" s="3189">
        <f t="shared" ref="I7" si="37">F7</f>
        <v>0</v>
      </c>
      <c r="J7" s="3190"/>
      <c r="K7" s="3191">
        <f t="shared" ref="K7" si="38">D7/100</f>
        <v>0</v>
      </c>
      <c r="L7" s="3192">
        <f t="shared" ref="L7" si="39">E7/100</f>
        <v>0</v>
      </c>
      <c r="M7" s="3192">
        <f t="shared" ref="M7" si="40">F7/100</f>
        <v>0</v>
      </c>
      <c r="N7" s="3192">
        <f t="shared" ref="N7" si="41">G7/100</f>
        <v>0</v>
      </c>
      <c r="O7" s="3192">
        <f t="shared" ref="O7" si="42">H7/100</f>
        <v>0</v>
      </c>
      <c r="P7" s="3192">
        <f t="shared" si="10"/>
        <v>0</v>
      </c>
      <c r="Q7" s="3190"/>
      <c r="R7" s="3190">
        <f>ROUND(IF(项目基本情况!$B$8="出让",SUMPRODUCT(PRODUCT(1+K7:$K$24)),SUMPRODUCT(PRODUCT(1+K7:$K$23))),4)</f>
        <v>1.0571999999999999</v>
      </c>
      <c r="S7" s="3190">
        <f>ROUND(IF(项目基本情况!$B$8="出让",SUMPRODUCT(PRODUCT(1+L7:$L$24)),SUMPRODUCT(PRODUCT(1+L7:$L$23))),4)</f>
        <v>1.0339</v>
      </c>
      <c r="T7" s="3190">
        <f>ROUND(IF(项目基本情况!$B$8="出让",SUMPRODUCT(PRODUCT(1+M7:$M$24)),SUMPRODUCT(PRODUCT(1+M7:$M$23))),4)</f>
        <v>0.99129999999999996</v>
      </c>
      <c r="U7" s="3190">
        <f>ROUND(IF(项目基本情况!$B$8="出让",SUMPRODUCT(PRODUCT(1+N7:$N$24)),SUMPRODUCT(PRODUCT(1+N7:$N$23))),4)</f>
        <v>1.0679000000000001</v>
      </c>
      <c r="V7" s="3190">
        <f>ROUND(IF(项目基本情况!$B$8="出让",SUMPRODUCT(PRODUCT(1+O7:$O$24)),SUMPRODUCT(PRODUCT(1+O7:$O$23))),4)</f>
        <v>1.0871999999999999</v>
      </c>
      <c r="W7" s="3190">
        <f t="shared" si="11"/>
        <v>0.99129999999999996</v>
      </c>
      <c r="X7" s="3190"/>
      <c r="Y7" s="3192">
        <f t="shared" si="12"/>
        <v>0</v>
      </c>
      <c r="Z7" s="3192">
        <f t="shared" ref="Z7" si="43">IF(E7=0,0,ROUND(AVERAGE(E7:E20)/100,4))</f>
        <v>0</v>
      </c>
      <c r="AA7" s="3192">
        <f t="shared" ref="AA7" si="44">IF(F7=0,0,ROUND(AVERAGE(F7:F20)/100,4))</f>
        <v>0</v>
      </c>
      <c r="AB7" s="3192">
        <f t="shared" ref="AB7" si="45">IF(G7=0,0,ROUND(AVERAGE(G7:G20)/100,4))</f>
        <v>0</v>
      </c>
      <c r="AC7" s="3192">
        <f t="shared" ref="AC7" si="46">IF(H7=0,0,ROUND(AVERAGE(H7:H20)/100,4))</f>
        <v>0</v>
      </c>
      <c r="AD7" s="3192">
        <f t="shared" ref="AD7" si="47">AA7</f>
        <v>0</v>
      </c>
      <c r="AF7" s="3457">
        <f t="shared" si="30"/>
        <v>105.72</v>
      </c>
      <c r="AG7" s="3457">
        <f t="shared" si="31"/>
        <v>103.39</v>
      </c>
      <c r="AH7" s="3457">
        <f t="shared" si="32"/>
        <v>99.13</v>
      </c>
      <c r="AI7" s="3457">
        <f t="shared" si="33"/>
        <v>106.79</v>
      </c>
      <c r="AJ7" s="3457">
        <f t="shared" si="34"/>
        <v>108.72</v>
      </c>
      <c r="AK7" s="3457">
        <f t="shared" si="35"/>
        <v>99.13</v>
      </c>
      <c r="AM7" s="3457">
        <f t="shared" ref="AM7:AM24" si="48">AM6/(1+D6/100)</f>
        <v>100</v>
      </c>
      <c r="AN7" s="3457">
        <f t="shared" ref="AN7:AN24" si="49">AN6/(1+E6/100)</f>
        <v>100</v>
      </c>
      <c r="AO7" s="3457">
        <f t="shared" ref="AO7:AO24" si="50">AO6/(1+F6/100)</f>
        <v>100</v>
      </c>
      <c r="AP7" s="3457">
        <f t="shared" ref="AP7:AP24" si="51">AP6/(1+G6/100)</f>
        <v>100</v>
      </c>
      <c r="AQ7" s="3457">
        <f t="shared" ref="AQ7:AQ24" si="52">AQ6/(1+H6/100)</f>
        <v>100</v>
      </c>
      <c r="AR7" s="3457">
        <f t="shared" ref="AR7:AR24" si="53">AR6/(1+I6/100)</f>
        <v>100</v>
      </c>
    </row>
    <row r="8" spans="1:44" s="3183" customFormat="1" ht="12.75">
      <c r="A8" s="2204" t="s">
        <v>3410</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v>
      </c>
      <c r="AN8" s="3456">
        <f t="shared" si="49"/>
        <v>100</v>
      </c>
      <c r="AO8" s="3456">
        <f t="shared" si="50"/>
        <v>100</v>
      </c>
      <c r="AP8" s="3456">
        <f t="shared" si="51"/>
        <v>100</v>
      </c>
      <c r="AQ8" s="3456">
        <f t="shared" si="52"/>
        <v>100</v>
      </c>
      <c r="AR8" s="3456">
        <f t="shared" si="53"/>
        <v>100</v>
      </c>
    </row>
    <row r="9" spans="1:44" s="3183" customFormat="1" ht="12.75">
      <c r="A9" s="2204" t="s">
        <v>3409</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99.433230585661718</v>
      </c>
      <c r="AN9" s="3456">
        <f t="shared" si="49"/>
        <v>100.57326762546515</v>
      </c>
      <c r="AO9" s="3456">
        <f t="shared" si="50"/>
        <v>100.90817356205852</v>
      </c>
      <c r="AP9" s="3456">
        <f t="shared" si="51"/>
        <v>98.892405063291136</v>
      </c>
      <c r="AQ9" s="3456">
        <f t="shared" si="52"/>
        <v>99.581756622186816</v>
      </c>
      <c r="AR9" s="3456">
        <f t="shared" si="53"/>
        <v>100.90817356205852</v>
      </c>
    </row>
    <row r="10" spans="1:44" s="3183" customFormat="1" ht="12.75">
      <c r="A10" s="2204" t="s">
        <v>3382</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100.45790117767399</v>
      </c>
      <c r="AN10" s="3456">
        <f t="shared" si="49"/>
        <v>101.05834769439826</v>
      </c>
      <c r="AO10" s="3456">
        <f t="shared" si="50"/>
        <v>101.670703840865</v>
      </c>
      <c r="AP10" s="3456">
        <f t="shared" si="51"/>
        <v>99.941793899233076</v>
      </c>
      <c r="AQ10" s="3456">
        <f t="shared" si="52"/>
        <v>99.502154898268216</v>
      </c>
      <c r="AR10" s="3456">
        <f t="shared" si="53"/>
        <v>101.670703840865</v>
      </c>
    </row>
    <row r="11" spans="1:44" s="3183" customFormat="1" ht="12.75">
      <c r="A11" s="3174" t="s">
        <v>3376</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101.66774737139357</v>
      </c>
      <c r="AN11" s="3456">
        <f t="shared" si="49"/>
        <v>101.53556484918946</v>
      </c>
      <c r="AO11" s="3456">
        <f t="shared" si="50"/>
        <v>101.9664064194815</v>
      </c>
      <c r="AP11" s="3456">
        <f t="shared" si="51"/>
        <v>100.68687678746028</v>
      </c>
      <c r="AQ11" s="3456">
        <f t="shared" si="52"/>
        <v>99.711549151486338</v>
      </c>
      <c r="AR11" s="3456">
        <f t="shared" si="53"/>
        <v>101.9664064194815</v>
      </c>
    </row>
    <row r="12" spans="1:44" s="3183" customFormat="1" ht="12.75">
      <c r="A12" s="3174" t="s">
        <v>3375</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102.27114713951673</v>
      </c>
      <c r="AN12" s="3456">
        <f t="shared" si="49"/>
        <v>101.74923824951344</v>
      </c>
      <c r="AO12" s="3456">
        <f t="shared" si="50"/>
        <v>103.3932330353696</v>
      </c>
      <c r="AP12" s="3456">
        <f t="shared" si="51"/>
        <v>101.95107005615662</v>
      </c>
      <c r="AQ12" s="3456">
        <f t="shared" si="52"/>
        <v>99.373678644096401</v>
      </c>
      <c r="AR12" s="3456">
        <f t="shared" si="53"/>
        <v>103.3932330353696</v>
      </c>
    </row>
    <row r="13" spans="1:44" s="3183" customFormat="1" ht="12.75">
      <c r="A13" s="3174" t="s">
        <v>3371</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102.18939562301833</v>
      </c>
      <c r="AN13" s="3456">
        <f t="shared" si="49"/>
        <v>101.28333490893236</v>
      </c>
      <c r="AO13" s="3456">
        <f t="shared" si="50"/>
        <v>103.55892731908014</v>
      </c>
      <c r="AP13" s="3456">
        <f t="shared" si="51"/>
        <v>101.68668467599903</v>
      </c>
      <c r="AQ13" s="3456">
        <f t="shared" si="52"/>
        <v>98.79081284829148</v>
      </c>
      <c r="AR13" s="3456">
        <f t="shared" si="53"/>
        <v>103.55892731908014</v>
      </c>
    </row>
    <row r="14" spans="1:44" s="3183" customFormat="1" ht="12.75">
      <c r="A14" s="3174" t="s">
        <v>3370</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101.99560397546495</v>
      </c>
      <c r="AN14" s="3456">
        <f t="shared" si="49"/>
        <v>101.04083690037147</v>
      </c>
      <c r="AO14" s="3456">
        <f t="shared" si="50"/>
        <v>103.72488713850174</v>
      </c>
      <c r="AP14" s="3456">
        <f t="shared" si="51"/>
        <v>101.51411068782971</v>
      </c>
      <c r="AQ14" s="3456">
        <f t="shared" si="52"/>
        <v>98.191842608380355</v>
      </c>
      <c r="AR14" s="3456">
        <f t="shared" si="53"/>
        <v>103.72488713850174</v>
      </c>
    </row>
    <row r="15" spans="1:44" s="3183" customFormat="1" ht="12.75">
      <c r="A15" s="3174" t="s">
        <v>3368</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101.74125084834409</v>
      </c>
      <c r="AN15" s="3456">
        <f t="shared" si="49"/>
        <v>100.53814616952387</v>
      </c>
      <c r="AO15" s="3456">
        <f t="shared" si="50"/>
        <v>103.40433370401927</v>
      </c>
      <c r="AP15" s="3456">
        <f t="shared" si="51"/>
        <v>101.30137779446135</v>
      </c>
      <c r="AQ15" s="3456">
        <f t="shared" si="52"/>
        <v>97.771425478821428</v>
      </c>
      <c r="AR15" s="3456">
        <f t="shared" si="53"/>
        <v>103.40433370401927</v>
      </c>
    </row>
    <row r="16" spans="1:44" s="3183" customFormat="1" ht="12.75">
      <c r="A16" s="3174" t="s">
        <v>3367</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100.82375468074926</v>
      </c>
      <c r="AN16" s="3456">
        <f t="shared" si="49"/>
        <v>99.878945131654959</v>
      </c>
      <c r="AO16" s="3456">
        <f t="shared" si="50"/>
        <v>102.92060685181573</v>
      </c>
      <c r="AP16" s="3456">
        <f t="shared" si="51"/>
        <v>100.33813172985474</v>
      </c>
      <c r="AQ16" s="3456">
        <f t="shared" si="52"/>
        <v>97.082142268713554</v>
      </c>
      <c r="AR16" s="3456">
        <f t="shared" si="53"/>
        <v>102.92060685181573</v>
      </c>
    </row>
    <row r="17" spans="1:44" s="3183" customFormat="1" ht="12.75">
      <c r="A17" s="3174" t="s">
        <v>3366</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99.934339063087791</v>
      </c>
      <c r="AN17" s="3456">
        <f t="shared" si="49"/>
        <v>99.145270132673176</v>
      </c>
      <c r="AO17" s="3456">
        <f t="shared" si="50"/>
        <v>102.3372843311283</v>
      </c>
      <c r="AP17" s="3456">
        <f t="shared" si="51"/>
        <v>99.423436117573061</v>
      </c>
      <c r="AQ17" s="3456">
        <f t="shared" si="52"/>
        <v>96.599146536033402</v>
      </c>
      <c r="AR17" s="3456">
        <f t="shared" si="53"/>
        <v>102.3372843311283</v>
      </c>
    </row>
    <row r="18" spans="1:44" s="3183" customFormat="1" ht="12.75">
      <c r="A18" s="3174" t="s">
        <v>3364</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99.318563966495518</v>
      </c>
      <c r="AN18" s="3456">
        <f t="shared" si="49"/>
        <v>98.947375381909353</v>
      </c>
      <c r="AO18" s="3456">
        <f t="shared" si="50"/>
        <v>102.22483701041683</v>
      </c>
      <c r="AP18" s="3456">
        <f t="shared" si="51"/>
        <v>98.742115520481747</v>
      </c>
      <c r="AQ18" s="3456">
        <f t="shared" si="52"/>
        <v>96.089870223847001</v>
      </c>
      <c r="AR18" s="3456">
        <f t="shared" si="53"/>
        <v>102.22483701041683</v>
      </c>
    </row>
    <row r="19" spans="1:44" s="3183" customFormat="1" ht="12.75">
      <c r="A19" s="3174" t="s">
        <v>3355</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98.667359394491882</v>
      </c>
      <c r="AN19" s="3456">
        <f t="shared" si="49"/>
        <v>98.631753769845844</v>
      </c>
      <c r="AO19" s="3456">
        <f t="shared" si="50"/>
        <v>101.99025941376517</v>
      </c>
      <c r="AP19" s="3456">
        <f t="shared" si="51"/>
        <v>98.036254488166932</v>
      </c>
      <c r="AQ19" s="3456">
        <f t="shared" si="52"/>
        <v>95.488293971824504</v>
      </c>
      <c r="AR19" s="3456">
        <f t="shared" si="53"/>
        <v>101.99025941376517</v>
      </c>
    </row>
    <row r="20" spans="1:44" s="3183" customFormat="1" ht="12.75">
      <c r="A20" s="3174" t="s">
        <v>2820</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97.758208059538163</v>
      </c>
      <c r="AN20" s="3456">
        <f t="shared" si="49"/>
        <v>98.484027728253452</v>
      </c>
      <c r="AO20" s="3456">
        <f t="shared" si="50"/>
        <v>101.98006140762442</v>
      </c>
      <c r="AP20" s="3456">
        <f t="shared" si="51"/>
        <v>97.017570003134026</v>
      </c>
      <c r="AQ20" s="3456">
        <f t="shared" si="52"/>
        <v>94.468039149015155</v>
      </c>
      <c r="AR20" s="3456">
        <f t="shared" si="53"/>
        <v>101.98006140762442</v>
      </c>
    </row>
    <row r="21" spans="1:44" s="3183" customFormat="1" ht="12.75">
      <c r="A21" s="3174" t="s">
        <v>2821</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96.895835126908679</v>
      </c>
      <c r="AN21" s="3456">
        <f t="shared" si="49"/>
        <v>98.0525963045136</v>
      </c>
      <c r="AO21" s="3456">
        <f t="shared" si="50"/>
        <v>101.60412614090308</v>
      </c>
      <c r="AP21" s="3456">
        <f t="shared" si="51"/>
        <v>96.095057451598677</v>
      </c>
      <c r="AQ21" s="3456">
        <f t="shared" si="52"/>
        <v>93.867288502598527</v>
      </c>
      <c r="AR21" s="3456">
        <f t="shared" si="53"/>
        <v>101.60412614090308</v>
      </c>
    </row>
    <row r="22" spans="1:44" s="3183" customFormat="1" ht="12.75">
      <c r="A22" s="3174" t="s">
        <v>2822</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95.907982903007706</v>
      </c>
      <c r="AN22" s="3456">
        <f t="shared" si="49"/>
        <v>97.81783350410376</v>
      </c>
      <c r="AO22" s="3456">
        <f t="shared" si="50"/>
        <v>101.53305300380042</v>
      </c>
      <c r="AP22" s="3456">
        <f t="shared" si="51"/>
        <v>94.983747604624568</v>
      </c>
      <c r="AQ22" s="3456">
        <f t="shared" si="52"/>
        <v>93.353842369565911</v>
      </c>
      <c r="AR22" s="3456">
        <f t="shared" si="53"/>
        <v>101.53305300380042</v>
      </c>
    </row>
    <row r="23" spans="1:44" s="3183" customFormat="1" ht="12.75">
      <c r="A23" s="3174" t="s">
        <v>2823</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95.459324079832498</v>
      </c>
      <c r="AN23" s="3456">
        <f t="shared" si="49"/>
        <v>97.418417990343357</v>
      </c>
      <c r="AO23" s="3456">
        <f t="shared" si="50"/>
        <v>101.28995710674424</v>
      </c>
      <c r="AP23" s="3456">
        <f t="shared" si="51"/>
        <v>94.530003587405034</v>
      </c>
      <c r="AQ23" s="3456">
        <f t="shared" si="52"/>
        <v>92.907884523851436</v>
      </c>
      <c r="AR23" s="3456">
        <f t="shared" si="53"/>
        <v>101.28995710674424</v>
      </c>
    </row>
    <row r="24" spans="1:44" s="3205" customFormat="1" ht="14.25" thickBot="1">
      <c r="A24" s="3195" t="s">
        <v>2824</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94.589104320087685</v>
      </c>
      <c r="AN24" s="3463">
        <f t="shared" si="49"/>
        <v>96.722019450301175</v>
      </c>
      <c r="AO24" s="3463">
        <f t="shared" si="50"/>
        <v>100.87636401428567</v>
      </c>
      <c r="AP24" s="3463">
        <f t="shared" si="51"/>
        <v>93.640419601193685</v>
      </c>
      <c r="AQ24" s="3463">
        <f t="shared" si="52"/>
        <v>91.978897657510586</v>
      </c>
      <c r="AR24" s="3463">
        <f t="shared" si="53"/>
        <v>100.87636401428567</v>
      </c>
    </row>
    <row r="25" spans="1:44" s="3007" customFormat="1" ht="14.25" thickTop="1"/>
    <row r="26" spans="1:44" s="3007" customFormat="1">
      <c r="A26" s="3446" t="s">
        <v>3381</v>
      </c>
    </row>
    <row r="27" spans="1:44" s="3007" customFormat="1">
      <c r="I27" s="3206" t="s">
        <v>2825</v>
      </c>
    </row>
    <row r="28" spans="1:44" s="3007" customFormat="1"/>
    <row r="29" spans="1:44" s="3207" customFormat="1" ht="12.75">
      <c r="B29" s="3208" t="s">
        <v>3379</v>
      </c>
      <c r="C29" s="3209"/>
      <c r="D29" s="3209"/>
      <c r="E29" s="3209"/>
      <c r="F29" s="3209"/>
      <c r="G29" s="3209"/>
      <c r="H29" s="3209"/>
      <c r="I29" s="3209"/>
      <c r="J29" s="3163"/>
      <c r="K29" s="3209" t="s">
        <v>2826</v>
      </c>
      <c r="L29" s="3209"/>
      <c r="M29" s="3209"/>
      <c r="N29" s="3209"/>
      <c r="O29" s="3209"/>
      <c r="P29" s="3209"/>
      <c r="Q29" s="3163"/>
      <c r="R29" s="3794" t="s">
        <v>2827</v>
      </c>
      <c r="S29" s="3795"/>
      <c r="T29" s="3795"/>
      <c r="U29" s="3795"/>
      <c r="V29" s="3795"/>
      <c r="W29" s="3795"/>
      <c r="X29" s="3163"/>
      <c r="Y29" s="3794" t="s">
        <v>2828</v>
      </c>
      <c r="Z29" s="3795"/>
      <c r="AA29" s="3795"/>
      <c r="AB29" s="3795"/>
      <c r="AC29" s="3795"/>
      <c r="AD29" s="3795"/>
    </row>
    <row r="30" spans="1:44" s="3141" customFormat="1" ht="14.25" thickBot="1">
      <c r="B30" s="3142"/>
      <c r="C30" s="3143"/>
      <c r="D30" s="3144" t="s">
        <v>2829</v>
      </c>
      <c r="E30" s="3145" t="s">
        <v>2830</v>
      </c>
      <c r="F30" s="3145" t="s">
        <v>2831</v>
      </c>
      <c r="G30" s="3145" t="s">
        <v>2832</v>
      </c>
      <c r="H30" s="3145"/>
      <c r="I30" s="3145" t="s">
        <v>2833</v>
      </c>
      <c r="J30" s="3146"/>
      <c r="K30" s="3144" t="s">
        <v>2829</v>
      </c>
      <c r="L30" s="3145" t="s">
        <v>2830</v>
      </c>
      <c r="M30" s="3145" t="s">
        <v>2831</v>
      </c>
      <c r="N30" s="3145" t="s">
        <v>2832</v>
      </c>
      <c r="O30" s="3145"/>
      <c r="P30" s="3145" t="s">
        <v>2833</v>
      </c>
      <c r="Q30" s="3146"/>
      <c r="R30" s="3144" t="s">
        <v>2829</v>
      </c>
      <c r="S30" s="3145" t="s">
        <v>2830</v>
      </c>
      <c r="T30" s="3145" t="s">
        <v>2831</v>
      </c>
      <c r="U30" s="3145" t="s">
        <v>2832</v>
      </c>
      <c r="V30" s="3145"/>
      <c r="W30" s="3145" t="s">
        <v>2833</v>
      </c>
      <c r="X30" s="3146"/>
      <c r="Y30" s="3144" t="s">
        <v>2829</v>
      </c>
      <c r="Z30" s="3145" t="s">
        <v>2830</v>
      </c>
      <c r="AA30" s="3145" t="s">
        <v>2831</v>
      </c>
      <c r="AB30" s="3145" t="s">
        <v>2832</v>
      </c>
      <c r="AC30" s="3145"/>
      <c r="AD30" s="3145" t="s">
        <v>2833</v>
      </c>
      <c r="AG30" t="s">
        <v>673</v>
      </c>
      <c r="AH30" t="s">
        <v>21</v>
      </c>
      <c r="AI30" t="s">
        <v>3406</v>
      </c>
      <c r="AJ30"/>
      <c r="AK30" t="s">
        <v>3407</v>
      </c>
      <c r="AN30" t="s">
        <v>673</v>
      </c>
      <c r="AO30" t="s">
        <v>21</v>
      </c>
      <c r="AP30" t="s">
        <v>3406</v>
      </c>
      <c r="AQ30"/>
      <c r="AR30" t="s">
        <v>3407</v>
      </c>
    </row>
    <row r="31" spans="1:44" s="3159" customFormat="1" ht="12.75">
      <c r="A31" s="3147" t="s">
        <v>2834</v>
      </c>
      <c r="B31" s="3148"/>
      <c r="C31" s="3149"/>
      <c r="D31" s="3149"/>
      <c r="E31" s="3149">
        <f t="shared" ref="E31:G31" si="115">ROUND(AVERAGEIF(E32:E52,"&lt;&gt;0"),2)</f>
        <v>0.11</v>
      </c>
      <c r="F31" s="3149">
        <f t="shared" si="115"/>
        <v>7.0000000000000007E-2</v>
      </c>
      <c r="G31" s="3149">
        <f t="shared" si="115"/>
        <v>0.26</v>
      </c>
      <c r="H31" s="3149"/>
      <c r="I31" s="3149">
        <f>F31</f>
        <v>7.0000000000000007E-2</v>
      </c>
      <c r="J31" s="3150"/>
      <c r="K31" s="3151"/>
      <c r="L31" s="3152">
        <f t="shared" ref="L31:N31" si="116">ROUND(AVERAGEIF(L32:L52,"&lt;&gt;0"),4)</f>
        <v>1.1000000000000001E-3</v>
      </c>
      <c r="M31" s="3152">
        <f t="shared" si="116"/>
        <v>6.9999999999999999E-4</v>
      </c>
      <c r="N31" s="3152">
        <f t="shared" si="116"/>
        <v>2.5999999999999999E-3</v>
      </c>
      <c r="O31" s="3152"/>
      <c r="P31" s="3152">
        <f>M31</f>
        <v>6.9999999999999999E-4</v>
      </c>
      <c r="Q31" s="3150"/>
      <c r="R31" s="3153"/>
      <c r="S31" s="3154">
        <f>ROUND(SUMPRODUCT(PRODUCT(1+L32:L52)),4)</f>
        <v>1.0185</v>
      </c>
      <c r="T31" s="3154">
        <f t="shared" ref="T31:U31" si="117">ROUND(SUMPRODUCT(PRODUCT(1+M32:M52)),4)</f>
        <v>1.012</v>
      </c>
      <c r="U31" s="3154">
        <f t="shared" si="117"/>
        <v>1.0436000000000001</v>
      </c>
      <c r="V31" s="3154"/>
      <c r="W31" s="3153">
        <f>T31</f>
        <v>1.012</v>
      </c>
      <c r="X31" s="3150"/>
      <c r="Y31" s="3155"/>
      <c r="Z31" s="3156">
        <f t="shared" ref="Z31:AB31" si="118">ROUND(AVERAGEIF(Z32:Z52,"&lt;&gt;0"),4)</f>
        <v>3.5999999999999999E-3</v>
      </c>
      <c r="AA31" s="3157">
        <f t="shared" si="118"/>
        <v>3.0000000000000001E-3</v>
      </c>
      <c r="AB31" s="3155">
        <f t="shared" si="118"/>
        <v>7.0000000000000001E-3</v>
      </c>
      <c r="AC31" s="3158"/>
      <c r="AD31" s="3155">
        <f>AA31</f>
        <v>3.0000000000000001E-3</v>
      </c>
    </row>
    <row r="32" spans="1:44" s="3160" customFormat="1" ht="12.75">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4" t="s">
        <v>3404</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1.0148999999999999</v>
      </c>
      <c r="T33" s="3181">
        <f>ROUND(IF(项目基本情况!$B$8="出让",SUMPRODUCT(PRODUCT(1+M33:M$52)),SUMPRODUCT(PRODUCT(1+M33:M$51))),4)</f>
        <v>1.0072000000000001</v>
      </c>
      <c r="U33" s="3181">
        <f>ROUND(IF(项目基本情况!$B$8="出让",SUMPRODUCT(PRODUCT(1+N33:N$52)),SUMPRODUCT(PRODUCT(1+N33:N$51))),4)</f>
        <v>1.0335000000000001</v>
      </c>
      <c r="V33" s="3181"/>
      <c r="W33" s="3181">
        <f t="shared" ref="W33:W39" si="124">T33</f>
        <v>1.0072000000000001</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101.49</v>
      </c>
      <c r="AH33" s="3456">
        <f t="shared" ref="AH33:AH50" si="130">$AG$52*T33</f>
        <v>100.72000000000001</v>
      </c>
      <c r="AI33" s="3456">
        <f t="shared" ref="AI33:AI50" si="131">$AG$52*U33</f>
        <v>103.35000000000001</v>
      </c>
      <c r="AJ33" s="3458"/>
      <c r="AK33" s="3456">
        <f t="shared" ref="AK33:AK50" si="132">$AG$52*W33</f>
        <v>100.72000000000001</v>
      </c>
      <c r="AN33" s="3461">
        <v>100</v>
      </c>
      <c r="AO33" s="3461">
        <v>100</v>
      </c>
      <c r="AP33" s="3461">
        <v>100</v>
      </c>
      <c r="AQ33" s="3461"/>
      <c r="AR33" s="3461">
        <v>100</v>
      </c>
    </row>
    <row r="34" spans="1:44" s="3183" customFormat="1" ht="12.75">
      <c r="A34" s="2204" t="s">
        <v>3403</v>
      </c>
      <c r="B34" s="3175">
        <v>2025</v>
      </c>
      <c r="C34" s="3176">
        <v>3</v>
      </c>
      <c r="D34" s="3177"/>
      <c r="E34" s="3177">
        <v>0</v>
      </c>
      <c r="F34" s="3177">
        <v>0</v>
      </c>
      <c r="G34" s="3177">
        <v>0</v>
      </c>
      <c r="H34" s="3177"/>
      <c r="I34" s="3178">
        <f t="shared" ref="I34" si="133">F34</f>
        <v>0</v>
      </c>
      <c r="J34" s="3179"/>
      <c r="K34" s="3180"/>
      <c r="L34" s="3170">
        <f t="shared" ref="L34" si="134">E34/100</f>
        <v>0</v>
      </c>
      <c r="M34" s="3170">
        <f t="shared" ref="M34" si="135">F34/100</f>
        <v>0</v>
      </c>
      <c r="N34" s="3170">
        <f t="shared" ref="N34" si="136">G34/100</f>
        <v>0</v>
      </c>
      <c r="O34" s="3170"/>
      <c r="P34" s="3170">
        <f t="shared" si="123"/>
        <v>0</v>
      </c>
      <c r="Q34" s="3179"/>
      <c r="R34" s="3181"/>
      <c r="S34" s="3181">
        <f>ROUND(IF(项目基本情况!$B$8="出让",SUMPRODUCT(PRODUCT(1+L34:L$52)),SUMPRODUCT(PRODUCT(1+L34:L$51))),4)</f>
        <v>1.0148999999999999</v>
      </c>
      <c r="T34" s="3181">
        <f>ROUND(IF(项目基本情况!$B$8="出让",SUMPRODUCT(PRODUCT(1+M34:M$52)),SUMPRODUCT(PRODUCT(1+M34:M$51))),4)</f>
        <v>1.0072000000000001</v>
      </c>
      <c r="U34" s="3181">
        <f>ROUND(IF(项目基本情况!$B$8="出让",SUMPRODUCT(PRODUCT(1+N34:N$52)),SUMPRODUCT(PRODUCT(1+N34:N$51))),4)</f>
        <v>1.0335000000000001</v>
      </c>
      <c r="V34" s="3181"/>
      <c r="W34" s="3181">
        <f t="shared" si="124"/>
        <v>1.0072000000000001</v>
      </c>
      <c r="X34" s="3179"/>
      <c r="Y34" s="3182"/>
      <c r="Z34" s="3210">
        <f t="shared" ref="Z34" si="137">IF(E34=0,0,ROUND(AVERAGE(E34:E47)/100,4))</f>
        <v>0</v>
      </c>
      <c r="AA34" s="3210">
        <f t="shared" ref="AA34" si="138">IF(F34=0,0,ROUND(AVERAGE(F34:F47)/100,4))</f>
        <v>0</v>
      </c>
      <c r="AB34" s="3210">
        <f t="shared" ref="AB34" si="139">IF(G34=0,0,ROUND(AVERAGE(G34:G47)/100,4))</f>
        <v>0</v>
      </c>
      <c r="AC34" s="3211"/>
      <c r="AD34" s="3182">
        <f t="shared" si="128"/>
        <v>0</v>
      </c>
      <c r="AG34" s="3456">
        <f t="shared" si="129"/>
        <v>101.49</v>
      </c>
      <c r="AH34" s="3456">
        <f t="shared" si="130"/>
        <v>100.72000000000001</v>
      </c>
      <c r="AI34" s="3456">
        <f t="shared" si="131"/>
        <v>103.35000000000001</v>
      </c>
      <c r="AJ34" s="3458"/>
      <c r="AK34" s="3456">
        <f t="shared" si="132"/>
        <v>100.72000000000001</v>
      </c>
      <c r="AN34" s="3456">
        <f>AN33/(1+E33/100)</f>
        <v>100</v>
      </c>
      <c r="AO34" s="3456">
        <f t="shared" ref="AO34:AR34" si="140">AO33/(1+F33/100)</f>
        <v>100</v>
      </c>
      <c r="AP34" s="3456">
        <f t="shared" si="140"/>
        <v>100</v>
      </c>
      <c r="AQ34" s="3456"/>
      <c r="AR34" s="3456">
        <f t="shared" si="140"/>
        <v>100</v>
      </c>
    </row>
    <row r="35" spans="1:44" s="3193" customFormat="1" ht="12.75">
      <c r="A35" s="3184" t="s">
        <v>3411</v>
      </c>
      <c r="B35" s="3185">
        <v>2025</v>
      </c>
      <c r="C35" s="3186">
        <v>2</v>
      </c>
      <c r="D35" s="3187"/>
      <c r="E35" s="3187">
        <v>0</v>
      </c>
      <c r="F35" s="3187">
        <v>0</v>
      </c>
      <c r="G35" s="3187">
        <v>0</v>
      </c>
      <c r="H35" s="3188"/>
      <c r="I35" s="3189">
        <f t="shared" ref="I35" si="141">F35</f>
        <v>0</v>
      </c>
      <c r="J35" s="3190"/>
      <c r="K35" s="3191"/>
      <c r="L35" s="3192">
        <f t="shared" ref="L35" si="142">E35/100</f>
        <v>0</v>
      </c>
      <c r="M35" s="3192">
        <f t="shared" ref="M35" si="143">F35/100</f>
        <v>0</v>
      </c>
      <c r="N35" s="3192">
        <f t="shared" ref="N35" si="144">G35/100</f>
        <v>0</v>
      </c>
      <c r="O35" s="3192"/>
      <c r="P35" s="3192">
        <f t="shared" si="123"/>
        <v>0</v>
      </c>
      <c r="Q35" s="3190"/>
      <c r="R35" s="3190"/>
      <c r="S35" s="3190">
        <f>ROUND(IF(项目基本情况!$B$8="出让",SUMPRODUCT(PRODUCT(1+L35:L$52)),SUMPRODUCT(PRODUCT(1+L35:L$51))),4)</f>
        <v>1.0148999999999999</v>
      </c>
      <c r="T35" s="3190">
        <f>ROUND(IF(项目基本情况!$B$8="出让",SUMPRODUCT(PRODUCT(1+M35:M$52)),SUMPRODUCT(PRODUCT(1+M35:M$51))),4)</f>
        <v>1.0072000000000001</v>
      </c>
      <c r="U35" s="3190">
        <f>ROUND(IF(项目基本情况!$B$8="出让",SUMPRODUCT(PRODUCT(1+N35:N$52)),SUMPRODUCT(PRODUCT(1+N35:N$51))),4)</f>
        <v>1.0335000000000001</v>
      </c>
      <c r="V35" s="3190"/>
      <c r="W35" s="3190">
        <f t="shared" si="124"/>
        <v>1.0072000000000001</v>
      </c>
      <c r="X35" s="3190"/>
      <c r="Y35" s="3192"/>
      <c r="Z35" s="3213">
        <f t="shared" ref="Z35" si="145">IF(E35=0,0,ROUND(AVERAGE(E35:E48)/100,4))</f>
        <v>0</v>
      </c>
      <c r="AA35" s="3214">
        <f t="shared" ref="AA35" si="146">IF(F35=0,0,ROUND(AVERAGE(F35:F48)/100,4))</f>
        <v>0</v>
      </c>
      <c r="AB35" s="3192">
        <f t="shared" ref="AB35" si="147">IF(G35=0,0,ROUND(AVERAGE(G35:G48)/100,4))</f>
        <v>0</v>
      </c>
      <c r="AC35" s="3215"/>
      <c r="AD35" s="3192">
        <f t="shared" si="128"/>
        <v>0</v>
      </c>
      <c r="AG35" s="3457">
        <f t="shared" si="129"/>
        <v>101.49</v>
      </c>
      <c r="AH35" s="3457">
        <f t="shared" si="130"/>
        <v>100.72000000000001</v>
      </c>
      <c r="AI35" s="3457">
        <f t="shared" si="131"/>
        <v>103.35000000000001</v>
      </c>
      <c r="AJ35" s="3459"/>
      <c r="AK35" s="3457">
        <f t="shared" si="132"/>
        <v>100.72000000000001</v>
      </c>
      <c r="AN35" s="3457">
        <f t="shared" ref="AN35:AN52" si="148">AN34/(1+E34/100)</f>
        <v>100</v>
      </c>
      <c r="AO35" s="3457">
        <f t="shared" ref="AO35" si="149">AO34/(1+F34/100)</f>
        <v>100</v>
      </c>
      <c r="AP35" s="3457">
        <f t="shared" ref="AP35" si="150">AP34/(1+G34/100)</f>
        <v>100</v>
      </c>
      <c r="AQ35" s="3457"/>
      <c r="AR35" s="3457">
        <f t="shared" ref="AR35" si="151">AR34/(1+I34/100)</f>
        <v>100</v>
      </c>
    </row>
    <row r="36" spans="1:44" s="3183" customFormat="1" ht="12.75">
      <c r="A36" s="2204" t="s">
        <v>3408</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100</v>
      </c>
      <c r="AO36" s="3456">
        <f t="shared" ref="AO36:AO52" si="159">AO35/(1+F35/100)</f>
        <v>100</v>
      </c>
      <c r="AP36" s="3456">
        <f t="shared" ref="AP36:AP52" si="160">AP35/(1+G35/100)</f>
        <v>100</v>
      </c>
      <c r="AQ36" s="3456"/>
      <c r="AR36" s="3456">
        <f t="shared" ref="AR36:AR52" si="161">AR35/(1+I35/100)</f>
        <v>100</v>
      </c>
    </row>
    <row r="37" spans="1:44" s="3183" customFormat="1" ht="12.75">
      <c r="A37" s="2204" t="s">
        <v>3409</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101.49193139145439</v>
      </c>
      <c r="AO37" s="3456">
        <f t="shared" si="159"/>
        <v>100.98969905069683</v>
      </c>
      <c r="AP37" s="3456">
        <f t="shared" si="160"/>
        <v>100.51261433309881</v>
      </c>
      <c r="AQ37" s="3456"/>
      <c r="AR37" s="3456">
        <f t="shared" si="161"/>
        <v>100.98969905069683</v>
      </c>
    </row>
    <row r="38" spans="1:44" s="3183" customFormat="1" ht="12.75">
      <c r="A38" s="2204" t="s">
        <v>3373</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102.11483186583598</v>
      </c>
      <c r="AO38" s="3456">
        <f t="shared" si="159"/>
        <v>101.71185320847701</v>
      </c>
      <c r="AP38" s="3456">
        <f t="shared" si="160"/>
        <v>101.4049781407373</v>
      </c>
      <c r="AQ38" s="3456"/>
      <c r="AR38" s="3456">
        <f t="shared" si="161"/>
        <v>101.71185320847701</v>
      </c>
    </row>
    <row r="39" spans="1:44" s="3183" customFormat="1" ht="12.75">
      <c r="A39" s="3174" t="s">
        <v>3377</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102.79326743087979</v>
      </c>
      <c r="AO39" s="3456">
        <f t="shared" si="159"/>
        <v>102.24351950992863</v>
      </c>
      <c r="AP39" s="3456">
        <f t="shared" si="160"/>
        <v>104.40129531631555</v>
      </c>
      <c r="AQ39" s="3456"/>
      <c r="AR39" s="3456">
        <f t="shared" si="161"/>
        <v>102.24351950992863</v>
      </c>
    </row>
    <row r="40" spans="1:44" s="3183" customFormat="1" ht="12.75">
      <c r="A40" s="3174" t="s">
        <v>3374</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103.11291747505246</v>
      </c>
      <c r="AO40" s="3456">
        <f t="shared" si="159"/>
        <v>102.64383044867849</v>
      </c>
      <c r="AP40" s="3456">
        <f t="shared" si="160"/>
        <v>103.13276233953923</v>
      </c>
      <c r="AQ40" s="3456"/>
      <c r="AR40" s="3456">
        <f t="shared" si="161"/>
        <v>102.64383044867849</v>
      </c>
    </row>
    <row r="41" spans="1:44" s="3183" customFormat="1" ht="12.75">
      <c r="A41" s="3174" t="s">
        <v>3372</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102.85577802997751</v>
      </c>
      <c r="AO41" s="3456">
        <f t="shared" si="159"/>
        <v>102.23489088513793</v>
      </c>
      <c r="AP41" s="3456">
        <f t="shared" si="160"/>
        <v>103.78661803314806</v>
      </c>
      <c r="AQ41" s="3456"/>
      <c r="AR41" s="3456">
        <f t="shared" si="161"/>
        <v>102.23489088513793</v>
      </c>
    </row>
    <row r="42" spans="1:44" s="3183" customFormat="1" ht="12.75">
      <c r="A42" s="3174" t="s">
        <v>3370</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102.78382934943292</v>
      </c>
      <c r="AO42" s="3456">
        <f t="shared" si="159"/>
        <v>102.14296221914071</v>
      </c>
      <c r="AP42" s="3456">
        <f t="shared" si="160"/>
        <v>103.75549138573234</v>
      </c>
      <c r="AQ42" s="3456"/>
      <c r="AR42" s="3456">
        <f t="shared" si="161"/>
        <v>102.14296221914071</v>
      </c>
    </row>
    <row r="43" spans="1:44" s="3183" customFormat="1" ht="12.75">
      <c r="A43" s="3174" t="s">
        <v>3369</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102.42534065713295</v>
      </c>
      <c r="AO43" s="3456">
        <f t="shared" si="159"/>
        <v>101.96961387555227</v>
      </c>
      <c r="AP43" s="3456">
        <f t="shared" si="160"/>
        <v>103.21875386563104</v>
      </c>
      <c r="AQ43" s="3456"/>
      <c r="AR43" s="3456">
        <f t="shared" si="161"/>
        <v>101.96961387555227</v>
      </c>
    </row>
    <row r="44" spans="1:44" s="3183" customFormat="1" ht="12.75">
      <c r="A44" s="3174" t="s">
        <v>3367</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101.91576184789349</v>
      </c>
      <c r="AO44" s="3456">
        <f t="shared" si="159"/>
        <v>101.5128062474388</v>
      </c>
      <c r="AP44" s="3456">
        <f t="shared" si="160"/>
        <v>102.30821078960358</v>
      </c>
      <c r="AQ44" s="3456"/>
      <c r="AR44" s="3456">
        <f t="shared" si="161"/>
        <v>101.5128062474388</v>
      </c>
    </row>
    <row r="45" spans="1:44" s="3183" customFormat="1" ht="12.75">
      <c r="A45" s="3174" t="s">
        <v>3366</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101.35829124604027</v>
      </c>
      <c r="AO45" s="3456">
        <f t="shared" si="159"/>
        <v>100.91739362505101</v>
      </c>
      <c r="AP45" s="3456">
        <f t="shared" si="160"/>
        <v>101.6576021359336</v>
      </c>
      <c r="AQ45" s="3456"/>
      <c r="AR45" s="3456">
        <f t="shared" si="161"/>
        <v>100.91739362505101</v>
      </c>
    </row>
    <row r="46" spans="1:44" s="3183" customFormat="1" ht="12.75">
      <c r="A46" s="3174" t="s">
        <v>3365</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100.90422224593357</v>
      </c>
      <c r="AO46" s="3456">
        <f t="shared" si="159"/>
        <v>100.71596170164771</v>
      </c>
      <c r="AP46" s="3456">
        <f t="shared" si="160"/>
        <v>101.2727656265527</v>
      </c>
      <c r="AQ46" s="3456"/>
      <c r="AR46" s="3456">
        <f t="shared" si="161"/>
        <v>100.71596170164771</v>
      </c>
    </row>
    <row r="47" spans="1:44" s="3183" customFormat="1" ht="12.75">
      <c r="A47" s="3174" t="s">
        <v>3355</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100.60241500093079</v>
      </c>
      <c r="AO47" s="3456">
        <f t="shared" si="159"/>
        <v>100.42472998469212</v>
      </c>
      <c r="AP47" s="3456">
        <f t="shared" si="160"/>
        <v>100.43912092289268</v>
      </c>
      <c r="AQ47" s="3456"/>
      <c r="AR47" s="3456">
        <f t="shared" si="161"/>
        <v>100.42472998469212</v>
      </c>
    </row>
    <row r="48" spans="1:44" s="3183" customFormat="1" ht="12.75">
      <c r="A48" s="3174" t="s">
        <v>2835</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100.71319952040324</v>
      </c>
      <c r="AO48" s="3456">
        <f t="shared" si="159"/>
        <v>100.55545207238622</v>
      </c>
      <c r="AP48" s="3456">
        <f t="shared" si="160"/>
        <v>99.90960004266654</v>
      </c>
      <c r="AQ48" s="3456"/>
      <c r="AR48" s="3456">
        <f t="shared" si="161"/>
        <v>100.55545207238622</v>
      </c>
    </row>
    <row r="49" spans="1:44" s="3183" customFormat="1" ht="12.75">
      <c r="A49" s="3174" t="s">
        <v>2836</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100.11252437415828</v>
      </c>
      <c r="AO49" s="3456">
        <f t="shared" si="159"/>
        <v>100.10497966389867</v>
      </c>
      <c r="AP49" s="3456">
        <f t="shared" si="160"/>
        <v>99.382870827281934</v>
      </c>
      <c r="AQ49" s="3456"/>
      <c r="AR49" s="3456">
        <f t="shared" si="161"/>
        <v>100.10497966389867</v>
      </c>
    </row>
    <row r="50" spans="1:44" s="3183" customFormat="1" ht="12.75">
      <c r="A50" s="3174" t="s">
        <v>2837</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99.535220097592244</v>
      </c>
      <c r="AO50" s="3456">
        <f t="shared" si="159"/>
        <v>100.02495969614176</v>
      </c>
      <c r="AP50" s="3456">
        <f t="shared" si="160"/>
        <v>98.711631731507694</v>
      </c>
      <c r="AQ50" s="3456"/>
      <c r="AR50" s="3456">
        <f t="shared" si="161"/>
        <v>100.02495969614176</v>
      </c>
    </row>
    <row r="51" spans="1:44" s="3183" customFormat="1" ht="12.75">
      <c r="A51" s="3174" t="s">
        <v>2838</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99.069593010443171</v>
      </c>
      <c r="AO51" s="3456">
        <f t="shared" si="159"/>
        <v>99.745671815059609</v>
      </c>
      <c r="AP51" s="3456">
        <f t="shared" si="160"/>
        <v>97.821456477561867</v>
      </c>
      <c r="AQ51" s="3456"/>
      <c r="AR51" s="3456">
        <f t="shared" si="161"/>
        <v>99.745671815059609</v>
      </c>
    </row>
    <row r="52" spans="1:44" s="3205" customFormat="1" ht="14.25" thickBot="1">
      <c r="A52" s="3195" t="s">
        <v>2824</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98.527690711529758</v>
      </c>
      <c r="AO52" s="3463">
        <f t="shared" si="159"/>
        <v>99.288942678737428</v>
      </c>
      <c r="AP52" s="3463">
        <f t="shared" si="160"/>
        <v>96.757128068805017</v>
      </c>
      <c r="AQ52" s="3463"/>
      <c r="AR52" s="3463">
        <f t="shared" si="161"/>
        <v>99.288942678737428</v>
      </c>
    </row>
    <row r="53" spans="1:44" ht="14.25" thickTop="1"/>
    <row r="54" spans="1:44">
      <c r="A54" s="3446"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9" t="s">
        <v>2839</v>
      </c>
      <c r="B1" s="3809"/>
      <c r="C1" s="3809"/>
      <c r="D1" s="3809"/>
      <c r="E1" s="3809"/>
      <c r="F1" s="3809"/>
      <c r="G1" s="3810"/>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2"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807" t="s">
        <v>2866</v>
      </c>
      <c r="B3" s="3228"/>
      <c r="C3" s="3229" t="s">
        <v>2811</v>
      </c>
      <c r="D3" s="3229" t="s">
        <v>2867</v>
      </c>
      <c r="E3" s="3229" t="s">
        <v>2813</v>
      </c>
      <c r="F3" s="3229" t="s">
        <v>2868</v>
      </c>
      <c r="G3" s="3229" t="s">
        <v>2631</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2" thickBot="1">
      <c r="A4" s="3808"/>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2"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2"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2"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2"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45793</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45586</v>
      </c>
      <c r="D13" s="2820">
        <v>3.1</v>
      </c>
      <c r="E13" s="2820">
        <f>D13</f>
        <v>3.1</v>
      </c>
      <c r="F13" s="2820">
        <f>D13</f>
        <v>3.1</v>
      </c>
      <c r="G13" s="2820">
        <f>D13</f>
        <v>3.1</v>
      </c>
      <c r="H13" s="2820">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45495</v>
      </c>
      <c r="D14" s="2815">
        <v>3.35</v>
      </c>
      <c r="E14" s="2815">
        <f>D14</f>
        <v>3.35</v>
      </c>
      <c r="F14" s="2815">
        <f>D14</f>
        <v>3.35</v>
      </c>
      <c r="G14" s="2815">
        <f>D14</f>
        <v>3.35</v>
      </c>
      <c r="H14" s="2815">
        <v>3.85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45342</v>
      </c>
      <c r="D15" s="2815">
        <v>3.45</v>
      </c>
      <c r="E15" s="2815">
        <f>D15</f>
        <v>3.45</v>
      </c>
      <c r="F15" s="2815">
        <f>D15</f>
        <v>3.45</v>
      </c>
      <c r="G15" s="2815">
        <f>D15</f>
        <v>3.45</v>
      </c>
      <c r="H15" s="2815">
        <v>3.95</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45159</v>
      </c>
      <c r="D16" s="2815">
        <v>3.45</v>
      </c>
      <c r="E16" s="2815">
        <f>D16</f>
        <v>3.45</v>
      </c>
      <c r="F16" s="2815">
        <f>D16</f>
        <v>3.45</v>
      </c>
      <c r="G16" s="2815">
        <f>D16</f>
        <v>3.45</v>
      </c>
      <c r="H16" s="2815">
        <v>4.2</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45097</v>
      </c>
      <c r="D17" s="2815">
        <v>3.55</v>
      </c>
      <c r="E17" s="2815">
        <f>D17</f>
        <v>3.55</v>
      </c>
      <c r="F17" s="2815">
        <f>D17</f>
        <v>3.55</v>
      </c>
      <c r="G17" s="2815">
        <f>D17</f>
        <v>3.55</v>
      </c>
      <c r="H17" s="2815">
        <v>4.2</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6">
        <v>44795</v>
      </c>
      <c r="D18" s="2815">
        <v>3.65</v>
      </c>
      <c r="E18" s="2815">
        <v>3.65</v>
      </c>
      <c r="F18" s="2815">
        <v>3.65</v>
      </c>
      <c r="G18" s="2815">
        <v>3.65</v>
      </c>
      <c r="H18" s="2815">
        <v>4.3</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4"/>
      <c r="C19" s="2816">
        <v>44701</v>
      </c>
      <c r="D19" s="2815">
        <v>3.7</v>
      </c>
      <c r="E19" s="2815">
        <f>D19</f>
        <v>3.7</v>
      </c>
      <c r="F19" s="2815">
        <f>D19</f>
        <v>3.7</v>
      </c>
      <c r="G19" s="2815">
        <f>D19</f>
        <v>3.7</v>
      </c>
      <c r="H19" s="2815">
        <v>4.45</v>
      </c>
      <c r="I19" s="2820"/>
      <c r="J19" s="2820"/>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6">
        <v>44581</v>
      </c>
      <c r="D20" s="2815">
        <v>3.7</v>
      </c>
      <c r="E20" s="2815">
        <f>D20</f>
        <v>3.7</v>
      </c>
      <c r="F20" s="2815">
        <f>D20</f>
        <v>3.7</v>
      </c>
      <c r="G20" s="2815">
        <f>D20</f>
        <v>3.7</v>
      </c>
      <c r="H20" s="2815">
        <v>4.5999999999999996</v>
      </c>
      <c r="I20" s="2820"/>
      <c r="J20" s="2820"/>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44550</v>
      </c>
      <c r="D21" s="2815">
        <v>3.8</v>
      </c>
      <c r="E21" s="2815">
        <f>D21</f>
        <v>3.8</v>
      </c>
      <c r="F21" s="2815">
        <f>D21</f>
        <v>3.8</v>
      </c>
      <c r="G21" s="2815">
        <f>D21</f>
        <v>3.8</v>
      </c>
      <c r="H21" s="2815">
        <v>4.6500000000000004</v>
      </c>
      <c r="I21" s="2815"/>
      <c r="J21" s="2820"/>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43941</v>
      </c>
      <c r="D22" s="2815">
        <v>3.85</v>
      </c>
      <c r="E22" s="2815">
        <v>3.85</v>
      </c>
      <c r="F22" s="2815">
        <v>3.85</v>
      </c>
      <c r="G22" s="2815">
        <v>3.85</v>
      </c>
      <c r="H22" s="2815">
        <v>4.6500000000000004</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5"/>
      <c r="C23" s="2816">
        <v>43881</v>
      </c>
      <c r="D23" s="2815">
        <v>4.05</v>
      </c>
      <c r="E23" s="2815">
        <v>4.05</v>
      </c>
      <c r="F23" s="2815">
        <v>4.05</v>
      </c>
      <c r="G23" s="2815">
        <v>4.05</v>
      </c>
      <c r="H23" s="2815">
        <v>4.75</v>
      </c>
      <c r="I23" s="2815"/>
      <c r="J23" s="281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5"/>
      <c r="C24" s="2816">
        <v>43789</v>
      </c>
      <c r="D24" s="2815">
        <v>4.1500000000000004</v>
      </c>
      <c r="E24" s="2815">
        <v>4.1500000000000004</v>
      </c>
      <c r="F24" s="2815">
        <v>4.1500000000000004</v>
      </c>
      <c r="G24" s="2815">
        <v>4.1500000000000004</v>
      </c>
      <c r="H24" s="2815">
        <v>4.8</v>
      </c>
      <c r="I24" s="2815"/>
      <c r="J24" s="281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5"/>
      <c r="C25" s="2816">
        <v>43728</v>
      </c>
      <c r="D25" s="2815">
        <v>4.2</v>
      </c>
      <c r="E25" s="2815">
        <v>4.2</v>
      </c>
      <c r="F25" s="2815">
        <v>4.2</v>
      </c>
      <c r="G25" s="2815">
        <v>4.2</v>
      </c>
      <c r="H25" s="2815">
        <v>4.8499999999999996</v>
      </c>
      <c r="I25" s="2815"/>
      <c r="J25" s="2815"/>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4" t="s">
        <v>2309</v>
      </c>
      <c r="C26" s="2817">
        <v>43697</v>
      </c>
      <c r="D26" s="2818">
        <v>4.25</v>
      </c>
      <c r="E26" s="2818">
        <v>4.25</v>
      </c>
      <c r="F26" s="2818">
        <v>4.25</v>
      </c>
      <c r="G26" s="2818">
        <v>4.25</v>
      </c>
      <c r="H26" s="2818">
        <v>4.8499999999999996</v>
      </c>
      <c r="I26" s="2818"/>
      <c r="J26" s="2818"/>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2"/>
      <c r="C27" s="2823">
        <v>42301</v>
      </c>
      <c r="D27" s="2824">
        <v>4.3499999999999996</v>
      </c>
      <c r="E27" s="2824">
        <v>4.3499999999999996</v>
      </c>
      <c r="F27" s="2824">
        <v>4.75</v>
      </c>
      <c r="G27" s="2824">
        <v>4.75</v>
      </c>
      <c r="H27" s="2824">
        <v>4.9000000000000004</v>
      </c>
      <c r="I27" s="2824"/>
      <c r="J27" s="2824"/>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2"/>
  <sheetViews>
    <sheetView workbookViewId="0">
      <selection activeCell="I16" sqref="I16"/>
    </sheetView>
  </sheetViews>
  <sheetFormatPr defaultRowHeight="13.5"/>
  <cols>
    <col min="1" max="2" width="9" style="3823"/>
    <col min="3" max="3" width="13.25" style="3823" customWidth="1"/>
    <col min="4" max="4" width="9" style="3823"/>
    <col min="5" max="5" width="14.875" style="3823" customWidth="1"/>
    <col min="6" max="6" width="14.25" style="3823" customWidth="1"/>
    <col min="7" max="7" width="11.875" style="3823" customWidth="1"/>
    <col min="8" max="8" width="12.375" style="3823" customWidth="1"/>
    <col min="9" max="9" width="9" style="3823"/>
    <col min="10" max="10" width="17" style="3823" customWidth="1"/>
    <col min="11" max="11" width="9" style="3823"/>
    <col min="12" max="12" width="11.875" style="3823" customWidth="1"/>
    <col min="13" max="16384" width="9" style="3823"/>
  </cols>
  <sheetData>
    <row r="2" spans="2:12">
      <c r="G2" s="3822" t="s">
        <v>3504</v>
      </c>
    </row>
    <row r="3" spans="2:12">
      <c r="B3" s="3822" t="s">
        <v>3496</v>
      </c>
      <c r="C3" s="3822" t="s">
        <v>3530</v>
      </c>
      <c r="D3" s="3822" t="s">
        <v>3497</v>
      </c>
      <c r="E3" s="3822" t="s">
        <v>3499</v>
      </c>
      <c r="F3" s="3822" t="s">
        <v>3500</v>
      </c>
      <c r="G3" s="3822" t="s">
        <v>3501</v>
      </c>
      <c r="H3" s="3822" t="s">
        <v>3502</v>
      </c>
      <c r="I3" s="3822" t="s">
        <v>3503</v>
      </c>
      <c r="J3" s="3822" t="s">
        <v>3505</v>
      </c>
    </row>
    <row r="4" spans="2:12">
      <c r="B4" s="3822">
        <f>266.92+189.63</f>
        <v>456.55</v>
      </c>
      <c r="C4" s="3823">
        <f>266.92+94.815</f>
        <v>361.73500000000001</v>
      </c>
      <c r="D4" s="3822" t="s">
        <v>3498</v>
      </c>
      <c r="E4" s="3824">
        <v>45703</v>
      </c>
      <c r="F4" s="3824">
        <v>47528</v>
      </c>
      <c r="G4" s="3823">
        <f>50000*12</f>
        <v>600000</v>
      </c>
      <c r="H4" s="3823">
        <f>ROUND(G4*(1+5%),0)</f>
        <v>630000</v>
      </c>
      <c r="I4" s="3823">
        <f>ROUND(H4/C4/365,1)</f>
        <v>4.8</v>
      </c>
      <c r="J4" s="3823">
        <f>I4*C5</f>
        <v>3.8031497097798708</v>
      </c>
      <c r="K4" s="3822" t="s">
        <v>3517</v>
      </c>
      <c r="L4" s="3822" t="s">
        <v>3518</v>
      </c>
    </row>
    <row r="5" spans="2:12">
      <c r="C5" s="3823">
        <f>C4/B4</f>
        <v>0.79232285620413978</v>
      </c>
    </row>
    <row r="7" spans="2:12">
      <c r="C7" s="3822" t="s">
        <v>3531</v>
      </c>
    </row>
    <row r="8" spans="2:12">
      <c r="C8" s="3823">
        <f>B4-C4</f>
        <v>94.814999999999998</v>
      </c>
      <c r="F8" s="3822"/>
    </row>
    <row r="12" spans="2:12">
      <c r="G12" s="3823" t="s">
        <v>3532</v>
      </c>
    </row>
  </sheetData>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0:K49"/>
  <sheetViews>
    <sheetView topLeftCell="A64" workbookViewId="0">
      <selection activeCell="L77" sqref="L77"/>
    </sheetView>
  </sheetViews>
  <sheetFormatPr defaultRowHeight="13.5"/>
  <sheetData>
    <row r="20" spans="11:11">
      <c r="K20" s="3821" t="s">
        <v>3519</v>
      </c>
    </row>
    <row r="49" spans="11:11">
      <c r="K49" s="3821" t="s">
        <v>3525</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N69" sqref="N69"/>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86"/>
      <c r="B3" s="3486"/>
      <c r="C3" s="3486"/>
      <c r="D3" s="853" t="s">
        <v>925</v>
      </c>
      <c r="E3" s="853" t="s">
        <v>931</v>
      </c>
      <c r="F3" s="853" t="s">
        <v>925</v>
      </c>
      <c r="G3" s="853" t="s">
        <v>926</v>
      </c>
      <c r="H3" s="853" t="s">
        <v>925</v>
      </c>
      <c r="I3" s="853" t="s">
        <v>926</v>
      </c>
    </row>
    <row r="4" spans="1:9" ht="15">
      <c r="A4" s="1504" t="str">
        <f>项目基本情况!S2</f>
        <v>北京市大兴区黄村镇兴业大街76号楼1至2层1、2号商业用房房地产</v>
      </c>
      <c r="B4" s="853">
        <f>项目基本情况!C17</f>
        <v>456.55</v>
      </c>
      <c r="C4" s="853">
        <f>项目基本情况!C18</f>
        <v>0</v>
      </c>
      <c r="D4" s="853">
        <f ca="1">结果表!D118</f>
        <v>1136</v>
      </c>
      <c r="E4" s="853">
        <f ca="1">结果表!E118</f>
        <v>24877</v>
      </c>
      <c r="F4" s="853">
        <f ca="1">结果表!F118</f>
        <v>254</v>
      </c>
      <c r="G4" s="853">
        <f ca="1">结果表!G118</f>
        <v>5572</v>
      </c>
      <c r="H4" s="853">
        <f ca="1">结果表!H118</f>
        <v>1390</v>
      </c>
      <c r="I4" s="853">
        <f ca="1">结果表!I118</f>
        <v>30449</v>
      </c>
    </row>
    <row r="5" spans="1:9" ht="30" customHeight="1">
      <c r="A5" s="3486" t="s">
        <v>927</v>
      </c>
      <c r="B5" s="3486"/>
      <c r="C5" s="3486"/>
      <c r="D5" s="3486" t="str">
        <f ca="1">结果表!D119</f>
        <v>壹仟壹佰叁拾陆万元整</v>
      </c>
      <c r="E5" s="3486"/>
      <c r="F5" s="3486" t="str">
        <f ca="1">结果表!F119</f>
        <v>贰佰伍拾肆万元整</v>
      </c>
      <c r="G5" s="3486"/>
      <c r="H5" s="3486" t="str">
        <f ca="1">结果表!H119</f>
        <v>壹仟叁佰玖拾万元整</v>
      </c>
      <c r="I5" s="3486"/>
    </row>
    <row r="6" spans="1:9" ht="15.75">
      <c r="A6" s="3485" t="str">
        <f>结果表!A120</f>
        <v>估价师知悉的法定优先受偿款</v>
      </c>
      <c r="B6" s="3485"/>
      <c r="C6" s="3485"/>
      <c r="D6" s="3485">
        <f>结果表!D120</f>
        <v>0</v>
      </c>
      <c r="E6" s="3485"/>
      <c r="F6" s="3485"/>
      <c r="G6" s="3485"/>
      <c r="H6" s="3485"/>
      <c r="I6" s="3485"/>
    </row>
    <row r="7" spans="1:9" ht="15">
      <c r="A7" s="3486" t="s">
        <v>927</v>
      </c>
      <c r="B7" s="3486"/>
      <c r="C7" s="3486"/>
      <c r="D7" s="3487" t="str">
        <f>结果表!D121</f>
        <v>零元整</v>
      </c>
      <c r="E7" s="3488"/>
      <c r="F7" s="3488"/>
      <c r="G7" s="3488"/>
      <c r="H7" s="3488"/>
      <c r="I7" s="3489"/>
    </row>
    <row r="8" spans="1:9" ht="15.75">
      <c r="A8" s="3485" t="str">
        <f>结果表!A122</f>
        <v>房地产抵押价值</v>
      </c>
      <c r="B8" s="3485"/>
      <c r="C8" s="3485"/>
      <c r="D8" s="3485">
        <f ca="1">结果表!D122</f>
        <v>1390</v>
      </c>
      <c r="E8" s="3485"/>
      <c r="F8" s="3485"/>
      <c r="G8" s="3485"/>
      <c r="H8" s="3485"/>
      <c r="I8" s="3485"/>
    </row>
    <row r="9" spans="1:9" ht="15">
      <c r="A9" s="3486" t="s">
        <v>927</v>
      </c>
      <c r="B9" s="3486"/>
      <c r="C9" s="3486"/>
      <c r="D9" s="3486" t="str">
        <f ca="1">结果表!D123</f>
        <v>壹仟叁佰玖拾万元整</v>
      </c>
      <c r="E9" s="3486"/>
      <c r="F9" s="3486"/>
      <c r="G9" s="3486"/>
      <c r="H9" s="3486"/>
      <c r="I9" s="3486"/>
    </row>
    <row r="10" spans="1:9" ht="15.75">
      <c r="A10" s="3485" t="str">
        <f>结果表!A124</f>
        <v/>
      </c>
      <c r="B10" s="3485"/>
      <c r="C10" s="3485"/>
      <c r="D10" s="3485" t="str">
        <f>结果表!D124</f>
        <v>——</v>
      </c>
      <c r="E10" s="3485"/>
      <c r="F10" s="3485"/>
      <c r="G10" s="3485"/>
      <c r="H10" s="3485"/>
      <c r="I10" s="3485"/>
    </row>
    <row r="11" spans="1:9" ht="15">
      <c r="A11" s="3486" t="s">
        <v>927</v>
      </c>
      <c r="B11" s="3486"/>
      <c r="C11" s="3486"/>
      <c r="D11" s="3486" t="e">
        <f>结果表!D125</f>
        <v>#VALUE!</v>
      </c>
      <c r="E11" s="3486"/>
      <c r="F11" s="3486"/>
      <c r="G11" s="3486"/>
      <c r="H11" s="3486"/>
      <c r="I11" s="3486"/>
    </row>
    <row r="12" spans="1:9" ht="15.75">
      <c r="A12" s="3485" t="str">
        <f>结果表!A126</f>
        <v/>
      </c>
      <c r="B12" s="3485"/>
      <c r="C12" s="3485"/>
      <c r="D12" s="3485" t="str">
        <f>结果表!D126</f>
        <v>——</v>
      </c>
      <c r="E12" s="3485"/>
      <c r="F12" s="3485"/>
      <c r="G12" s="3485"/>
      <c r="H12" s="3485"/>
      <c r="I12" s="3485"/>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8" t="s">
        <v>949</v>
      </c>
      <c r="B1" s="3498"/>
      <c r="C1" s="3498"/>
      <c r="D1" s="3498"/>
    </row>
    <row r="2" spans="1:4" ht="18">
      <c r="A2" s="3499" t="s">
        <v>933</v>
      </c>
      <c r="B2" s="3499"/>
      <c r="C2" s="3499"/>
      <c r="D2" s="3499"/>
    </row>
    <row r="3" spans="1:4" ht="18.75">
      <c r="A3" s="1508" t="s">
        <v>934</v>
      </c>
      <c r="B3" s="1508" t="s">
        <v>935</v>
      </c>
      <c r="C3" s="1508" t="s">
        <v>936</v>
      </c>
      <c r="D3" s="1508" t="s">
        <v>937</v>
      </c>
    </row>
    <row r="4" spans="1:4" ht="56.25" customHeight="1">
      <c r="A4" s="1509" t="str">
        <f>项目基本情况!B4</f>
        <v>吴薇</v>
      </c>
      <c r="B4" s="1510">
        <f ca="1">项目基本情况!C4</f>
        <v>1419970001</v>
      </c>
      <c r="C4" s="1511"/>
      <c r="D4" s="1512" t="s">
        <v>938</v>
      </c>
    </row>
    <row r="5" spans="1:4" ht="56.25" customHeight="1">
      <c r="A5" s="1509" t="str">
        <f>项目基本情况!D4</f>
        <v>郑燚</v>
      </c>
      <c r="B5" s="1510">
        <f ca="1">项目基本情况!E4</f>
        <v>1120070131</v>
      </c>
      <c r="C5" s="1513"/>
      <c r="D5" s="1512" t="s">
        <v>938</v>
      </c>
    </row>
    <row r="6" spans="1:4" ht="18">
      <c r="A6" s="3499" t="s">
        <v>939</v>
      </c>
      <c r="B6" s="3499"/>
      <c r="C6" s="3499"/>
      <c r="D6" s="349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0"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2" t="str">
        <f>IF(项目基本情况!B8="抵押","4.本次评估估价师所知悉的法定优先受偿款情况说明如下：","——")</f>
        <v>4.本次评估估价师所知悉的法定优先受偿款情况说明如下：</v>
      </c>
      <c r="B14" s="3497"/>
      <c r="C14" s="3497"/>
      <c r="D14" s="3497"/>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4" t="s">
        <v>943</v>
      </c>
      <c r="B16" s="3494"/>
      <c r="C16" s="3494"/>
      <c r="D16" s="3494"/>
    </row>
    <row r="17" spans="1:4" ht="144" customHeight="1">
      <c r="A17" s="3494" t="s">
        <v>944</v>
      </c>
      <c r="B17" s="3494"/>
      <c r="C17" s="3494"/>
      <c r="D17" s="3494"/>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3">
        <v>42551</v>
      </c>
      <c r="D31" s="34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6" t="s">
        <v>956</v>
      </c>
      <c r="B15" s="3501" t="s">
        <v>109</v>
      </c>
      <c r="C15" s="3502"/>
    </row>
    <row r="16" spans="1:7" ht="13.5">
      <c r="A16" s="3507"/>
      <c r="B16" s="3501" t="s">
        <v>42</v>
      </c>
      <c r="C16" s="3502"/>
    </row>
    <row r="17" spans="1:3" ht="13.5">
      <c r="A17" s="3507"/>
      <c r="B17" s="3504" t="s">
        <v>957</v>
      </c>
      <c r="C17" s="1531" t="s">
        <v>956</v>
      </c>
    </row>
    <row r="18" spans="1:3" ht="13.5">
      <c r="A18" s="3507"/>
      <c r="B18" s="3504"/>
      <c r="C18" s="1531" t="s">
        <v>958</v>
      </c>
    </row>
    <row r="19" spans="1:3" ht="13.5">
      <c r="A19" s="3507"/>
      <c r="B19" s="3504"/>
      <c r="C19" s="1531" t="s">
        <v>959</v>
      </c>
    </row>
    <row r="20" spans="1:3" ht="13.5">
      <c r="A20" s="3508"/>
      <c r="B20" s="3503" t="s">
        <v>960</v>
      </c>
      <c r="C20" s="3502"/>
    </row>
    <row r="21" spans="1:3" ht="13.5">
      <c r="A21" s="1532" t="s">
        <v>961</v>
      </c>
      <c r="B21" s="1533"/>
      <c r="C21" s="1534"/>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31" t="s">
        <v>967</v>
      </c>
    </row>
    <row r="26" spans="1:3" ht="13.5">
      <c r="A26" s="3505"/>
      <c r="B26" s="3504"/>
      <c r="C26" s="1531" t="s">
        <v>968</v>
      </c>
    </row>
    <row r="27" spans="1:3" ht="13.5">
      <c r="A27" s="3505"/>
      <c r="B27" s="3504"/>
      <c r="C27" s="1531" t="s">
        <v>969</v>
      </c>
    </row>
    <row r="28" spans="1:3" ht="13.5">
      <c r="A28" s="3505"/>
      <c r="B28" s="3504"/>
      <c r="C28" s="1531" t="s">
        <v>970</v>
      </c>
    </row>
    <row r="29" spans="1:3" ht="13.5">
      <c r="A29" s="3505"/>
      <c r="B29" s="3504"/>
      <c r="C29" s="1531" t="s">
        <v>971</v>
      </c>
    </row>
    <row r="30" spans="1:3" ht="13.5">
      <c r="A30" s="3505"/>
      <c r="B30" s="3504"/>
      <c r="C30" s="1531" t="s">
        <v>972</v>
      </c>
    </row>
    <row r="31" spans="1:3" ht="13.5">
      <c r="A31" s="3505"/>
      <c r="B31" s="3504"/>
      <c r="C31" s="1531" t="s">
        <v>973</v>
      </c>
    </row>
    <row r="32" spans="1:3" ht="13.5">
      <c r="A32" s="3505"/>
      <c r="B32" s="3504"/>
      <c r="C32" s="1531" t="s">
        <v>974</v>
      </c>
    </row>
    <row r="33" spans="1:3" ht="13.5">
      <c r="A33" s="3505"/>
      <c r="B33" s="350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45793</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9" t="s">
        <v>2160</v>
      </c>
      <c r="B17" s="3509"/>
      <c r="C17" s="3509"/>
      <c r="D17" s="3509"/>
      <c r="E17" s="3509"/>
      <c r="F17" s="3509"/>
      <c r="G17" s="3509"/>
      <c r="H17" s="3509"/>
    </row>
    <row r="18" spans="1:8" ht="24" customHeight="1">
      <c r="A18" s="3510" t="s">
        <v>2161</v>
      </c>
      <c r="B18" s="3510"/>
      <c r="C18" s="3510"/>
      <c r="D18" s="2342"/>
      <c r="E18" s="3511" t="s">
        <v>2162</v>
      </c>
      <c r="F18" s="3510"/>
      <c r="G18" s="3510"/>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比较法-租金商业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租赁合同</vt:lpstr>
      <vt:lpstr>市调</vt:lpstr>
      <vt:lpstr>Sheet4</vt:lpstr>
      <vt:lpstr>'比较法-办公'!Print_Area</vt:lpstr>
      <vt:lpstr>'比较法-仓储'!Print_Area</vt:lpstr>
      <vt:lpstr>'比较法-车位'!Print_Area</vt:lpstr>
      <vt:lpstr>'比较法-工业'!Print_Area</vt:lpstr>
      <vt:lpstr>'比较法-商业'!Print_Area</vt:lpstr>
      <vt:lpstr>'比较法-住宅'!Print_Area</vt:lpstr>
      <vt:lpstr>'比较法-租金商业'!Print_Area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'比较法-租金商业'!商业层高</vt:lpstr>
      <vt:lpstr>商业层高</vt:lpstr>
      <vt:lpstr>'比较法-租金商业'!商业成新度</vt:lpstr>
      <vt:lpstr>商业成新度</vt:lpstr>
      <vt:lpstr>商业繁华度</vt:lpstr>
      <vt:lpstr>'比较法-租金商业'!商业公共部分装修</vt:lpstr>
      <vt:lpstr>商业公共部分装修</vt:lpstr>
      <vt:lpstr>'比较法-租金商业'!商业基础设施水平</vt:lpstr>
      <vt:lpstr>商业基础设施水平</vt:lpstr>
      <vt:lpstr>'比较法-租金商业'!商业建筑结构</vt:lpstr>
      <vt:lpstr>商业建筑结构</vt:lpstr>
      <vt:lpstr>'比较法-租金商业'!商业交易情况</vt:lpstr>
      <vt:lpstr>商业交易情况</vt:lpstr>
      <vt:lpstr>商业街名称</vt:lpstr>
      <vt:lpstr>'比较法-租金商业'!商业进深比</vt:lpstr>
      <vt:lpstr>商业进深比</vt:lpstr>
      <vt:lpstr>'比较法-租金商业'!商业类型</vt:lpstr>
      <vt:lpstr>商业类型</vt:lpstr>
      <vt:lpstr>'比较法-租金商业'!商业临街状况</vt:lpstr>
      <vt:lpstr>商业临街状况</vt:lpstr>
      <vt:lpstr>'比较法-租金商业'!商业楼层</vt:lpstr>
      <vt:lpstr>商业楼层</vt:lpstr>
      <vt:lpstr>'比较法-租金商业'!商业内部装修</vt:lpstr>
      <vt:lpstr>商业内部装修</vt:lpstr>
      <vt:lpstr>'比较法-租金商业'!商业人流量</vt:lpstr>
      <vt:lpstr>商业人流量</vt:lpstr>
      <vt:lpstr>'比较法-租金商业'!商业业态</vt:lpstr>
      <vt:lpstr>商业业态</vt:lpstr>
      <vt:lpstr>'比较法-租金商业'!商业用途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2025-05-16T07:16:21Z</dcterms:modified>
</cp:coreProperties>
</file>