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527"/>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03C79EDA-6F2D-4191-AAA6-141E04138770}" xr6:coauthVersionLast="47" xr6:coauthVersionMax="47" xr10:uidLastSave="{00000000-0000-0000-0000-000000000000}"/>
  <bookViews>
    <workbookView xWindow="-120" yWindow="-120" windowWidth="19440" windowHeight="15000" tabRatio="899" firstSheet="16" activeTab="2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结果表-B" sheetId="80" r:id="rId46"/>
    <sheet name="成本法-B" sheetId="79" r:id="rId47"/>
    <sheet name="收益法-B" sheetId="82" r:id="rId48"/>
    <sheet name="Sheet2" sheetId="78" r:id="rId49"/>
    <sheet name="Sheet1" sheetId="81" r:id="rId50"/>
  </sheets>
  <externalReferences>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46">'成本法-B'!$A$1:$G$57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45">'结果表-B'!$A$1:$I$127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47">'收益法-B'!$A$1:$F$43,'收益法-B'!$H$3:$M$29,'收益法-B'!$A$46:$F$71,'收益法-B'!$I$46:$N$65</definedName>
    <definedName name="_xlnm.Print_Area" localSheetId="14">'数据-汇总表'!$A$1:$P$32</definedName>
    <definedName name="_xlnm.Print_Area" localSheetId="33">'土地比较法-工业'!$A$1:$K$61,'土地比较法-工业'!$A$64:$M$121</definedName>
    <definedName name="_xlnm.Print_Area" localSheetId="2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J20" i="79" l="1"/>
  <c r="E46" i="39"/>
  <c r="E6" i="77"/>
  <c r="N6" i="1"/>
  <c r="N7" i="1" s="1"/>
  <c r="F7" i="77"/>
  <c r="F6" i="77"/>
  <c r="D8" i="77"/>
  <c r="I14" i="3" l="1"/>
  <c r="I13" i="3"/>
  <c r="D27" i="77" l="1"/>
  <c r="C27" i="77"/>
  <c r="D26" i="77"/>
  <c r="C26" i="77"/>
  <c r="J23" i="77"/>
  <c r="I23" i="77"/>
  <c r="H23" i="77"/>
  <c r="G23" i="77"/>
  <c r="F23" i="77"/>
  <c r="E23" i="77"/>
  <c r="I22" i="77"/>
  <c r="G22" i="77"/>
  <c r="E22" i="77"/>
  <c r="D22" i="77"/>
  <c r="C22" i="77"/>
  <c r="Q7" i="1" l="1"/>
  <c r="U7" i="1"/>
  <c r="Q9" i="77" l="1"/>
  <c r="C12" i="77"/>
  <c r="L3" i="77" l="1"/>
  <c r="C17" i="74"/>
  <c r="B17" i="74"/>
  <c r="C16" i="74"/>
  <c r="B16" i="74"/>
  <c r="K17" i="77"/>
  <c r="E23" i="81"/>
  <c r="E36" i="81"/>
  <c r="E141" i="81"/>
  <c r="E240" i="81"/>
  <c r="Q72" i="82" l="1"/>
  <c r="Q59" i="82"/>
  <c r="K59" i="82"/>
  <c r="P74" i="82" s="1"/>
  <c r="F59" i="82"/>
  <c r="Q58" i="82"/>
  <c r="Q51" i="82"/>
  <c r="J50" i="82"/>
  <c r="M47" i="82"/>
  <c r="D46" i="82"/>
  <c r="F33" i="82"/>
  <c r="F61" i="82" s="1"/>
  <c r="F31" i="82"/>
  <c r="F23" i="82"/>
  <c r="F21" i="82"/>
  <c r="F20" i="82"/>
  <c r="M19" i="82"/>
  <c r="F18" i="82"/>
  <c r="M17" i="82"/>
  <c r="F17" i="82"/>
  <c r="F15" i="82"/>
  <c r="F332" i="81"/>
  <c r="F331" i="81"/>
  <c r="F330" i="81"/>
  <c r="F329" i="81"/>
  <c r="H328" i="81"/>
  <c r="F328" i="81"/>
  <c r="E328" i="81"/>
  <c r="D328" i="81"/>
  <c r="H326" i="81"/>
  <c r="F326" i="81"/>
  <c r="E326" i="81"/>
  <c r="D326" i="81"/>
  <c r="H325" i="81"/>
  <c r="F325" i="81"/>
  <c r="F324" i="81"/>
  <c r="F323" i="81"/>
  <c r="F322" i="81"/>
  <c r="F321" i="81"/>
  <c r="H318" i="81"/>
  <c r="F317" i="81"/>
  <c r="H316" i="81"/>
  <c r="F316" i="81"/>
  <c r="E316" i="81"/>
  <c r="D316" i="81"/>
  <c r="F315" i="81"/>
  <c r="H314" i="81"/>
  <c r="E314" i="81"/>
  <c r="F314" i="81" s="1"/>
  <c r="D314" i="81"/>
  <c r="F313" i="81"/>
  <c r="D313" i="81"/>
  <c r="F312" i="81"/>
  <c r="D312" i="81"/>
  <c r="F311" i="81"/>
  <c r="F309" i="81"/>
  <c r="F308" i="81"/>
  <c r="H307" i="81"/>
  <c r="F307" i="81"/>
  <c r="D307" i="81"/>
  <c r="F306" i="81"/>
  <c r="H305" i="81"/>
  <c r="F305" i="81"/>
  <c r="D305" i="81"/>
  <c r="E304" i="81"/>
  <c r="F304" i="81" s="1"/>
  <c r="D304" i="81"/>
  <c r="F303" i="81"/>
  <c r="F302" i="81"/>
  <c r="H301" i="81"/>
  <c r="F301" i="81"/>
  <c r="H300" i="81"/>
  <c r="F300" i="81"/>
  <c r="H299" i="81"/>
  <c r="F299" i="81"/>
  <c r="H298" i="81"/>
  <c r="F298" i="81"/>
  <c r="F297" i="81"/>
  <c r="H296" i="81"/>
  <c r="F296" i="81"/>
  <c r="E295" i="81"/>
  <c r="F295" i="81" s="1"/>
  <c r="D295" i="81"/>
  <c r="H294" i="81"/>
  <c r="F294" i="81"/>
  <c r="H293" i="81"/>
  <c r="F293" i="81"/>
  <c r="H292" i="81"/>
  <c r="F292" i="81"/>
  <c r="F291" i="81"/>
  <c r="H290" i="81"/>
  <c r="F290" i="81"/>
  <c r="H289" i="81"/>
  <c r="F289" i="81"/>
  <c r="F288" i="81"/>
  <c r="H287" i="81"/>
  <c r="F287" i="81"/>
  <c r="H286" i="81"/>
  <c r="F286" i="81"/>
  <c r="H285" i="81"/>
  <c r="F285" i="81"/>
  <c r="H284" i="81"/>
  <c r="F284" i="81"/>
  <c r="H283" i="81"/>
  <c r="F283" i="81"/>
  <c r="H282" i="81"/>
  <c r="F282" i="81"/>
  <c r="H281" i="81"/>
  <c r="F281" i="81"/>
  <c r="D280" i="81"/>
  <c r="H279" i="81"/>
  <c r="F279" i="81"/>
  <c r="H277" i="81"/>
  <c r="F277" i="81"/>
  <c r="F276" i="81"/>
  <c r="H275" i="81"/>
  <c r="F275" i="81"/>
  <c r="H274" i="81"/>
  <c r="F274" i="81"/>
  <c r="H273" i="81"/>
  <c r="F273" i="81"/>
  <c r="H272" i="81"/>
  <c r="F272" i="81"/>
  <c r="H271" i="81"/>
  <c r="E271" i="81"/>
  <c r="F271" i="81" s="1"/>
  <c r="H270" i="81"/>
  <c r="F270" i="81"/>
  <c r="H269" i="81"/>
  <c r="F269" i="81"/>
  <c r="D269" i="81"/>
  <c r="H268" i="81"/>
  <c r="F268" i="81"/>
  <c r="D268" i="81"/>
  <c r="H267" i="81"/>
  <c r="F267" i="81"/>
  <c r="H266" i="81"/>
  <c r="E266" i="81"/>
  <c r="F266" i="81" s="1"/>
  <c r="D266" i="81"/>
  <c r="H265" i="81"/>
  <c r="F265" i="81"/>
  <c r="H264" i="81"/>
  <c r="F264" i="81"/>
  <c r="H263" i="81"/>
  <c r="F263" i="81"/>
  <c r="D263" i="81"/>
  <c r="H262" i="81"/>
  <c r="F262" i="81"/>
  <c r="H261" i="81"/>
  <c r="F261" i="81"/>
  <c r="D261" i="81"/>
  <c r="H260" i="81"/>
  <c r="E260" i="81"/>
  <c r="F260" i="81" s="1"/>
  <c r="D260" i="81"/>
  <c r="H259" i="81"/>
  <c r="H258" i="81" s="1"/>
  <c r="F259" i="81"/>
  <c r="D259" i="81"/>
  <c r="E258" i="81"/>
  <c r="H256" i="81"/>
  <c r="F256" i="81"/>
  <c r="F255" i="81"/>
  <c r="F254" i="81"/>
  <c r="F253" i="81"/>
  <c r="D251" i="81"/>
  <c r="F250" i="81"/>
  <c r="H249" i="81"/>
  <c r="H248" i="81"/>
  <c r="F248" i="81"/>
  <c r="H247" i="81"/>
  <c r="F247" i="81"/>
  <c r="E247" i="81"/>
  <c r="F246" i="81"/>
  <c r="F245" i="81"/>
  <c r="F244" i="81"/>
  <c r="F243" i="81"/>
  <c r="H242" i="81"/>
  <c r="E242" i="81"/>
  <c r="F242" i="81" s="1"/>
  <c r="D242" i="81"/>
  <c r="F241" i="81"/>
  <c r="H240" i="81"/>
  <c r="F240" i="81"/>
  <c r="D240" i="81"/>
  <c r="F239" i="81"/>
  <c r="D239" i="81"/>
  <c r="F238" i="81"/>
  <c r="D238" i="81"/>
  <c r="H237" i="81"/>
  <c r="F237" i="81"/>
  <c r="D237" i="81"/>
  <c r="D208" i="81" s="1"/>
  <c r="H236" i="81"/>
  <c r="F236" i="81"/>
  <c r="D236" i="81"/>
  <c r="F235" i="81"/>
  <c r="F234" i="81"/>
  <c r="F233" i="81"/>
  <c r="F232" i="81"/>
  <c r="F231" i="81"/>
  <c r="H230" i="81"/>
  <c r="F230" i="81"/>
  <c r="H229" i="81"/>
  <c r="F229" i="81"/>
  <c r="H228" i="81"/>
  <c r="F228" i="81"/>
  <c r="H227" i="81"/>
  <c r="F227" i="81"/>
  <c r="H226" i="81"/>
  <c r="F226" i="81"/>
  <c r="F225" i="81"/>
  <c r="H224" i="81"/>
  <c r="F224" i="81"/>
  <c r="H223" i="81"/>
  <c r="F223" i="81"/>
  <c r="H222" i="81"/>
  <c r="F222" i="81"/>
  <c r="F221" i="81"/>
  <c r="H220" i="81"/>
  <c r="F220" i="81"/>
  <c r="F219" i="81"/>
  <c r="F218" i="81"/>
  <c r="H217" i="81"/>
  <c r="F217" i="81"/>
  <c r="F216" i="81"/>
  <c r="H215" i="81"/>
  <c r="F215" i="81"/>
  <c r="H214" i="81"/>
  <c r="F214" i="81"/>
  <c r="H213" i="81"/>
  <c r="F213" i="81"/>
  <c r="H212" i="81"/>
  <c r="F212" i="81"/>
  <c r="H211" i="81"/>
  <c r="F211" i="81"/>
  <c r="H210" i="81"/>
  <c r="F210" i="81"/>
  <c r="H209" i="81"/>
  <c r="F209" i="81"/>
  <c r="H208" i="81"/>
  <c r="H207" i="81"/>
  <c r="F207" i="81"/>
  <c r="F206" i="81"/>
  <c r="H205" i="81"/>
  <c r="F205" i="81"/>
  <c r="H204" i="81"/>
  <c r="F204" i="81"/>
  <c r="H203" i="81"/>
  <c r="F203" i="81"/>
  <c r="E203" i="81"/>
  <c r="D203" i="81"/>
  <c r="H202" i="81"/>
  <c r="F202" i="81"/>
  <c r="H201" i="81"/>
  <c r="F201" i="81"/>
  <c r="H200" i="81"/>
  <c r="F200" i="81"/>
  <c r="H199" i="81"/>
  <c r="F199" i="81"/>
  <c r="H198" i="81"/>
  <c r="F198" i="81"/>
  <c r="H197" i="81"/>
  <c r="F197" i="81"/>
  <c r="H196" i="81"/>
  <c r="F196" i="81"/>
  <c r="H195" i="81"/>
  <c r="F195" i="81"/>
  <c r="H194" i="81"/>
  <c r="F194" i="81"/>
  <c r="H193" i="81"/>
  <c r="F193" i="81"/>
  <c r="E193" i="81"/>
  <c r="D193" i="81"/>
  <c r="H192" i="81"/>
  <c r="F192" i="81"/>
  <c r="H191" i="81"/>
  <c r="F191" i="81"/>
  <c r="H190" i="81"/>
  <c r="F190" i="81"/>
  <c r="H189" i="81"/>
  <c r="F189" i="81"/>
  <c r="H188" i="81"/>
  <c r="F188" i="81"/>
  <c r="H187" i="81"/>
  <c r="F187" i="81"/>
  <c r="H186" i="81"/>
  <c r="F186" i="81"/>
  <c r="H185" i="81"/>
  <c r="F185" i="81"/>
  <c r="H184" i="81"/>
  <c r="F184" i="81"/>
  <c r="H183" i="81"/>
  <c r="F183" i="81"/>
  <c r="H182" i="81"/>
  <c r="F182" i="81"/>
  <c r="H181" i="81"/>
  <c r="F181" i="81"/>
  <c r="H180" i="81"/>
  <c r="F180" i="81"/>
  <c r="H179" i="81"/>
  <c r="F179" i="81"/>
  <c r="H178" i="81"/>
  <c r="F178" i="81"/>
  <c r="H177" i="81"/>
  <c r="F177" i="81"/>
  <c r="H176" i="81"/>
  <c r="F176" i="81"/>
  <c r="E176" i="81"/>
  <c r="H175" i="81"/>
  <c r="E175" i="81"/>
  <c r="F175" i="81" s="1"/>
  <c r="D175" i="81"/>
  <c r="F174" i="81"/>
  <c r="F173" i="81"/>
  <c r="H172" i="81"/>
  <c r="F172" i="81"/>
  <c r="F171" i="81"/>
  <c r="F170" i="81"/>
  <c r="H169" i="81"/>
  <c r="F169" i="81"/>
  <c r="F168" i="81"/>
  <c r="H167" i="81"/>
  <c r="F167" i="81"/>
  <c r="F166" i="81"/>
  <c r="H165" i="81"/>
  <c r="F165" i="81"/>
  <c r="H164" i="81"/>
  <c r="F164" i="81"/>
  <c r="D164" i="81"/>
  <c r="H163" i="81"/>
  <c r="F163" i="81"/>
  <c r="H162" i="81"/>
  <c r="E162" i="81"/>
  <c r="F162" i="81" s="1"/>
  <c r="H161" i="81"/>
  <c r="F161" i="81"/>
  <c r="H160" i="81"/>
  <c r="E160" i="81"/>
  <c r="F160" i="81" s="1"/>
  <c r="D160" i="81"/>
  <c r="H159" i="81"/>
  <c r="F159" i="81"/>
  <c r="H158" i="81"/>
  <c r="F158" i="81"/>
  <c r="D158" i="81"/>
  <c r="D152" i="81" s="1"/>
  <c r="D151" i="81" s="1"/>
  <c r="D9" i="81" s="1"/>
  <c r="H157" i="81"/>
  <c r="F157" i="81"/>
  <c r="H156" i="81"/>
  <c r="F156" i="81"/>
  <c r="H155" i="81"/>
  <c r="F155" i="81"/>
  <c r="H154" i="81"/>
  <c r="F154" i="81"/>
  <c r="H153" i="81"/>
  <c r="F153" i="81"/>
  <c r="D153" i="81"/>
  <c r="H152" i="81"/>
  <c r="H151" i="81"/>
  <c r="H9" i="81" s="1"/>
  <c r="H150" i="81"/>
  <c r="E150" i="81"/>
  <c r="F150" i="81" s="1"/>
  <c r="D150" i="81"/>
  <c r="D149" i="81"/>
  <c r="H148" i="81"/>
  <c r="F148" i="81"/>
  <c r="H147" i="81"/>
  <c r="F147" i="81"/>
  <c r="F146" i="81"/>
  <c r="F145" i="81"/>
  <c r="F144" i="81"/>
  <c r="H143" i="81"/>
  <c r="E143" i="81"/>
  <c r="F143" i="81" s="1"/>
  <c r="D143" i="81"/>
  <c r="F142" i="81"/>
  <c r="H141" i="81"/>
  <c r="F141" i="81"/>
  <c r="D141" i="81"/>
  <c r="F140" i="81"/>
  <c r="D140" i="81"/>
  <c r="F139" i="81"/>
  <c r="D139" i="81"/>
  <c r="H138" i="81"/>
  <c r="F138" i="81"/>
  <c r="D138" i="81"/>
  <c r="H137" i="81"/>
  <c r="F137" i="81"/>
  <c r="D137" i="81"/>
  <c r="D111" i="81" s="1"/>
  <c r="F136" i="81"/>
  <c r="F135" i="81"/>
  <c r="F134" i="81"/>
  <c r="F133" i="81"/>
  <c r="F132" i="81"/>
  <c r="H131" i="81"/>
  <c r="F131" i="81"/>
  <c r="H130" i="81"/>
  <c r="F130" i="81"/>
  <c r="H129" i="81"/>
  <c r="F129" i="81"/>
  <c r="H128" i="81"/>
  <c r="F128" i="81"/>
  <c r="H127" i="81"/>
  <c r="F127" i="81"/>
  <c r="F126" i="81"/>
  <c r="H125" i="81"/>
  <c r="F125" i="81"/>
  <c r="H124" i="81"/>
  <c r="F124" i="81"/>
  <c r="H123" i="81"/>
  <c r="F123" i="81"/>
  <c r="F122" i="81"/>
  <c r="H121" i="81"/>
  <c r="F121" i="81"/>
  <c r="F120" i="81"/>
  <c r="F119" i="81"/>
  <c r="H118" i="81"/>
  <c r="H111" i="81" s="1"/>
  <c r="F118" i="81"/>
  <c r="F117" i="81"/>
  <c r="H116" i="81"/>
  <c r="F116" i="81"/>
  <c r="H115" i="81"/>
  <c r="F115" i="81"/>
  <c r="H114" i="81"/>
  <c r="F114" i="81"/>
  <c r="H113" i="81"/>
  <c r="F113" i="81"/>
  <c r="H112" i="81"/>
  <c r="F112" i="81"/>
  <c r="H110" i="81"/>
  <c r="F110" i="81"/>
  <c r="F109" i="81"/>
  <c r="F108" i="81"/>
  <c r="H107" i="81"/>
  <c r="E107" i="81"/>
  <c r="F107" i="81" s="1"/>
  <c r="D107" i="81"/>
  <c r="H106" i="81"/>
  <c r="F106" i="81"/>
  <c r="H105" i="81"/>
  <c r="F105" i="81"/>
  <c r="D105" i="81"/>
  <c r="H104" i="81"/>
  <c r="F104" i="81"/>
  <c r="H103" i="81"/>
  <c r="F103" i="81"/>
  <c r="H102" i="81"/>
  <c r="E102" i="81"/>
  <c r="F102" i="81" s="1"/>
  <c r="H101" i="81"/>
  <c r="F101" i="81"/>
  <c r="H100" i="81"/>
  <c r="F100" i="81"/>
  <c r="D100" i="81"/>
  <c r="H99" i="81"/>
  <c r="F99" i="81"/>
  <c r="H98" i="81"/>
  <c r="F98" i="81"/>
  <c r="H97" i="81"/>
  <c r="H96" i="81" s="1"/>
  <c r="H95" i="81" s="1"/>
  <c r="H8" i="81" s="1"/>
  <c r="F97" i="81"/>
  <c r="D97" i="81"/>
  <c r="D96" i="81" s="1"/>
  <c r="D95" i="81" s="1"/>
  <c r="D8" i="81" s="1"/>
  <c r="H94" i="81"/>
  <c r="F94" i="81"/>
  <c r="E94" i="81"/>
  <c r="F93" i="81"/>
  <c r="F92" i="81"/>
  <c r="F91" i="81"/>
  <c r="F90" i="81"/>
  <c r="F89" i="81"/>
  <c r="F87" i="81"/>
  <c r="D86" i="81"/>
  <c r="H85" i="81"/>
  <c r="F85" i="81"/>
  <c r="F84" i="81"/>
  <c r="F83" i="81"/>
  <c r="H82" i="81"/>
  <c r="F82" i="81"/>
  <c r="E82" i="81"/>
  <c r="D82" i="81"/>
  <c r="F81" i="81"/>
  <c r="F80" i="81"/>
  <c r="H79" i="81"/>
  <c r="F79" i="81"/>
  <c r="E79" i="81"/>
  <c r="D79" i="81"/>
  <c r="H78" i="81"/>
  <c r="F78" i="81"/>
  <c r="D78" i="81"/>
  <c r="H77" i="81"/>
  <c r="F77" i="81"/>
  <c r="D77" i="81"/>
  <c r="H76" i="81"/>
  <c r="F76" i="81"/>
  <c r="D76" i="81"/>
  <c r="H75" i="81"/>
  <c r="F75" i="81"/>
  <c r="D75" i="81"/>
  <c r="D43" i="81" s="1"/>
  <c r="F74" i="81"/>
  <c r="F73" i="81"/>
  <c r="F72" i="81"/>
  <c r="F71" i="81"/>
  <c r="F70" i="81"/>
  <c r="H69" i="81"/>
  <c r="F69" i="81"/>
  <c r="H68" i="81"/>
  <c r="F68" i="81"/>
  <c r="H67" i="81"/>
  <c r="F67" i="81"/>
  <c r="H66" i="81"/>
  <c r="F66" i="81"/>
  <c r="H65" i="81"/>
  <c r="F65" i="81"/>
  <c r="F64" i="81"/>
  <c r="H63" i="81"/>
  <c r="F63" i="81"/>
  <c r="H62" i="81"/>
  <c r="F62" i="81"/>
  <c r="H61" i="81"/>
  <c r="F61" i="81"/>
  <c r="F60" i="81"/>
  <c r="F59" i="81"/>
  <c r="H58" i="81"/>
  <c r="F58" i="81"/>
  <c r="H57" i="81"/>
  <c r="F57" i="81"/>
  <c r="H56" i="81"/>
  <c r="F56" i="81"/>
  <c r="F55" i="81"/>
  <c r="F54" i="81"/>
  <c r="F43" i="81" s="1"/>
  <c r="F53" i="81"/>
  <c r="H52" i="81"/>
  <c r="F52" i="81"/>
  <c r="H51" i="81"/>
  <c r="F51" i="81"/>
  <c r="H50" i="81"/>
  <c r="F50" i="81"/>
  <c r="H49" i="81"/>
  <c r="F49" i="81"/>
  <c r="H48" i="81"/>
  <c r="F48" i="81"/>
  <c r="H47" i="81"/>
  <c r="F47" i="81"/>
  <c r="H46" i="81"/>
  <c r="F46" i="81"/>
  <c r="H45" i="81"/>
  <c r="F45" i="81"/>
  <c r="H44" i="81"/>
  <c r="F44" i="81"/>
  <c r="H43" i="81"/>
  <c r="E43" i="81"/>
  <c r="H42" i="81"/>
  <c r="F42" i="81"/>
  <c r="F41" i="81"/>
  <c r="H40" i="81"/>
  <c r="F40" i="81"/>
  <c r="F39" i="81"/>
  <c r="F38" i="81"/>
  <c r="H37" i="81"/>
  <c r="F37" i="81"/>
  <c r="H36" i="81"/>
  <c r="F36" i="81"/>
  <c r="D36" i="81"/>
  <c r="H35" i="81"/>
  <c r="E35" i="81"/>
  <c r="F35" i="81" s="1"/>
  <c r="F34" i="81"/>
  <c r="F33" i="81"/>
  <c r="H32" i="81"/>
  <c r="F32" i="81"/>
  <c r="H31" i="81"/>
  <c r="F31" i="81"/>
  <c r="F30" i="81"/>
  <c r="H29" i="81"/>
  <c r="F29" i="81"/>
  <c r="H28" i="81"/>
  <c r="E28" i="81"/>
  <c r="F28" i="81" s="1"/>
  <c r="H27" i="81"/>
  <c r="F27" i="81"/>
  <c r="D27" i="81"/>
  <c r="H26" i="81"/>
  <c r="F26" i="81"/>
  <c r="H25" i="81"/>
  <c r="E25" i="81"/>
  <c r="F25" i="81" s="1"/>
  <c r="H24" i="81"/>
  <c r="F24" i="81"/>
  <c r="H23" i="81"/>
  <c r="F23" i="81"/>
  <c r="H22" i="81"/>
  <c r="F22" i="81"/>
  <c r="E22" i="81"/>
  <c r="H21" i="81"/>
  <c r="F21" i="81"/>
  <c r="H20" i="81"/>
  <c r="F20" i="81"/>
  <c r="H19" i="81"/>
  <c r="F19" i="81"/>
  <c r="D19" i="81"/>
  <c r="H18" i="81"/>
  <c r="F18" i="81"/>
  <c r="H17" i="81"/>
  <c r="F17" i="81"/>
  <c r="E17" i="81"/>
  <c r="H16" i="81"/>
  <c r="F16" i="81"/>
  <c r="H15" i="81"/>
  <c r="E15" i="81"/>
  <c r="F15" i="81" s="1"/>
  <c r="D15" i="81"/>
  <c r="H14" i="81"/>
  <c r="F14" i="81"/>
  <c r="D14" i="81"/>
  <c r="D13" i="81"/>
  <c r="I9" i="81"/>
  <c r="D12" i="81" l="1"/>
  <c r="F96" i="81"/>
  <c r="H13" i="81"/>
  <c r="H12" i="81" s="1"/>
  <c r="E152" i="81"/>
  <c r="E208" i="81"/>
  <c r="F258" i="81"/>
  <c r="F257" i="81" s="1"/>
  <c r="F10" i="81" s="1"/>
  <c r="D258" i="81"/>
  <c r="D257" i="81" s="1"/>
  <c r="D10" i="81" s="1"/>
  <c r="H280" i="81"/>
  <c r="H257" i="81" s="1"/>
  <c r="H10" i="81" s="1"/>
  <c r="F280" i="81"/>
  <c r="E151" i="81"/>
  <c r="E9" i="81" s="1"/>
  <c r="J9" i="81" s="1"/>
  <c r="F208" i="81"/>
  <c r="F152" i="81"/>
  <c r="F111" i="81"/>
  <c r="F13" i="81"/>
  <c r="F12" i="81" s="1"/>
  <c r="F7" i="81" s="1"/>
  <c r="D23" i="82"/>
  <c r="D22" i="82"/>
  <c r="D24" i="82"/>
  <c r="P61" i="82"/>
  <c r="H7" i="81"/>
  <c r="H6" i="81"/>
  <c r="D7" i="81"/>
  <c r="D6" i="81"/>
  <c r="E13" i="81"/>
  <c r="E12" i="81" s="1"/>
  <c r="E96" i="81"/>
  <c r="E111" i="81"/>
  <c r="E280" i="81"/>
  <c r="E257" i="81" s="1"/>
  <c r="E10" i="81" s="1"/>
  <c r="F95" i="81" l="1"/>
  <c r="F8" i="81" s="1"/>
  <c r="E95" i="81"/>
  <c r="E8" i="81" s="1"/>
  <c r="J8" i="81" s="1"/>
  <c r="F151" i="81"/>
  <c r="F9" i="81" s="1"/>
  <c r="E7" i="81"/>
  <c r="J7" i="81" s="1"/>
  <c r="E6" i="81"/>
  <c r="Y7" i="1"/>
  <c r="J7" i="1"/>
  <c r="I7" i="1"/>
  <c r="H7" i="1"/>
  <c r="F20" i="6"/>
  <c r="A3" i="3"/>
  <c r="A122" i="80"/>
  <c r="A120" i="80"/>
  <c r="H111" i="80"/>
  <c r="D126" i="80" s="1"/>
  <c r="D127" i="80" s="1"/>
  <c r="E111" i="80"/>
  <c r="H112" i="80" s="1"/>
  <c r="E109" i="80"/>
  <c r="A124" i="80" s="1"/>
  <c r="E107" i="80"/>
  <c r="H106" i="80"/>
  <c r="H103" i="80" s="1"/>
  <c r="D120" i="80" s="1"/>
  <c r="H105" i="80"/>
  <c r="H104" i="80"/>
  <c r="D101" i="80"/>
  <c r="C101" i="80"/>
  <c r="C91" i="80"/>
  <c r="E90" i="80"/>
  <c r="D89" i="80"/>
  <c r="C89" i="80" s="1"/>
  <c r="C87" i="80" s="1"/>
  <c r="H77" i="80"/>
  <c r="D77" i="80"/>
  <c r="C76" i="80"/>
  <c r="F59" i="80"/>
  <c r="E59" i="80"/>
  <c r="N55" i="80" s="1"/>
  <c r="F56" i="80"/>
  <c r="O55" i="80"/>
  <c r="K55" i="80"/>
  <c r="J55" i="80"/>
  <c r="I55" i="80"/>
  <c r="F55" i="80"/>
  <c r="O53" i="80" s="1"/>
  <c r="O54" i="80"/>
  <c r="N54" i="80"/>
  <c r="N53" i="80"/>
  <c r="K49" i="80"/>
  <c r="E48" i="80"/>
  <c r="N52" i="80" s="1"/>
  <c r="D48" i="80"/>
  <c r="M52" i="80" s="1"/>
  <c r="F33" i="80"/>
  <c r="D27" i="80"/>
  <c r="C25" i="80"/>
  <c r="C24" i="80"/>
  <c r="D17" i="80"/>
  <c r="C17" i="80"/>
  <c r="L4" i="80"/>
  <c r="K4" i="80"/>
  <c r="H1" i="80"/>
  <c r="F38" i="79"/>
  <c r="E37" i="79"/>
  <c r="F36" i="79"/>
  <c r="F35" i="79"/>
  <c r="F21" i="79"/>
  <c r="F40" i="79" s="1"/>
  <c r="F20" i="79"/>
  <c r="F39" i="79" s="1"/>
  <c r="C19" i="79"/>
  <c r="E10" i="79"/>
  <c r="E9" i="79"/>
  <c r="C8" i="79"/>
  <c r="F7" i="79"/>
  <c r="O3" i="78"/>
  <c r="O4" i="78"/>
  <c r="O5" i="78"/>
  <c r="O6" i="78"/>
  <c r="O7" i="78"/>
  <c r="O8" i="78"/>
  <c r="O9" i="78"/>
  <c r="O10" i="78"/>
  <c r="G46" i="39" s="1"/>
  <c r="O11" i="78"/>
  <c r="O12" i="78"/>
  <c r="O13" i="78"/>
  <c r="O14" i="78"/>
  <c r="I46" i="39" s="1"/>
  <c r="O15" i="78"/>
  <c r="O16" i="78"/>
  <c r="O17" i="78"/>
  <c r="O18" i="78"/>
  <c r="O19" i="78"/>
  <c r="O20" i="78"/>
  <c r="O2" i="78"/>
  <c r="Y6" i="1"/>
  <c r="F9" i="77"/>
  <c r="F19" i="6"/>
  <c r="I38" i="39"/>
  <c r="G38" i="39"/>
  <c r="E38" i="39"/>
  <c r="C38" i="39"/>
  <c r="I7" i="39"/>
  <c r="G7" i="39"/>
  <c r="E7" i="39"/>
  <c r="I5" i="39"/>
  <c r="G5" i="39"/>
  <c r="E5" i="39"/>
  <c r="E9" i="77"/>
  <c r="D11" i="77"/>
  <c r="F10" i="77" s="1"/>
  <c r="D12" i="77"/>
  <c r="E2" i="79"/>
  <c r="A126" i="80" l="1"/>
  <c r="C18" i="80"/>
  <c r="D18" i="80" s="1"/>
  <c r="F6" i="81"/>
  <c r="K120" i="80"/>
  <c r="D121" i="80"/>
  <c r="C92" i="80"/>
  <c r="C94" i="80"/>
  <c r="H109" i="80"/>
  <c r="C21" i="79"/>
  <c r="C40" i="79"/>
  <c r="AH5" i="71"/>
  <c r="AG5" i="71"/>
  <c r="AE5" i="71"/>
  <c r="AF5" i="71" s="1"/>
  <c r="AD5" i="71"/>
  <c r="Q5" i="71"/>
  <c r="P5" i="71"/>
  <c r="O5" i="71"/>
  <c r="N5" i="71"/>
  <c r="F12" i="77" l="1"/>
  <c r="D124" i="80"/>
  <c r="D125" i="80" s="1"/>
  <c r="H110" i="80"/>
  <c r="AH6" i="71"/>
  <c r="AG6" i="71"/>
  <c r="AE6" i="71"/>
  <c r="AF6" i="71" s="1"/>
  <c r="AD6" i="71"/>
  <c r="Q6" i="71"/>
  <c r="P6" i="71"/>
  <c r="O6" i="71"/>
  <c r="N6" i="71"/>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P9" i="71"/>
  <c r="O9" i="71"/>
  <c r="N9"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P10" i="71"/>
  <c r="O10" i="71"/>
  <c r="N10" i="71"/>
  <c r="AH11" i="71" l="1"/>
  <c r="AG11" i="71"/>
  <c r="AE11" i="71"/>
  <c r="AF11" i="71" s="1"/>
  <c r="AD11" i="71"/>
  <c r="Q11" i="71"/>
  <c r="P11" i="71"/>
  <c r="O11" i="71"/>
  <c r="N11" i="71"/>
  <c r="Q13" i="71" l="1"/>
  <c r="P13" i="71"/>
  <c r="O13" i="71"/>
  <c r="N13" i="71"/>
  <c r="AH12" i="71"/>
  <c r="AG12" i="71"/>
  <c r="AE12" i="71"/>
  <c r="AF12" i="71"/>
  <c r="AD12" i="71"/>
  <c r="Q12" i="71"/>
  <c r="P12" i="71"/>
  <c r="O12" i="71"/>
  <c r="N12" i="71"/>
  <c r="AH13" i="71"/>
  <c r="AG13" i="71"/>
  <c r="AE13" i="71"/>
  <c r="AF13" i="71" s="1"/>
  <c r="AD13" i="71"/>
  <c r="Q14" i="71"/>
  <c r="Q15" i="71"/>
  <c r="P14" i="71"/>
  <c r="P15" i="71"/>
  <c r="O14" i="71"/>
  <c r="O15" i="71"/>
  <c r="N14" i="71"/>
  <c r="N15" i="71"/>
  <c r="AH14" i="71"/>
  <c r="AG14" i="71"/>
  <c r="AE14" i="71"/>
  <c r="AF14" i="71" s="1"/>
  <c r="AD14" i="71"/>
  <c r="F24" i="12"/>
  <c r="F7" i="69"/>
  <c r="F7" i="68"/>
  <c r="M15" i="45"/>
  <c r="L15" i="45"/>
  <c r="K15" i="45"/>
  <c r="J15" i="45"/>
  <c r="I15" i="45"/>
  <c r="H15" i="45"/>
  <c r="G15" i="45"/>
  <c r="F15" i="45"/>
  <c r="E15" i="45"/>
  <c r="D15" i="45"/>
  <c r="C15" i="45"/>
  <c r="B15" i="45"/>
  <c r="AH15" i="71"/>
  <c r="AG15" i="71"/>
  <c r="AE15" i="71"/>
  <c r="AF15" i="71" s="1"/>
  <c r="AD15" i="71"/>
  <c r="AD16" i="71"/>
  <c r="AH16" i="71"/>
  <c r="AG16" i="71"/>
  <c r="AE16" i="71"/>
  <c r="AF16" i="71" s="1"/>
  <c r="Q16" i="71"/>
  <c r="P16" i="71"/>
  <c r="O16" i="71"/>
  <c r="N16" i="71"/>
  <c r="L3" i="71"/>
  <c r="AH3" i="71" s="1"/>
  <c r="K3" i="71"/>
  <c r="AG3" i="71" s="1"/>
  <c r="J3" i="71"/>
  <c r="AE3" i="71" s="1"/>
  <c r="I3" i="71"/>
  <c r="AH17" i="71"/>
  <c r="AG17" i="71"/>
  <c r="AE17" i="71"/>
  <c r="AF17" i="71" s="1"/>
  <c r="AD17" i="71"/>
  <c r="Q17" i="71"/>
  <c r="Q18" i="71"/>
  <c r="P17" i="71"/>
  <c r="P18" i="71"/>
  <c r="O17" i="71"/>
  <c r="O18" i="71"/>
  <c r="N17" i="71"/>
  <c r="N18" i="71"/>
  <c r="N19" i="71"/>
  <c r="AH18" i="71"/>
  <c r="AG18" i="71"/>
  <c r="AE18" i="71"/>
  <c r="AF18" i="71" s="1"/>
  <c r="AD18" i="71"/>
  <c r="Q19" i="71"/>
  <c r="P19" i="71"/>
  <c r="O19" i="71"/>
  <c r="M19" i="43"/>
  <c r="D21" i="71"/>
  <c r="AH19" i="71"/>
  <c r="AG19" i="71"/>
  <c r="AE19" i="71"/>
  <c r="AF19" i="71" s="1"/>
  <c r="AD19" i="71"/>
  <c r="AD20" i="71"/>
  <c r="AG20" i="71"/>
  <c r="AH20" i="71"/>
  <c r="AE20" i="71"/>
  <c r="AF20" i="71" s="1"/>
  <c r="N20" i="71"/>
  <c r="B20" i="71" s="1"/>
  <c r="B19" i="71" s="1"/>
  <c r="Q20" i="71"/>
  <c r="P20" i="71"/>
  <c r="E20" i="71" s="1"/>
  <c r="O20" i="71"/>
  <c r="C20" i="71"/>
  <c r="C19" i="71" s="1"/>
  <c r="Q21" i="71"/>
  <c r="F20" i="71"/>
  <c r="F19" i="71" s="1"/>
  <c r="P21" i="71"/>
  <c r="E19" i="71"/>
  <c r="O21" i="71"/>
  <c r="N21" i="71"/>
  <c r="V20" i="71"/>
  <c r="A2" i="53"/>
  <c r="K59" i="67"/>
  <c r="P61" i="67" s="1"/>
  <c r="K59" i="15"/>
  <c r="P74" i="15" s="1"/>
  <c r="D116" i="39"/>
  <c r="E116" i="39"/>
  <c r="F116" i="39"/>
  <c r="G116" i="39"/>
  <c r="H116" i="39"/>
  <c r="I116" i="39"/>
  <c r="J116" i="39"/>
  <c r="K116" i="39"/>
  <c r="L116" i="39"/>
  <c r="M116" i="39"/>
  <c r="C116" i="39"/>
  <c r="A21" i="62"/>
  <c r="A20" i="62"/>
  <c r="B66" i="72" s="1"/>
  <c r="A22" i="51"/>
  <c r="A21" i="51"/>
  <c r="B16" i="72" s="1"/>
  <c r="A20" i="51"/>
  <c r="A14" i="62"/>
  <c r="B60" i="72" s="1"/>
  <c r="A13" i="62"/>
  <c r="B59" i="72" s="1"/>
  <c r="A19" i="62"/>
  <c r="A12" i="62"/>
  <c r="B58" i="72" s="1"/>
  <c r="A120" i="9"/>
  <c r="A6" i="52" s="1"/>
  <c r="B57" i="72" s="1"/>
  <c r="H2" i="52"/>
  <c r="A1" i="52"/>
  <c r="A3" i="53"/>
  <c r="Q22" i="71"/>
  <c r="P22" i="71"/>
  <c r="O22" i="71"/>
  <c r="N22" i="71"/>
  <c r="A15" i="51"/>
  <c r="B12" i="72" s="1"/>
  <c r="C76" i="9"/>
  <c r="I107" i="40"/>
  <c r="K6" i="4"/>
  <c r="B22" i="31"/>
  <c r="N56" i="9"/>
  <c r="M56" i="9"/>
  <c r="K56" i="9"/>
  <c r="E18" i="74"/>
  <c r="F18" i="74"/>
  <c r="E19" i="74"/>
  <c r="F19" i="74"/>
  <c r="E20" i="74"/>
  <c r="F20" i="74"/>
  <c r="E21" i="74"/>
  <c r="F21" i="74"/>
  <c r="E22" i="74"/>
  <c r="F22" i="74"/>
  <c r="E23" i="74"/>
  <c r="F23" i="74"/>
  <c r="B3" i="74"/>
  <c r="C91" i="9"/>
  <c r="B8" i="72"/>
  <c r="O23" i="71"/>
  <c r="P23" i="71"/>
  <c r="Q23" i="71"/>
  <c r="N23" i="71"/>
  <c r="AD21" i="71"/>
  <c r="AE21" i="71"/>
  <c r="AF21" i="71" s="1"/>
  <c r="AG21" i="71"/>
  <c r="AH21" i="71"/>
  <c r="AD22" i="71"/>
  <c r="AE22" i="71"/>
  <c r="AF22" i="71" s="1"/>
  <c r="AG22" i="71"/>
  <c r="AH22" i="71"/>
  <c r="AD23" i="71"/>
  <c r="AE23" i="71"/>
  <c r="AF23" i="71" s="1"/>
  <c r="AG23" i="71"/>
  <c r="AH23" i="71"/>
  <c r="AD24" i="71"/>
  <c r="AE24" i="71"/>
  <c r="AF24" i="71"/>
  <c r="AG24" i="71"/>
  <c r="AH24"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s="1"/>
  <c r="AG29" i="71"/>
  <c r="AH29" i="71"/>
  <c r="AD30" i="71"/>
  <c r="AE30" i="71"/>
  <c r="AF30" i="71" s="1"/>
  <c r="AG30" i="71"/>
  <c r="AH30" i="71"/>
  <c r="AD31" i="71"/>
  <c r="AE31" i="71"/>
  <c r="AF31" i="71" s="1"/>
  <c r="AG31" i="71"/>
  <c r="AH31" i="71"/>
  <c r="AD32" i="71"/>
  <c r="AE32" i="71"/>
  <c r="AF32" i="71"/>
  <c r="AG32" i="71"/>
  <c r="AH32" i="71"/>
  <c r="AD33" i="71"/>
  <c r="AE33" i="71"/>
  <c r="AF33" i="71" s="1"/>
  <c r="AG33" i="71"/>
  <c r="AH33" i="71"/>
  <c r="AD34" i="71"/>
  <c r="AE34" i="71"/>
  <c r="AF34" i="71" s="1"/>
  <c r="AG34" i="71"/>
  <c r="AH34" i="71"/>
  <c r="AH35" i="71"/>
  <c r="AG35" i="71"/>
  <c r="AE35" i="71"/>
  <c r="AF35" i="71" s="1"/>
  <c r="AD35" i="71"/>
  <c r="AD36" i="71"/>
  <c r="AE36" i="71"/>
  <c r="AF36" i="71" s="1"/>
  <c r="AG36" i="71"/>
  <c r="AH36" i="71"/>
  <c r="S2" i="31"/>
  <c r="M2" i="31"/>
  <c r="N2" i="31"/>
  <c r="O2" i="31"/>
  <c r="P2" i="31"/>
  <c r="Q2" i="31"/>
  <c r="R2" i="31"/>
  <c r="C1" i="73"/>
  <c r="L1" i="73" s="1"/>
  <c r="B74" i="72"/>
  <c r="Y12" i="43"/>
  <c r="Y10" i="43"/>
  <c r="AJ9" i="43"/>
  <c r="AJ12" i="43" s="1"/>
  <c r="AI9" i="43"/>
  <c r="AH9" i="43"/>
  <c r="AG9" i="43"/>
  <c r="AF9" i="43"/>
  <c r="AF12" i="43" s="1"/>
  <c r="AE9" i="43"/>
  <c r="AE12" i="43" s="1"/>
  <c r="AD9" i="43"/>
  <c r="AC9" i="43"/>
  <c r="AB9" i="43"/>
  <c r="AB12" i="43" s="1"/>
  <c r="AA9" i="43"/>
  <c r="AA12" i="43" s="1"/>
  <c r="Z9" i="43"/>
  <c r="AA10" i="43"/>
  <c r="AB10" i="43"/>
  <c r="AF10" i="43"/>
  <c r="AJ10" i="43"/>
  <c r="K49" i="9"/>
  <c r="E107" i="9"/>
  <c r="A122" i="9" s="1"/>
  <c r="A8" i="52" s="1"/>
  <c r="E111" i="9"/>
  <c r="A126" i="9" s="1"/>
  <c r="A12" i="52" s="1"/>
  <c r="B56" i="72" s="1"/>
  <c r="E109" i="9"/>
  <c r="A124" i="9" s="1"/>
  <c r="A10" i="52" s="1"/>
  <c r="B55" i="72" s="1"/>
  <c r="B44" i="72"/>
  <c r="B42" i="72"/>
  <c r="B69" i="72"/>
  <c r="B68" i="72"/>
  <c r="B63" i="72"/>
  <c r="B62" i="72"/>
  <c r="B65" i="72"/>
  <c r="B67" i="72"/>
  <c r="B10" i="72"/>
  <c r="C53" i="10"/>
  <c r="B51" i="10"/>
  <c r="B19" i="72"/>
  <c r="A18" i="51"/>
  <c r="B13" i="72" s="1"/>
  <c r="C8" i="68"/>
  <c r="B49" i="48"/>
  <c r="B5" i="72" s="1"/>
  <c r="I19" i="43"/>
  <c r="D85" i="71"/>
  <c r="F84" i="71"/>
  <c r="F83" i="71" s="1"/>
  <c r="E84" i="71"/>
  <c r="E83" i="71" s="1"/>
  <c r="E82" i="71" s="1"/>
  <c r="C84" i="71"/>
  <c r="B84" i="71"/>
  <c r="B83" i="71" s="1"/>
  <c r="F82" i="71"/>
  <c r="B82" i="71"/>
  <c r="D81" i="71"/>
  <c r="F80" i="71"/>
  <c r="F79" i="71" s="1"/>
  <c r="E80" i="71"/>
  <c r="E79" i="71" s="1"/>
  <c r="E78" i="71" s="1"/>
  <c r="C80" i="71"/>
  <c r="B80" i="71"/>
  <c r="B79" i="71" s="1"/>
  <c r="F78" i="71"/>
  <c r="B78" i="71"/>
  <c r="D77" i="71"/>
  <c r="Q76" i="71"/>
  <c r="P76" i="71"/>
  <c r="O76" i="71"/>
  <c r="N76" i="71"/>
  <c r="F76" i="71"/>
  <c r="V76" i="71" s="1"/>
  <c r="E76" i="7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C72" i="71"/>
  <c r="B72" i="71"/>
  <c r="S72" i="71" s="1"/>
  <c r="Q71" i="71"/>
  <c r="P71" i="71"/>
  <c r="O71" i="71"/>
  <c r="N71" i="71"/>
  <c r="F71" i="71"/>
  <c r="F70" i="71" s="1"/>
  <c r="B71" i="71"/>
  <c r="B70" i="71" s="1"/>
  <c r="Q70" i="71"/>
  <c r="P70" i="71"/>
  <c r="O70" i="71"/>
  <c r="N70" i="71"/>
  <c r="Q69" i="71"/>
  <c r="P69" i="71"/>
  <c r="O69" i="71"/>
  <c r="N69" i="71"/>
  <c r="D69" i="71"/>
  <c r="Q68" i="71"/>
  <c r="P68" i="71"/>
  <c r="O68" i="71"/>
  <c r="N68" i="71"/>
  <c r="F68" i="71"/>
  <c r="V68" i="71" s="1"/>
  <c r="E68" i="71"/>
  <c r="C68" i="71"/>
  <c r="T68" i="71" s="1"/>
  <c r="B68" i="71"/>
  <c r="S68" i="71" s="1"/>
  <c r="Q67" i="71"/>
  <c r="P67" i="71"/>
  <c r="O67" i="71"/>
  <c r="N67" i="71"/>
  <c r="F67" i="71"/>
  <c r="F66" i="71" s="1"/>
  <c r="B67" i="71"/>
  <c r="B66" i="71" s="1"/>
  <c r="Q66" i="71"/>
  <c r="P66" i="71"/>
  <c r="O66" i="71"/>
  <c r="N66" i="71"/>
  <c r="Q65" i="71"/>
  <c r="P65" i="71"/>
  <c r="O65" i="71"/>
  <c r="N65" i="71"/>
  <c r="D65" i="71"/>
  <c r="F64" i="71"/>
  <c r="E64" i="71"/>
  <c r="C64" i="71"/>
  <c r="B64" i="71"/>
  <c r="F63" i="7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c r="E55" i="71" s="1"/>
  <c r="O53" i="71"/>
  <c r="C54" i="71"/>
  <c r="C55" i="71" s="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c r="O49" i="71"/>
  <c r="C50" i="71" s="1"/>
  <c r="N49" i="71"/>
  <c r="B50" i="71" s="1"/>
  <c r="B51" i="71" s="1"/>
  <c r="B52" i="71" s="1"/>
  <c r="S52" i="71" s="1"/>
  <c r="D49" i="71"/>
  <c r="Q48" i="71"/>
  <c r="P48" i="71"/>
  <c r="O48" i="71"/>
  <c r="N48" i="71"/>
  <c r="Q47" i="71"/>
  <c r="P47" i="71"/>
  <c r="O47" i="71"/>
  <c r="N47" i="71"/>
  <c r="Q46" i="71"/>
  <c r="P46" i="71"/>
  <c r="O46" i="71"/>
  <c r="N46" i="71"/>
  <c r="Q45" i="71"/>
  <c r="F46" i="71" s="1"/>
  <c r="F47" i="71" s="1"/>
  <c r="F48" i="71" s="1"/>
  <c r="V48" i="71" s="1"/>
  <c r="P45" i="71"/>
  <c r="E46" i="71" s="1"/>
  <c r="E47" i="71" s="1"/>
  <c r="E48" i="71" s="1"/>
  <c r="U48" i="71" s="1"/>
  <c r="O45" i="71"/>
  <c r="C46" i="71" s="1"/>
  <c r="C47" i="71" s="1"/>
  <c r="N45" i="71"/>
  <c r="B46" i="71" s="1"/>
  <c r="B47" i="71" s="1"/>
  <c r="B48" i="71" s="1"/>
  <c r="S48" i="71" s="1"/>
  <c r="D45" i="71"/>
  <c r="T44" i="71"/>
  <c r="Q44" i="71"/>
  <c r="P44" i="71"/>
  <c r="O44" i="71"/>
  <c r="N44" i="71"/>
  <c r="D44" i="71"/>
  <c r="Q43" i="71"/>
  <c r="P43" i="71"/>
  <c r="O43" i="71"/>
  <c r="N43" i="71"/>
  <c r="Q42" i="71"/>
  <c r="P42" i="71"/>
  <c r="O42" i="71"/>
  <c r="N42" i="71"/>
  <c r="Q41" i="71"/>
  <c r="F42" i="71" s="1"/>
  <c r="F43" i="71" s="1"/>
  <c r="F44" i="71" s="1"/>
  <c r="V44" i="71" s="1"/>
  <c r="P41" i="71"/>
  <c r="E42" i="71" s="1"/>
  <c r="E43" i="71" s="1"/>
  <c r="E44" i="71" s="1"/>
  <c r="U44" i="71" s="1"/>
  <c r="O41" i="71"/>
  <c r="C42" i="71"/>
  <c r="C43" i="71" s="1"/>
  <c r="D43" i="71" s="1"/>
  <c r="N41" i="71"/>
  <c r="B42" i="7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E39" i="71" s="1"/>
  <c r="E40" i="71" s="1"/>
  <c r="U40" i="71" s="1"/>
  <c r="O37" i="71"/>
  <c r="C38" i="71" s="1"/>
  <c r="C39" i="71" s="1"/>
  <c r="C40" i="71" s="1"/>
  <c r="N37" i="71"/>
  <c r="B38" i="71" s="1"/>
  <c r="B39" i="71" s="1"/>
  <c r="B40" i="71" s="1"/>
  <c r="S40" i="71" s="1"/>
  <c r="D37" i="71"/>
  <c r="Q36" i="71"/>
  <c r="P36" i="71"/>
  <c r="O36" i="71"/>
  <c r="N36" i="71"/>
  <c r="Q35" i="71"/>
  <c r="AB35" i="71" s="1"/>
  <c r="P35" i="71"/>
  <c r="AA35" i="71" s="1"/>
  <c r="O35" i="71"/>
  <c r="N35" i="71"/>
  <c r="X35" i="71" s="1"/>
  <c r="Q34" i="71"/>
  <c r="AB34" i="71" s="1"/>
  <c r="P34" i="71"/>
  <c r="AA34" i="71" s="1"/>
  <c r="O34" i="71"/>
  <c r="N34" i="71"/>
  <c r="Q33" i="71"/>
  <c r="P33" i="71"/>
  <c r="O33" i="71"/>
  <c r="N33" i="71"/>
  <c r="B34" i="71" s="1"/>
  <c r="B35" i="71" s="1"/>
  <c r="D33" i="71"/>
  <c r="Q32" i="71"/>
  <c r="P32" i="71"/>
  <c r="O32" i="71"/>
  <c r="N32" i="71"/>
  <c r="Q31" i="71"/>
  <c r="AB31" i="71" s="1"/>
  <c r="P31" i="71"/>
  <c r="O31" i="71"/>
  <c r="N31" i="71"/>
  <c r="Q30" i="71"/>
  <c r="P30" i="71"/>
  <c r="O30" i="71"/>
  <c r="Y30" i="71"/>
  <c r="Z30" i="71" s="1"/>
  <c r="N30" i="71"/>
  <c r="Q29" i="71"/>
  <c r="F30" i="71" s="1"/>
  <c r="F31" i="71" s="1"/>
  <c r="F32" i="71" s="1"/>
  <c r="V32" i="71" s="1"/>
  <c r="P29" i="71"/>
  <c r="O29" i="71"/>
  <c r="N29" i="71"/>
  <c r="D29" i="71"/>
  <c r="Q28" i="71"/>
  <c r="P28" i="71"/>
  <c r="AA28" i="71" s="1"/>
  <c r="O28" i="71"/>
  <c r="Y28" i="71"/>
  <c r="Z28" i="71" s="1"/>
  <c r="N28" i="71"/>
  <c r="Q27" i="71"/>
  <c r="P27" i="71"/>
  <c r="O27" i="71"/>
  <c r="N27" i="71"/>
  <c r="Q26" i="71"/>
  <c r="P26" i="71"/>
  <c r="O26" i="71"/>
  <c r="N26" i="71"/>
  <c r="Q25" i="71"/>
  <c r="F26" i="71" s="1"/>
  <c r="F27" i="71" s="1"/>
  <c r="P25" i="71"/>
  <c r="E26" i="71" s="1"/>
  <c r="O25" i="71"/>
  <c r="N25" i="71"/>
  <c r="D25" i="71"/>
  <c r="O24" i="71"/>
  <c r="C24" i="71" s="1"/>
  <c r="N24" i="71"/>
  <c r="B26" i="71"/>
  <c r="B27" i="71" s="1"/>
  <c r="B30" i="71"/>
  <c r="B31" i="71" s="1"/>
  <c r="E34" i="71"/>
  <c r="AA33" i="71"/>
  <c r="N64" i="71"/>
  <c r="E30" i="71"/>
  <c r="C26" i="71"/>
  <c r="AA27" i="71"/>
  <c r="X32" i="71"/>
  <c r="C34" i="71"/>
  <c r="D34" i="71" s="1"/>
  <c r="X34" i="71"/>
  <c r="B24" i="71"/>
  <c r="C35" i="71"/>
  <c r="D38" i="71"/>
  <c r="D42" i="71"/>
  <c r="D46" i="71"/>
  <c r="P24" i="71"/>
  <c r="E51" i="71"/>
  <c r="E52" i="71" s="1"/>
  <c r="U52" i="71" s="1"/>
  <c r="E56" i="71"/>
  <c r="U56" i="71" s="1"/>
  <c r="U64" i="71"/>
  <c r="Q24" i="71"/>
  <c r="D54" i="71"/>
  <c r="C67" i="71"/>
  <c r="D68" i="71"/>
  <c r="C75" i="71"/>
  <c r="D76" i="71"/>
  <c r="F24" i="71"/>
  <c r="F23" i="71" s="1"/>
  <c r="F22" i="71" s="1"/>
  <c r="E24" i="71"/>
  <c r="AA21" i="71"/>
  <c r="D75" i="71"/>
  <c r="C74" i="71"/>
  <c r="D74" i="71" s="1"/>
  <c r="D67" i="71"/>
  <c r="C66" i="71"/>
  <c r="D66" i="71" s="1"/>
  <c r="C56" i="71"/>
  <c r="D55" i="71"/>
  <c r="C48" i="71"/>
  <c r="D47" i="71"/>
  <c r="D39" i="71"/>
  <c r="D35" i="71"/>
  <c r="V24" i="71"/>
  <c r="T48" i="71"/>
  <c r="D48" i="71"/>
  <c r="T56" i="71"/>
  <c r="D56"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Q18" i="36"/>
  <c r="Z18" i="36" s="1"/>
  <c r="D66" i="36"/>
  <c r="E66" i="36" s="1"/>
  <c r="F66" i="36" s="1"/>
  <c r="G66" i="36" s="1"/>
  <c r="H18" i="36"/>
  <c r="AB18" i="36"/>
  <c r="F18" i="36"/>
  <c r="AA18" i="36" s="1"/>
  <c r="C18" i="36"/>
  <c r="Q18" i="35"/>
  <c r="Z18" i="35" s="1"/>
  <c r="D68" i="35"/>
  <c r="E68" i="35" s="1"/>
  <c r="F18" i="35"/>
  <c r="C18" i="35"/>
  <c r="Q21" i="37"/>
  <c r="Z21" i="37" s="1"/>
  <c r="D77" i="37"/>
  <c r="E77" i="37"/>
  <c r="F77" i="37" s="1"/>
  <c r="G77" i="37" s="1"/>
  <c r="C21" i="37"/>
  <c r="Z21" i="34"/>
  <c r="Q21" i="34"/>
  <c r="D84" i="34"/>
  <c r="E84" i="34" s="1"/>
  <c r="F84" i="34" s="1"/>
  <c r="G84" i="34" s="1"/>
  <c r="F21" i="34"/>
  <c r="AA21" i="34" s="1"/>
  <c r="C21" i="34"/>
  <c r="Q21" i="33"/>
  <c r="Z21" i="33" s="1"/>
  <c r="D83" i="33"/>
  <c r="E83" i="33" s="1"/>
  <c r="F83" i="33" s="1"/>
  <c r="G83" i="33" s="1"/>
  <c r="C21" i="33"/>
  <c r="C21" i="21"/>
  <c r="Q21" i="21"/>
  <c r="Z21" i="21" s="1"/>
  <c r="H19" i="21"/>
  <c r="D83" i="21"/>
  <c r="F21" i="21"/>
  <c r="D81" i="21"/>
  <c r="G20" i="20"/>
  <c r="C22" i="20"/>
  <c r="B55" i="43"/>
  <c r="S25" i="40"/>
  <c r="S18" i="36"/>
  <c r="U18" i="36"/>
  <c r="S21" i="34"/>
  <c r="H25" i="40"/>
  <c r="J25" i="40"/>
  <c r="AC25" i="40" s="1"/>
  <c r="H29" i="39"/>
  <c r="J29" i="39"/>
  <c r="AC29" i="39" s="1"/>
  <c r="J18" i="36"/>
  <c r="F68" i="35"/>
  <c r="G68" i="35" s="1"/>
  <c r="H18" i="35"/>
  <c r="J18" i="35"/>
  <c r="AC18" i="35" s="1"/>
  <c r="H21" i="37"/>
  <c r="AB21" i="37" s="1"/>
  <c r="F21" i="37"/>
  <c r="S21" i="37" s="1"/>
  <c r="H21" i="34"/>
  <c r="U21" i="34" s="1"/>
  <c r="H21" i="33"/>
  <c r="AB21" i="33" s="1"/>
  <c r="F21" i="33"/>
  <c r="S21" i="33" s="1"/>
  <c r="E83" i="21"/>
  <c r="F83" i="21" s="1"/>
  <c r="G83" i="21" s="1"/>
  <c r="H1" i="69"/>
  <c r="W25" i="40"/>
  <c r="AB29" i="39"/>
  <c r="U29" i="39"/>
  <c r="W29" i="39"/>
  <c r="AC18" i="36"/>
  <c r="W18" i="36"/>
  <c r="U21" i="37"/>
  <c r="AA21" i="37"/>
  <c r="AB21" i="34"/>
  <c r="U21" i="33"/>
  <c r="AA21" i="33"/>
  <c r="AB18" i="35"/>
  <c r="U18" i="35"/>
  <c r="W18" i="35"/>
  <c r="J21" i="37"/>
  <c r="W21" i="37" s="1"/>
  <c r="J21" i="34"/>
  <c r="J21" i="33"/>
  <c r="H21" i="21"/>
  <c r="AB21" i="21" s="1"/>
  <c r="F38" i="69"/>
  <c r="E37" i="69"/>
  <c r="F36" i="69"/>
  <c r="F35" i="69"/>
  <c r="F21" i="69"/>
  <c r="F40" i="69" s="1"/>
  <c r="F20" i="69"/>
  <c r="F39" i="69" s="1"/>
  <c r="E10" i="69"/>
  <c r="E9" i="69"/>
  <c r="C7" i="69"/>
  <c r="AC21" i="37"/>
  <c r="J21" i="21"/>
  <c r="F38" i="68"/>
  <c r="E37" i="68"/>
  <c r="F36" i="68"/>
  <c r="F35" i="68"/>
  <c r="F21" i="68"/>
  <c r="F40" i="68" s="1"/>
  <c r="F20" i="68"/>
  <c r="F39" i="68" s="1"/>
  <c r="E10" i="68"/>
  <c r="E9" i="68"/>
  <c r="Q72" i="67"/>
  <c r="Q59" i="67"/>
  <c r="Q58" i="67"/>
  <c r="Q51" i="67"/>
  <c r="J50" i="67"/>
  <c r="M47" i="67"/>
  <c r="D46" i="67"/>
  <c r="F33" i="67"/>
  <c r="F61" i="67"/>
  <c r="F23" i="67"/>
  <c r="D24" i="67" s="1"/>
  <c r="F21" i="67"/>
  <c r="F20" i="67"/>
  <c r="M19" i="67"/>
  <c r="F18" i="67"/>
  <c r="F17" i="67"/>
  <c r="F15" i="67"/>
  <c r="S2" i="4"/>
  <c r="S1" i="4"/>
  <c r="B1" i="4"/>
  <c r="C27" i="66"/>
  <c r="C31" i="66" s="1"/>
  <c r="C32" i="66"/>
  <c r="I23" i="66"/>
  <c r="D20" i="66"/>
  <c r="I19" i="66"/>
  <c r="I18" i="66"/>
  <c r="I17" i="66"/>
  <c r="I20" i="66"/>
  <c r="E15" i="66"/>
  <c r="I14" i="66"/>
  <c r="I13" i="66"/>
  <c r="I12" i="66"/>
  <c r="I15" i="66" s="1"/>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G9" i="1" s="1"/>
  <c r="D10" i="1"/>
  <c r="D11" i="1"/>
  <c r="D12" i="1"/>
  <c r="D13" i="1"/>
  <c r="D7" i="1"/>
  <c r="D8" i="1"/>
  <c r="A7" i="1"/>
  <c r="A8" i="1"/>
  <c r="B8" i="1" s="1"/>
  <c r="E8" i="1" s="1"/>
  <c r="A9" i="1"/>
  <c r="A10" i="1"/>
  <c r="K10" i="1" s="1"/>
  <c r="A11" i="1"/>
  <c r="A12" i="1"/>
  <c r="A13" i="1"/>
  <c r="A6" i="1"/>
  <c r="B11" i="1"/>
  <c r="E11" i="1" s="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Z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Z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S22" i="31" s="1"/>
  <c r="R22" i="31" s="1"/>
  <c r="R256" i="31"/>
  <c r="R257" i="31"/>
  <c r="S257" i="31" s="1"/>
  <c r="R258" i="31"/>
  <c r="R259" i="31"/>
  <c r="S259" i="3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R275" i="31"/>
  <c r="S275" i="3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R307" i="31"/>
  <c r="S307" i="3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c r="R340" i="31"/>
  <c r="R341" i="31"/>
  <c r="S341" i="31" s="1"/>
  <c r="R342" i="31"/>
  <c r="R343" i="31"/>
  <c r="S343" i="31" s="1"/>
  <c r="R344" i="31"/>
  <c r="R345" i="31"/>
  <c r="S345" i="31" s="1"/>
  <c r="R346" i="31"/>
  <c r="R347" i="31"/>
  <c r="S347" i="3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c r="R388" i="31"/>
  <c r="R389" i="31"/>
  <c r="S389" i="31" s="1"/>
  <c r="R390" i="31"/>
  <c r="R391" i="31"/>
  <c r="S391" i="31" s="1"/>
  <c r="R392" i="31"/>
  <c r="R393" i="31"/>
  <c r="S393" i="31" s="1"/>
  <c r="R394" i="31"/>
  <c r="R395" i="31"/>
  <c r="S395" i="31"/>
  <c r="R396" i="31"/>
  <c r="R397" i="31"/>
  <c r="S397" i="31" s="1"/>
  <c r="R398" i="31"/>
  <c r="R399" i="31"/>
  <c r="S399" i="31" s="1"/>
  <c r="R400" i="31"/>
  <c r="R401" i="31"/>
  <c r="S401" i="31" s="1"/>
  <c r="R402" i="31"/>
  <c r="R403" i="31"/>
  <c r="S403" i="31"/>
  <c r="R404" i="31"/>
  <c r="R405" i="31"/>
  <c r="S405" i="31" s="1"/>
  <c r="R406" i="31"/>
  <c r="R407" i="31"/>
  <c r="S407" i="31" s="1"/>
  <c r="R408" i="31"/>
  <c r="R409" i="31"/>
  <c r="S409" i="31" s="1"/>
  <c r="R410" i="31"/>
  <c r="R411" i="31"/>
  <c r="S411" i="31"/>
  <c r="R412" i="31"/>
  <c r="R413" i="31"/>
  <c r="S413" i="31" s="1"/>
  <c r="R414" i="31"/>
  <c r="R415" i="31"/>
  <c r="S415" i="31" s="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L21" i="4"/>
  <c r="F19" i="4"/>
  <c r="F2" i="52"/>
  <c r="B50" i="72" s="1"/>
  <c r="D2" i="52"/>
  <c r="B46" i="72" s="1"/>
  <c r="B8" i="53"/>
  <c r="B23" i="72" s="1"/>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F34" i="79" s="1"/>
  <c r="B43" i="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K6" i="1" s="1"/>
  <c r="E20" i="6"/>
  <c r="E21" i="6"/>
  <c r="K8" i="1"/>
  <c r="M8" i="1" s="1"/>
  <c r="O8" i="1" s="1"/>
  <c r="P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E19" i="79"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s="1"/>
  <c r="F92" i="40" s="1"/>
  <c r="G92" i="40" s="1"/>
  <c r="D90" i="40"/>
  <c r="E90" i="40" s="1"/>
  <c r="F90" i="40" s="1"/>
  <c r="G90" i="40" s="1"/>
  <c r="D88" i="40"/>
  <c r="E88" i="40"/>
  <c r="D86" i="40"/>
  <c r="E86" i="40"/>
  <c r="F86" i="40" s="1"/>
  <c r="G86" i="40" s="1"/>
  <c r="D84" i="40"/>
  <c r="E84" i="40"/>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s="1"/>
  <c r="Q38" i="39"/>
  <c r="Z38" i="39" s="1"/>
  <c r="Q36" i="39"/>
  <c r="Z36" i="39" s="1"/>
  <c r="Q37" i="39"/>
  <c r="Z37" i="39" s="1"/>
  <c r="B131" i="39"/>
  <c r="H45" i="39" s="1"/>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J26" i="37" s="1"/>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J12" i="36" s="1"/>
  <c r="W12" i="36" s="1"/>
  <c r="B55" i="36"/>
  <c r="F54" i="36"/>
  <c r="G54" i="36" s="1"/>
  <c r="H54" i="36" s="1"/>
  <c r="I54" i="36" s="1"/>
  <c r="C51" i="36"/>
  <c r="J9" i="36" s="1"/>
  <c r="AC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s="1"/>
  <c r="B57" i="35"/>
  <c r="B61" i="35"/>
  <c r="B59" i="35"/>
  <c r="H12" i="35" s="1"/>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Q11" i="34"/>
  <c r="Z11" i="34" s="1"/>
  <c r="Q10" i="34"/>
  <c r="Z10" i="34" s="1"/>
  <c r="F10" i="34"/>
  <c r="AA10" i="34" s="1"/>
  <c r="Q9" i="34"/>
  <c r="Z9" i="34" s="1"/>
  <c r="F9" i="34"/>
  <c r="AA9" i="34" s="1"/>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B96" i="21"/>
  <c r="B94" i="21"/>
  <c r="J29" i="21" s="1"/>
  <c r="B92" i="21"/>
  <c r="B90" i="21"/>
  <c r="J27" i="21"/>
  <c r="W27" i="21" s="1"/>
  <c r="B74" i="21"/>
  <c r="B72" i="21"/>
  <c r="H13" i="21" s="1"/>
  <c r="AB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B11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J44" i="39"/>
  <c r="AC44" i="39" s="1"/>
  <c r="F36" i="39"/>
  <c r="S36" i="39" s="1"/>
  <c r="H36" i="39"/>
  <c r="AB36" i="39" s="1"/>
  <c r="J35" i="39"/>
  <c r="AC35" i="39" s="1"/>
  <c r="F35" i="39"/>
  <c r="AA35" i="39" s="1"/>
  <c r="J36" i="39"/>
  <c r="AC36" i="39" s="1"/>
  <c r="W40" i="39"/>
  <c r="U30" i="37"/>
  <c r="W31" i="37"/>
  <c r="E103" i="37"/>
  <c r="F103" i="37" s="1"/>
  <c r="G103" i="37" s="1"/>
  <c r="H103" i="37" s="1"/>
  <c r="I103" i="37" s="1"/>
  <c r="J103" i="37" s="1"/>
  <c r="K103" i="37" s="1"/>
  <c r="L103" i="37" s="1"/>
  <c r="M103" i="37" s="1"/>
  <c r="F39" i="37"/>
  <c r="S39" i="37" s="1"/>
  <c r="F29" i="36"/>
  <c r="AA29" i="36" s="1"/>
  <c r="W8" i="36"/>
  <c r="F16" i="36"/>
  <c r="AA16" i="36" s="1"/>
  <c r="U9" i="36"/>
  <c r="S30" i="36"/>
  <c r="AC31" i="36"/>
  <c r="W31" i="36"/>
  <c r="U31" i="36"/>
  <c r="H22" i="35"/>
  <c r="AB22" i="35"/>
  <c r="AC27" i="35"/>
  <c r="W28" i="35"/>
  <c r="U31" i="35"/>
  <c r="W22" i="35"/>
  <c r="S31" i="35"/>
  <c r="F36" i="34"/>
  <c r="J35" i="34"/>
  <c r="S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F42" i="39"/>
  <c r="AA42" i="39" s="1"/>
  <c r="F41" i="39"/>
  <c r="S41" i="39" s="1"/>
  <c r="H40" i="39"/>
  <c r="AB40" i="39"/>
  <c r="H39" i="39"/>
  <c r="U39" i="39"/>
  <c r="S38" i="39"/>
  <c r="S34" i="39"/>
  <c r="H34" i="39"/>
  <c r="U34" i="39"/>
  <c r="E109" i="39"/>
  <c r="H31" i="39"/>
  <c r="AB31" i="39" s="1"/>
  <c r="F31" i="39"/>
  <c r="AA31" i="39" s="1"/>
  <c r="E101" i="39"/>
  <c r="F101" i="39" s="1"/>
  <c r="G101" i="39" s="1"/>
  <c r="H19" i="39"/>
  <c r="AB19" i="39"/>
  <c r="F19" i="39"/>
  <c r="AA19" i="39"/>
  <c r="H17" i="39"/>
  <c r="AB17" i="39"/>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17" i="39"/>
  <c r="J27" i="39"/>
  <c r="AC27" i="39"/>
  <c r="F27" i="39"/>
  <c r="F11" i="21"/>
  <c r="S11" i="21" s="1"/>
  <c r="U34" i="21"/>
  <c r="S34" i="21"/>
  <c r="C25" i="39"/>
  <c r="C21" i="39"/>
  <c r="S40" i="39"/>
  <c r="C15" i="39"/>
  <c r="H32" i="33"/>
  <c r="AB32" i="33"/>
  <c r="H11" i="21"/>
  <c r="U11" i="21"/>
  <c r="J11" i="21"/>
  <c r="W11" i="21"/>
  <c r="H37" i="40"/>
  <c r="U37" i="40"/>
  <c r="H36" i="40"/>
  <c r="AB36" i="40"/>
  <c r="F35" i="40"/>
  <c r="AA35" i="40"/>
  <c r="H23" i="40"/>
  <c r="AB23" i="40"/>
  <c r="H17" i="40"/>
  <c r="U17" i="40"/>
  <c r="J15" i="40"/>
  <c r="W15" i="40"/>
  <c r="J11" i="40"/>
  <c r="W11" i="40"/>
  <c r="AB12" i="33"/>
  <c r="AC12" i="34"/>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s="1"/>
  <c r="F12" i="36"/>
  <c r="AA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AA15" i="34" s="1"/>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B30" i="36"/>
  <c r="AC34" i="36"/>
  <c r="U30" i="35"/>
  <c r="U33" i="35"/>
  <c r="F29" i="35"/>
  <c r="S29" i="35" s="1"/>
  <c r="H29" i="35"/>
  <c r="AB29" i="35" s="1"/>
  <c r="H33" i="37"/>
  <c r="AB33" i="37" s="1"/>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H36" i="37"/>
  <c r="AB36" i="37"/>
  <c r="J37" i="37"/>
  <c r="AC37" i="37" s="1"/>
  <c r="H37" i="37"/>
  <c r="U37"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31" i="34"/>
  <c r="J36" i="37"/>
  <c r="AC36" i="37" s="1"/>
  <c r="AB11" i="35"/>
  <c r="J10" i="36"/>
  <c r="AC10" i="36" s="1"/>
  <c r="AB26" i="33"/>
  <c r="AB30" i="21"/>
  <c r="AA14" i="37"/>
  <c r="W31" i="34"/>
  <c r="AC13" i="36"/>
  <c r="S11" i="36"/>
  <c r="W11" i="35"/>
  <c r="AC30" i="34"/>
  <c r="S45" i="33"/>
  <c r="AB31" i="33"/>
  <c r="W29" i="33"/>
  <c r="AC28" i="21"/>
  <c r="BA586" i="3"/>
  <c r="BA585" i="3"/>
  <c r="F17" i="21"/>
  <c r="AA17" i="21" s="1"/>
  <c r="H17" i="21"/>
  <c r="AB17" i="21" s="1"/>
  <c r="F15" i="21"/>
  <c r="S15" i="21" s="1"/>
  <c r="AB11" i="21"/>
  <c r="J41" i="39"/>
  <c r="W41" i="39" s="1"/>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AZ522" i="3" s="1"/>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AZ554" i="3" s="1"/>
  <c r="BA552" i="3"/>
  <c r="AZ552" i="3" s="1"/>
  <c r="BA548" i="3"/>
  <c r="BA546" i="3"/>
  <c r="AZ546" i="3" s="1"/>
  <c r="BA544" i="3"/>
  <c r="AZ544" i="3" s="1"/>
  <c r="BA542" i="3"/>
  <c r="AZ542" i="3" s="1"/>
  <c r="BA540" i="3"/>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BA508" i="3"/>
  <c r="BA506" i="3"/>
  <c r="BA504" i="3"/>
  <c r="AZ504" i="3" s="1"/>
  <c r="BA502" i="3"/>
  <c r="BA500" i="3"/>
  <c r="BA498" i="3"/>
  <c r="AZ498" i="3" s="1"/>
  <c r="BA496" i="3"/>
  <c r="AZ496" i="3" s="1"/>
  <c r="BA494" i="3"/>
  <c r="BA587" i="3"/>
  <c r="AZ587" i="3" s="1"/>
  <c r="BA583" i="3"/>
  <c r="BA581" i="3"/>
  <c r="BA579" i="3"/>
  <c r="BA577" i="3"/>
  <c r="BA575" i="3"/>
  <c r="BA573" i="3"/>
  <c r="BA571" i="3"/>
  <c r="BA569" i="3"/>
  <c r="BA567" i="3"/>
  <c r="BA565" i="3"/>
  <c r="BA563" i="3"/>
  <c r="BA561" i="3"/>
  <c r="BA559" i="3"/>
  <c r="BA555" i="3"/>
  <c r="BA553" i="3"/>
  <c r="BA549" i="3"/>
  <c r="AZ549" i="3" s="1"/>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AZ557" i="3" s="1"/>
  <c r="BQ583" i="3"/>
  <c r="BL583" i="3" s="1"/>
  <c r="BQ581" i="3"/>
  <c r="BL581" i="3" s="1"/>
  <c r="AZ581" i="3" s="1"/>
  <c r="BQ579" i="3"/>
  <c r="BL579" i="3" s="1"/>
  <c r="AZ579" i="3" s="1"/>
  <c r="BQ577" i="3"/>
  <c r="BL577" i="3" s="1"/>
  <c r="BQ575" i="3"/>
  <c r="BL575" i="3" s="1"/>
  <c r="AZ575" i="3" s="1"/>
  <c r="BQ573" i="3"/>
  <c r="BL573" i="3"/>
  <c r="BQ571" i="3"/>
  <c r="BL571" i="3" s="1"/>
  <c r="AZ571" i="3" s="1"/>
  <c r="BQ569" i="3"/>
  <c r="BL569" i="3" s="1"/>
  <c r="BQ567" i="3"/>
  <c r="BL567" i="3" s="1"/>
  <c r="AZ567" i="3" s="1"/>
  <c r="BQ565" i="3"/>
  <c r="BL565" i="3"/>
  <c r="BQ563" i="3"/>
  <c r="BL563" i="3" s="1"/>
  <c r="BQ561" i="3"/>
  <c r="BL561" i="3" s="1"/>
  <c r="AZ561" i="3" s="1"/>
  <c r="BQ559" i="3"/>
  <c r="BL559" i="3"/>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AZ545" i="3" s="1"/>
  <c r="BQ543" i="3"/>
  <c r="BL543" i="3"/>
  <c r="AZ543" i="3" s="1"/>
  <c r="BQ541" i="3"/>
  <c r="BL541" i="3" s="1"/>
  <c r="BQ539" i="3"/>
  <c r="BL539" i="3" s="1"/>
  <c r="AZ539" i="3" s="1"/>
  <c r="BQ537" i="3"/>
  <c r="BL537" i="3" s="1"/>
  <c r="AZ537" i="3" s="1"/>
  <c r="BQ535" i="3"/>
  <c r="BL535" i="3"/>
  <c r="AZ535" i="3" s="1"/>
  <c r="BQ533" i="3"/>
  <c r="BL533" i="3" s="1"/>
  <c r="BQ531" i="3"/>
  <c r="BL531" i="3" s="1"/>
  <c r="AZ531" i="3" s="1"/>
  <c r="BQ529" i="3"/>
  <c r="BL529" i="3" s="1"/>
  <c r="AZ529" i="3" s="1"/>
  <c r="BQ527" i="3"/>
  <c r="BL527" i="3"/>
  <c r="AZ527" i="3" s="1"/>
  <c r="BQ525" i="3"/>
  <c r="BL525" i="3" s="1"/>
  <c r="BQ523" i="3"/>
  <c r="BL523" i="3" s="1"/>
  <c r="AZ523" i="3" s="1"/>
  <c r="BA521" i="3"/>
  <c r="AC521" i="3"/>
  <c r="G521" i="3" s="1"/>
  <c r="BQ521" i="3"/>
  <c r="BL521" i="3" s="1"/>
  <c r="BL520" i="3"/>
  <c r="G519" i="3"/>
  <c r="G517" i="3"/>
  <c r="G515" i="3"/>
  <c r="G513" i="3"/>
  <c r="G511" i="3"/>
  <c r="BQ519" i="3"/>
  <c r="BL519" i="3"/>
  <c r="BQ517" i="3"/>
  <c r="BL517" i="3" s="1"/>
  <c r="AZ517" i="3" s="1"/>
  <c r="BQ515" i="3"/>
  <c r="BL515" i="3" s="1"/>
  <c r="BQ513" i="3"/>
  <c r="BL513" i="3" s="1"/>
  <c r="AZ513" i="3" s="1"/>
  <c r="BQ511" i="3"/>
  <c r="BL511" i="3"/>
  <c r="BA509" i="3"/>
  <c r="AC509" i="3"/>
  <c r="BQ509" i="3"/>
  <c r="BL509" i="3" s="1"/>
  <c r="BL508" i="3"/>
  <c r="G507" i="3"/>
  <c r="G505" i="3"/>
  <c r="G503" i="3"/>
  <c r="G501" i="3"/>
  <c r="G499" i="3"/>
  <c r="G497" i="3"/>
  <c r="G495" i="3"/>
  <c r="BQ507" i="3"/>
  <c r="BL507" i="3" s="1"/>
  <c r="AZ507" i="3" s="1"/>
  <c r="BQ505" i="3"/>
  <c r="BL505" i="3" s="1"/>
  <c r="AZ505" i="3" s="1"/>
  <c r="BQ503" i="3"/>
  <c r="BL503" i="3"/>
  <c r="AZ503" i="3" s="1"/>
  <c r="BQ501" i="3"/>
  <c r="BL501" i="3" s="1"/>
  <c r="BQ499" i="3"/>
  <c r="BL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s="1"/>
  <c r="U43" i="33"/>
  <c r="S28" i="31"/>
  <c r="S27" i="31"/>
  <c r="S26" i="31"/>
  <c r="U14" i="40"/>
  <c r="AC32" i="36"/>
  <c r="U35" i="35"/>
  <c r="AA12" i="35"/>
  <c r="W14" i="37"/>
  <c r="AB28" i="37"/>
  <c r="U33" i="37"/>
  <c r="U39" i="37"/>
  <c r="AC8" i="37"/>
  <c r="U26" i="37"/>
  <c r="W47" i="34"/>
  <c r="AB13" i="34"/>
  <c r="W37" i="34"/>
  <c r="AB37" i="34"/>
  <c r="AC36" i="34"/>
  <c r="AA13" i="33"/>
  <c r="AC31" i="33"/>
  <c r="AC45" i="33"/>
  <c r="U11" i="33"/>
  <c r="U19" i="21"/>
  <c r="W44" i="21"/>
  <c r="U26" i="21"/>
  <c r="AC46" i="21"/>
  <c r="U12" i="21"/>
  <c r="AB38" i="21"/>
  <c r="F43" i="33"/>
  <c r="AA43" i="33"/>
  <c r="W15" i="34"/>
  <c r="AC15" i="34"/>
  <c r="W16" i="35"/>
  <c r="W40" i="37"/>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B33" i="40"/>
  <c r="W23" i="39"/>
  <c r="AC43" i="39"/>
  <c r="W43"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B54" i="72"/>
  <c r="H103" i="9"/>
  <c r="D8" i="53" s="1"/>
  <c r="B16" i="53"/>
  <c r="B33" i="72" s="1"/>
  <c r="C7" i="37"/>
  <c r="C52" i="37" s="1"/>
  <c r="D52" i="37" s="1"/>
  <c r="C7" i="34"/>
  <c r="C7" i="36"/>
  <c r="C46" i="36" s="1"/>
  <c r="D46" i="36" s="1"/>
  <c r="E46" i="36" s="1"/>
  <c r="F46" i="36" s="1"/>
  <c r="G46" i="36" s="1"/>
  <c r="H46" i="36" s="1"/>
  <c r="I46" i="36" s="1"/>
  <c r="A118" i="9"/>
  <c r="A4" i="52"/>
  <c r="B41" i="72" s="1"/>
  <c r="G4" i="4"/>
  <c r="I4" i="4"/>
  <c r="A2" i="9"/>
  <c r="F59" i="43"/>
  <c r="H62" i="43" s="1"/>
  <c r="AZ24" i="3"/>
  <c r="AZ28" i="3"/>
  <c r="AZ497" i="3"/>
  <c r="BL549" i="3"/>
  <c r="AZ494" i="3"/>
  <c r="AZ514" i="3"/>
  <c r="AZ530"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AZ376" i="3" s="1"/>
  <c r="G377" i="3"/>
  <c r="BA378" i="3"/>
  <c r="AZ378" i="3" s="1"/>
  <c r="BL378" i="3"/>
  <c r="G379" i="3"/>
  <c r="BA380" i="3"/>
  <c r="G388" i="3"/>
  <c r="BL389" i="3"/>
  <c r="G390" i="3"/>
  <c r="BL391" i="3"/>
  <c r="BA393" i="3"/>
  <c r="BA394" i="3"/>
  <c r="AZ394" i="3" s="1"/>
  <c r="BL394" i="3"/>
  <c r="G113" i="3"/>
  <c r="BA115" i="3"/>
  <c r="AZ115" i="3"/>
  <c r="BL116" i="3"/>
  <c r="AZ116" i="3"/>
  <c r="G117" i="3"/>
  <c r="BA119" i="3"/>
  <c r="BL120" i="3"/>
  <c r="AZ120" i="3" s="1"/>
  <c r="G121" i="3"/>
  <c r="BA123" i="3"/>
  <c r="AZ123" i="3" s="1"/>
  <c r="BL124" i="3"/>
  <c r="AZ124" i="3" s="1"/>
  <c r="G125" i="3"/>
  <c r="BA127" i="3"/>
  <c r="AZ127" i="3" s="1"/>
  <c r="BL128" i="3"/>
  <c r="AZ128" i="3" s="1"/>
  <c r="G129" i="3"/>
  <c r="BA131" i="3"/>
  <c r="AZ131" i="3" s="1"/>
  <c r="BL132" i="3"/>
  <c r="AZ132" i="3" s="1"/>
  <c r="G133" i="3"/>
  <c r="BA135" i="3"/>
  <c r="BL136" i="3"/>
  <c r="G137" i="3"/>
  <c r="BA139" i="3"/>
  <c r="BL140" i="3"/>
  <c r="AZ140" i="3" s="1"/>
  <c r="G141" i="3"/>
  <c r="BA143" i="3"/>
  <c r="BL144" i="3"/>
  <c r="G145" i="3"/>
  <c r="BA147" i="3"/>
  <c r="BL148" i="3"/>
  <c r="AZ148" i="3"/>
  <c r="G149" i="3"/>
  <c r="BA151" i="3"/>
  <c r="AZ151" i="3" s="1"/>
  <c r="BL152" i="3"/>
  <c r="G153" i="3"/>
  <c r="BA155" i="3"/>
  <c r="AZ155" i="3" s="1"/>
  <c r="BL156" i="3"/>
  <c r="AZ156" i="3" s="1"/>
  <c r="G157" i="3"/>
  <c r="BA159" i="3"/>
  <c r="BL160" i="3"/>
  <c r="G161" i="3"/>
  <c r="BA163" i="3"/>
  <c r="BL164" i="3"/>
  <c r="AZ164" i="3" s="1"/>
  <c r="G165" i="3"/>
  <c r="BA167" i="3"/>
  <c r="AZ167" i="3" s="1"/>
  <c r="BL168" i="3"/>
  <c r="G169" i="3"/>
  <c r="BA171" i="3"/>
  <c r="AZ171" i="3" s="1"/>
  <c r="BL172" i="3"/>
  <c r="AZ172" i="3" s="1"/>
  <c r="G173" i="3"/>
  <c r="BA175" i="3"/>
  <c r="BL176" i="3"/>
  <c r="G177" i="3"/>
  <c r="BA179" i="3"/>
  <c r="BL180" i="3"/>
  <c r="AZ180" i="3"/>
  <c r="G181" i="3"/>
  <c r="BA183" i="3"/>
  <c r="AZ183" i="3" s="1"/>
  <c r="BL184" i="3"/>
  <c r="G185" i="3"/>
  <c r="BA187" i="3"/>
  <c r="AZ187" i="3" s="1"/>
  <c r="BL188" i="3"/>
  <c r="AZ188" i="3" s="1"/>
  <c r="G189" i="3"/>
  <c r="BA191" i="3"/>
  <c r="BL192" i="3"/>
  <c r="AZ192" i="3" s="1"/>
  <c r="G193" i="3"/>
  <c r="BA195" i="3"/>
  <c r="BL196" i="3"/>
  <c r="AZ196" i="3" s="1"/>
  <c r="G197" i="3"/>
  <c r="BA199" i="3"/>
  <c r="AZ199" i="3" s="1"/>
  <c r="BL200" i="3"/>
  <c r="G201" i="3"/>
  <c r="BA203" i="3"/>
  <c r="AZ203" i="3" s="1"/>
  <c r="BL204" i="3"/>
  <c r="AZ204" i="3" s="1"/>
  <c r="AZ39" i="3"/>
  <c r="AZ43" i="3"/>
  <c r="AZ47" i="3"/>
  <c r="AZ63" i="3"/>
  <c r="AZ71" i="3"/>
  <c r="AZ83" i="3"/>
  <c r="AZ136" i="3"/>
  <c r="AZ144" i="3"/>
  <c r="AZ160" i="3"/>
  <c r="AZ176" i="3"/>
  <c r="AZ85" i="3"/>
  <c r="AZ93" i="3"/>
  <c r="AZ101" i="3"/>
  <c r="G534" i="3"/>
  <c r="G530" i="3"/>
  <c r="G522" i="3"/>
  <c r="G516" i="3"/>
  <c r="G512" i="3"/>
  <c r="G506" i="3"/>
  <c r="G498" i="3"/>
  <c r="G494" i="3"/>
  <c r="G16" i="3"/>
  <c r="G15" i="3"/>
  <c r="BA304" i="3"/>
  <c r="AZ304" i="3" s="1"/>
  <c r="BA305" i="3"/>
  <c r="AZ305" i="3" s="1"/>
  <c r="BL305" i="3"/>
  <c r="G306" i="3"/>
  <c r="G309" i="3"/>
  <c r="BL310" i="3"/>
  <c r="BA312" i="3"/>
  <c r="BA313" i="3"/>
  <c r="BL313" i="3"/>
  <c r="AZ313" i="3"/>
  <c r="G314" i="3"/>
  <c r="G317" i="3"/>
  <c r="BL318" i="3"/>
  <c r="BA320" i="3"/>
  <c r="AZ320" i="3" s="1"/>
  <c r="BA321" i="3"/>
  <c r="BL321" i="3"/>
  <c r="G322" i="3"/>
  <c r="G325" i="3"/>
  <c r="BL326" i="3"/>
  <c r="BA328" i="3"/>
  <c r="AZ328" i="3" s="1"/>
  <c r="BA329" i="3"/>
  <c r="BL329" i="3"/>
  <c r="AZ329" i="3" s="1"/>
  <c r="G330" i="3"/>
  <c r="G333" i="3"/>
  <c r="BL334" i="3"/>
  <c r="BA336" i="3"/>
  <c r="AZ336" i="3" s="1"/>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AZ356" i="3" s="1"/>
  <c r="G357" i="3"/>
  <c r="G360" i="3"/>
  <c r="BL361" i="3"/>
  <c r="BA363" i="3"/>
  <c r="BA364" i="3"/>
  <c r="BL364" i="3"/>
  <c r="G365" i="3"/>
  <c r="G368" i="3"/>
  <c r="BL369" i="3"/>
  <c r="BA371" i="3"/>
  <c r="AZ371" i="3" s="1"/>
  <c r="BA372" i="3"/>
  <c r="AZ372" i="3" s="1"/>
  <c r="BL372" i="3"/>
  <c r="G373" i="3"/>
  <c r="G376" i="3"/>
  <c r="BL377" i="3"/>
  <c r="BL379" i="3"/>
  <c r="BA381" i="3"/>
  <c r="BA382" i="3"/>
  <c r="BL382" i="3"/>
  <c r="AZ382" i="3" s="1"/>
  <c r="G383" i="3"/>
  <c r="G386" i="3"/>
  <c r="BL387" i="3"/>
  <c r="BA389" i="3"/>
  <c r="AZ389" i="3" s="1"/>
  <c r="BA390" i="3"/>
  <c r="AZ390" i="3" s="1"/>
  <c r="BL390" i="3"/>
  <c r="G391" i="3"/>
  <c r="G394" i="3"/>
  <c r="AZ154" i="3"/>
  <c r="AZ170" i="3"/>
  <c r="AZ186" i="3"/>
  <c r="AZ202" i="3"/>
  <c r="AZ206" i="3"/>
  <c r="AZ500"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BL331" i="3"/>
  <c r="AZ331" i="3"/>
  <c r="G332" i="3"/>
  <c r="BA334" i="3"/>
  <c r="AZ334" i="3" s="1"/>
  <c r="BL335" i="3"/>
  <c r="G336" i="3"/>
  <c r="BA338" i="3"/>
  <c r="AZ338" i="3" s="1"/>
  <c r="BL339" i="3"/>
  <c r="G340" i="3"/>
  <c r="BL343" i="3"/>
  <c r="AZ343" i="3" s="1"/>
  <c r="G344" i="3"/>
  <c r="G348" i="3"/>
  <c r="G355" i="3"/>
  <c r="AZ214" i="3"/>
  <c r="AZ319" i="3"/>
  <c r="G342" i="3"/>
  <c r="BL345" i="3"/>
  <c r="G346" i="3"/>
  <c r="BL349" i="3"/>
  <c r="BL352" i="3"/>
  <c r="G353" i="3"/>
  <c r="BA357" i="3"/>
  <c r="AZ357" i="3" s="1"/>
  <c r="BL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41" i="3"/>
  <c r="AZ245" i="3"/>
  <c r="AZ257" i="3"/>
  <c r="AZ261" i="3"/>
  <c r="AZ265" i="3"/>
  <c r="BA379" i="3"/>
  <c r="AZ379" i="3" s="1"/>
  <c r="BL380" i="3"/>
  <c r="G381" i="3"/>
  <c r="BA383" i="3"/>
  <c r="AZ383" i="3" s="1"/>
  <c r="BL384" i="3"/>
  <c r="AZ384" i="3" s="1"/>
  <c r="G385" i="3"/>
  <c r="BA387" i="3"/>
  <c r="AZ387" i="3" s="1"/>
  <c r="BL388" i="3"/>
  <c r="G389" i="3"/>
  <c r="BA391" i="3"/>
  <c r="AZ391" i="3" s="1"/>
  <c r="BL392" i="3"/>
  <c r="AZ392" i="3" s="1"/>
  <c r="G393" i="3"/>
  <c r="AZ263" i="3"/>
  <c r="AZ279" i="3"/>
  <c r="AZ283" i="3"/>
  <c r="AZ291" i="3"/>
  <c r="BO5" i="3"/>
  <c r="BM5" i="3"/>
  <c r="BJ5" i="3"/>
  <c r="BH5" i="3"/>
  <c r="BF5" i="3"/>
  <c r="BD5" i="3"/>
  <c r="AZ309" i="3"/>
  <c r="AZ325" i="3"/>
  <c r="AZ341" i="3"/>
  <c r="AC5" i="3"/>
  <c r="AZ506" i="3"/>
  <c r="G548" i="3"/>
  <c r="G538" i="3"/>
  <c r="G520" i="3"/>
  <c r="G502" i="3"/>
  <c r="BS5" i="3"/>
  <c r="BP5" i="3"/>
  <c r="BN5" i="3"/>
  <c r="BK5" i="3"/>
  <c r="BI5" i="3"/>
  <c r="BG5" i="3"/>
  <c r="BE5" i="3"/>
  <c r="BC5" i="3"/>
  <c r="G17" i="3"/>
  <c r="BA17" i="3"/>
  <c r="BT5" i="3"/>
  <c r="AZ350" i="3"/>
  <c r="AZ364" i="3"/>
  <c r="AZ368" i="3"/>
  <c r="BA15" i="3"/>
  <c r="BB5" i="3"/>
  <c r="E8" i="6" s="1"/>
  <c r="BR5" i="3"/>
  <c r="G28" i="6" s="1"/>
  <c r="AZ380" i="3"/>
  <c r="AZ388" i="3"/>
  <c r="AZ499" i="3"/>
  <c r="AZ509" i="3"/>
  <c r="G509" i="3"/>
  <c r="BL493" i="3"/>
  <c r="AZ491" i="3"/>
  <c r="U36" i="40"/>
  <c r="F36" i="43"/>
  <c r="F81" i="43"/>
  <c r="H113" i="43"/>
  <c r="F48" i="43"/>
  <c r="H52" i="43" s="1"/>
  <c r="F70" i="43"/>
  <c r="M11" i="43"/>
  <c r="D17" i="43"/>
  <c r="F39" i="43"/>
  <c r="I17" i="43"/>
  <c r="F35" i="43"/>
  <c r="J17" i="43"/>
  <c r="F6" i="1"/>
  <c r="U17" i="39"/>
  <c r="S14" i="35"/>
  <c r="U43" i="21"/>
  <c r="U35" i="21"/>
  <c r="AC35" i="21"/>
  <c r="U10" i="21"/>
  <c r="G8" i="1"/>
  <c r="G10" i="1"/>
  <c r="AZ563" i="3"/>
  <c r="AZ501" i="3"/>
  <c r="W37" i="37"/>
  <c r="W44" i="34"/>
  <c r="AC44" i="34"/>
  <c r="U13" i="37"/>
  <c r="U12" i="40"/>
  <c r="AA12" i="40"/>
  <c r="J37" i="33"/>
  <c r="W37" i="33"/>
  <c r="AC17" i="34"/>
  <c r="F106" i="33"/>
  <c r="G106" i="33" s="1"/>
  <c r="H106" i="33" s="1"/>
  <c r="I106" i="33" s="1"/>
  <c r="J106" i="33" s="1"/>
  <c r="K106" i="33" s="1"/>
  <c r="L106" i="33" s="1"/>
  <c r="M106" i="33" s="1"/>
  <c r="J34" i="33"/>
  <c r="W34" i="33" s="1"/>
  <c r="F33" i="34"/>
  <c r="H20" i="36"/>
  <c r="U20" i="36" s="1"/>
  <c r="J20" i="36"/>
  <c r="W20" i="36" s="1"/>
  <c r="J27" i="36"/>
  <c r="AB25" i="37"/>
  <c r="AC33" i="40"/>
  <c r="F111" i="40"/>
  <c r="G111" i="40" s="1"/>
  <c r="H111" i="40" s="1"/>
  <c r="I111" i="40" s="1"/>
  <c r="J111" i="40" s="1"/>
  <c r="K111" i="40" s="1"/>
  <c r="L111" i="40" s="1"/>
  <c r="M111" i="40" s="1"/>
  <c r="H35" i="40"/>
  <c r="AB35" i="40" s="1"/>
  <c r="AC29" i="35"/>
  <c r="W29" i="35"/>
  <c r="H35" i="37"/>
  <c r="AC14" i="35"/>
  <c r="H20" i="35"/>
  <c r="U20" i="35" s="1"/>
  <c r="F20" i="35"/>
  <c r="AA20" i="35" s="1"/>
  <c r="AB29" i="36"/>
  <c r="U29" i="36"/>
  <c r="H32" i="37"/>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F39" i="34"/>
  <c r="S39" i="34" s="1"/>
  <c r="J39" i="34"/>
  <c r="F40" i="34"/>
  <c r="S40" i="34" s="1"/>
  <c r="F43" i="34"/>
  <c r="AA43" i="34" s="1"/>
  <c r="H44" i="34"/>
  <c r="AB44" i="34" s="1"/>
  <c r="AC38" i="39"/>
  <c r="F39" i="39"/>
  <c r="S39" i="39"/>
  <c r="J39" i="39"/>
  <c r="AC39" i="39"/>
  <c r="E97" i="39"/>
  <c r="F97" i="39"/>
  <c r="G97" i="39" s="1"/>
  <c r="AZ353" i="3"/>
  <c r="AZ215" i="3"/>
  <c r="AZ227" i="3"/>
  <c r="AZ240" i="3"/>
  <c r="AZ243" i="3"/>
  <c r="AZ256" i="3"/>
  <c r="AZ259" i="3"/>
  <c r="AZ280" i="3"/>
  <c r="AZ288" i="3"/>
  <c r="AZ114" i="3"/>
  <c r="AZ130" i="3"/>
  <c r="AZ29" i="3"/>
  <c r="AZ31" i="3"/>
  <c r="AZ33" i="3"/>
  <c r="AZ37" i="3"/>
  <c r="AZ45" i="3"/>
  <c r="AZ50" i="3"/>
  <c r="AZ69" i="3"/>
  <c r="AZ72" i="3"/>
  <c r="AZ74" i="3"/>
  <c r="AZ82" i="3"/>
  <c r="AZ86" i="3"/>
  <c r="AZ94" i="3"/>
  <c r="AZ110" i="3"/>
  <c r="H50" i="43"/>
  <c r="I20" i="43"/>
  <c r="F23" i="39"/>
  <c r="AA23" i="39" s="1"/>
  <c r="H27" i="36"/>
  <c r="U27" i="36" s="1"/>
  <c r="F27" i="36"/>
  <c r="AA27" i="36" s="1"/>
  <c r="H33" i="34"/>
  <c r="U33" i="34" s="1"/>
  <c r="F32" i="37"/>
  <c r="AA32" i="37" s="1"/>
  <c r="F20" i="36"/>
  <c r="J33" i="34"/>
  <c r="AC33" i="34" s="1"/>
  <c r="H23" i="39"/>
  <c r="D48" i="9"/>
  <c r="M52" i="9" s="1"/>
  <c r="K9" i="1"/>
  <c r="M9" i="1" s="1"/>
  <c r="O9" i="1" s="1"/>
  <c r="P9" i="1" s="1"/>
  <c r="AE9" i="1"/>
  <c r="D93" i="9"/>
  <c r="G29" i="6"/>
  <c r="AC27" i="34"/>
  <c r="AB34" i="36"/>
  <c r="U34" i="36"/>
  <c r="AB33" i="36"/>
  <c r="U33" i="36"/>
  <c r="AC12" i="39"/>
  <c r="W12" i="39"/>
  <c r="AC39" i="40"/>
  <c r="W39" i="40"/>
  <c r="W12" i="33"/>
  <c r="AC12" i="33"/>
  <c r="AA32" i="36"/>
  <c r="S32" i="36"/>
  <c r="AZ437" i="3"/>
  <c r="AZ441" i="3"/>
  <c r="AA39" i="34"/>
  <c r="BL14" i="3"/>
  <c r="U30" i="33"/>
  <c r="AC13" i="34"/>
  <c r="AA47" i="34"/>
  <c r="W28" i="37"/>
  <c r="S19" i="39"/>
  <c r="F12" i="33"/>
  <c r="H12" i="39"/>
  <c r="AB12" i="39" s="1"/>
  <c r="F39" i="40"/>
  <c r="S39" i="40" s="1"/>
  <c r="BA14" i="3"/>
  <c r="AZ14" i="3" s="1"/>
  <c r="AZ213" i="3"/>
  <c r="AZ224" i="3"/>
  <c r="AZ238" i="3"/>
  <c r="AZ254" i="3"/>
  <c r="AZ281" i="3"/>
  <c r="AZ286" i="3"/>
  <c r="AZ149" i="3"/>
  <c r="AZ165" i="3"/>
  <c r="AZ181" i="3"/>
  <c r="AZ197" i="3"/>
  <c r="AZ26" i="3"/>
  <c r="AZ35" i="3"/>
  <c r="AZ41" i="3"/>
  <c r="S12" i="1"/>
  <c r="AQ12" i="1" s="1"/>
  <c r="R12" i="1"/>
  <c r="B12" i="1"/>
  <c r="E12" i="1" s="1"/>
  <c r="S10" i="1"/>
  <c r="R10" i="1"/>
  <c r="B10" i="1"/>
  <c r="E10" i="1" s="1"/>
  <c r="AZ80" i="3"/>
  <c r="AZ84" i="3"/>
  <c r="AZ88" i="3"/>
  <c r="K12" i="1"/>
  <c r="M12" i="1" s="1"/>
  <c r="S13" i="1"/>
  <c r="AR13" i="1" s="1"/>
  <c r="R13" i="1"/>
  <c r="S11" i="1"/>
  <c r="R11" i="1"/>
  <c r="S9" i="1"/>
  <c r="AR9" i="1" s="1"/>
  <c r="R9" i="1"/>
  <c r="J51" i="67"/>
  <c r="C42" i="1"/>
  <c r="H100" i="43"/>
  <c r="C30" i="66"/>
  <c r="E26" i="66" s="1"/>
  <c r="AC34" i="33"/>
  <c r="B41" i="1"/>
  <c r="J100" i="43"/>
  <c r="AB37" i="40"/>
  <c r="S35" i="40"/>
  <c r="W38" i="40"/>
  <c r="S17" i="40"/>
  <c r="S23" i="40"/>
  <c r="AC17" i="40"/>
  <c r="AC15" i="40"/>
  <c r="AB27" i="40"/>
  <c r="S30" i="40"/>
  <c r="AA19" i="40"/>
  <c r="S28" i="40"/>
  <c r="U21" i="40"/>
  <c r="W42" i="39"/>
  <c r="U37" i="39"/>
  <c r="W39" i="39"/>
  <c r="S43" i="39"/>
  <c r="S37" i="39"/>
  <c r="F32" i="39"/>
  <c r="F107" i="39"/>
  <c r="G107" i="39"/>
  <c r="AB27" i="39"/>
  <c r="U31" i="39"/>
  <c r="S25" i="39"/>
  <c r="J21" i="39"/>
  <c r="F21" i="39"/>
  <c r="S21" i="39" s="1"/>
  <c r="G95" i="39"/>
  <c r="H21" i="39"/>
  <c r="U21" i="39" s="1"/>
  <c r="W19" i="39"/>
  <c r="U19" i="39"/>
  <c r="S17" i="39"/>
  <c r="AC15" i="39"/>
  <c r="AB15" i="39"/>
  <c r="S9" i="39"/>
  <c r="U14" i="39"/>
  <c r="AC13" i="39"/>
  <c r="S23" i="36"/>
  <c r="U13" i="36"/>
  <c r="U26" i="36"/>
  <c r="S33" i="36"/>
  <c r="AA26" i="36"/>
  <c r="AA34" i="36"/>
  <c r="S29" i="36"/>
  <c r="AC26" i="36"/>
  <c r="W14" i="36"/>
  <c r="AB14" i="36"/>
  <c r="U22" i="36"/>
  <c r="S16" i="36"/>
  <c r="AA25" i="36"/>
  <c r="S24" i="36"/>
  <c r="U24" i="36"/>
  <c r="AB20" i="36"/>
  <c r="U16" i="36"/>
  <c r="S14"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c r="J26" i="35"/>
  <c r="H26" i="35"/>
  <c r="AB40" i="37"/>
  <c r="S25" i="37"/>
  <c r="W27" i="37"/>
  <c r="AC9" i="37"/>
  <c r="AC29" i="37"/>
  <c r="U29" i="37"/>
  <c r="W30" i="37"/>
  <c r="AA38" i="37"/>
  <c r="W38" i="37"/>
  <c r="AC35" i="37"/>
  <c r="W39" i="37"/>
  <c r="S30" i="37"/>
  <c r="S37" i="37"/>
  <c r="J17" i="37"/>
  <c r="W17" i="37" s="1"/>
  <c r="G73" i="37"/>
  <c r="F17" i="37"/>
  <c r="AA17" i="37" s="1"/>
  <c r="AB17" i="37"/>
  <c r="F75" i="37"/>
  <c r="F19" i="37"/>
  <c r="S19" i="37" s="1"/>
  <c r="F79" i="37"/>
  <c r="F23" i="37"/>
  <c r="S23" i="37" s="1"/>
  <c r="U23" i="37"/>
  <c r="U15" i="37"/>
  <c r="AC13" i="37"/>
  <c r="U9" i="37"/>
  <c r="AA13" i="37"/>
  <c r="AA12" i="37"/>
  <c r="AA9" i="37"/>
  <c r="H10" i="37"/>
  <c r="H60" i="37"/>
  <c r="F63" i="37"/>
  <c r="F11" i="37"/>
  <c r="S11" i="37" s="1"/>
  <c r="S27" i="34"/>
  <c r="W25" i="34"/>
  <c r="AB8" i="34"/>
  <c r="U43" i="34"/>
  <c r="W41" i="34"/>
  <c r="AC42" i="34"/>
  <c r="AB35" i="34"/>
  <c r="U39" i="34"/>
  <c r="S43" i="34"/>
  <c r="AB41" i="34"/>
  <c r="AA45" i="34"/>
  <c r="W34" i="34"/>
  <c r="AA25" i="34"/>
  <c r="S17" i="34"/>
  <c r="AA29" i="34"/>
  <c r="U27" i="34"/>
  <c r="S23" i="34"/>
  <c r="U15" i="34"/>
  <c r="S10" i="34"/>
  <c r="S13" i="34"/>
  <c r="H10" i="34"/>
  <c r="U10" i="34" s="1"/>
  <c r="F11" i="34"/>
  <c r="S11" i="34"/>
  <c r="W42" i="33"/>
  <c r="S27" i="33"/>
  <c r="S32" i="33"/>
  <c r="AA29" i="33"/>
  <c r="AB29" i="33"/>
  <c r="W38" i="33"/>
  <c r="H41" i="33"/>
  <c r="F121" i="33"/>
  <c r="G121" i="33" s="1"/>
  <c r="H121" i="33" s="1"/>
  <c r="I121" i="33" s="1"/>
  <c r="J121" i="33" s="1"/>
  <c r="K121" i="33" s="1"/>
  <c r="L121" i="33" s="1"/>
  <c r="M121" i="33" s="1"/>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F85" i="33"/>
  <c r="G85" i="33" s="1"/>
  <c r="H23" i="33"/>
  <c r="F81" i="33"/>
  <c r="F19" i="33"/>
  <c r="S19" i="33" s="1"/>
  <c r="W19" i="33"/>
  <c r="J17" i="33"/>
  <c r="F79" i="33"/>
  <c r="G79" i="33" s="1"/>
  <c r="S15" i="33"/>
  <c r="W15" i="33"/>
  <c r="U9" i="33"/>
  <c r="I66" i="33"/>
  <c r="J10" i="33"/>
  <c r="H10" i="33"/>
  <c r="AB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C18" i="9"/>
  <c r="D18" i="9" s="1"/>
  <c r="F34" i="67"/>
  <c r="F62" i="67" s="1"/>
  <c r="M20" i="67"/>
  <c r="F34" i="15"/>
  <c r="F62" i="15" s="1"/>
  <c r="BA13" i="3"/>
  <c r="BL17" i="3"/>
  <c r="BL13" i="3"/>
  <c r="J56" i="9"/>
  <c r="J57" i="9" s="1"/>
  <c r="J59" i="9" s="1"/>
  <c r="J61" i="9" s="1"/>
  <c r="A24" i="51"/>
  <c r="B18" i="72"/>
  <c r="U29" i="34"/>
  <c r="E5" i="6"/>
  <c r="D9" i="11" s="1"/>
  <c r="C9" i="11" s="1"/>
  <c r="E32" i="6"/>
  <c r="L19" i="6"/>
  <c r="G1" i="68"/>
  <c r="K1" i="12"/>
  <c r="AR12" i="1"/>
  <c r="E19" i="69"/>
  <c r="E19" i="68"/>
  <c r="E19" i="11"/>
  <c r="E1" i="73"/>
  <c r="G22" i="69"/>
  <c r="G22" i="68"/>
  <c r="G26" i="12"/>
  <c r="G22" i="11"/>
  <c r="C100" i="43"/>
  <c r="E11" i="43"/>
  <c r="E10" i="43"/>
  <c r="E9" i="43"/>
  <c r="E8" i="43"/>
  <c r="C7" i="43" s="1"/>
  <c r="E81" i="43"/>
  <c r="B79" i="43" s="1"/>
  <c r="AC11" i="43"/>
  <c r="E48" i="43"/>
  <c r="B46" i="43"/>
  <c r="E70" i="43"/>
  <c r="B68" i="43"/>
  <c r="F100" i="43"/>
  <c r="H17" i="43"/>
  <c r="G6" i="1"/>
  <c r="H85" i="43"/>
  <c r="H53" i="43"/>
  <c r="H71" i="43"/>
  <c r="C17" i="43"/>
  <c r="F33" i="43"/>
  <c r="K17" i="43"/>
  <c r="F34" i="43"/>
  <c r="N6" i="43"/>
  <c r="C6" i="43"/>
  <c r="N3" i="43"/>
  <c r="F38" i="43"/>
  <c r="F37" i="43"/>
  <c r="M9" i="43"/>
  <c r="N5" i="43"/>
  <c r="M12" i="43"/>
  <c r="B19" i="53"/>
  <c r="B37" i="72"/>
  <c r="C7" i="39"/>
  <c r="C68" i="39"/>
  <c r="D68" i="39" s="1"/>
  <c r="C7" i="35"/>
  <c r="C7" i="33"/>
  <c r="C58" i="33" s="1"/>
  <c r="C7" i="21"/>
  <c r="C58" i="21" s="1"/>
  <c r="C7" i="40"/>
  <c r="C63" i="40" s="1"/>
  <c r="M47" i="9"/>
  <c r="G19" i="43"/>
  <c r="O19" i="43" s="1"/>
  <c r="C19" i="43" s="1"/>
  <c r="T35" i="4"/>
  <c r="A19" i="51"/>
  <c r="B14" i="72" s="1"/>
  <c r="C59" i="34"/>
  <c r="D59" i="34" s="1"/>
  <c r="E59" i="34" s="1"/>
  <c r="F59" i="34" s="1"/>
  <c r="G59" i="34" s="1"/>
  <c r="H59" i="34" s="1"/>
  <c r="A4" i="51"/>
  <c r="B6" i="72" s="1"/>
  <c r="C48" i="35"/>
  <c r="D48" i="35" s="1"/>
  <c r="C4" i="12"/>
  <c r="H66" i="43"/>
  <c r="H65" i="43"/>
  <c r="H64" i="43"/>
  <c r="H63" i="43"/>
  <c r="H55" i="43"/>
  <c r="H56" i="43"/>
  <c r="L20" i="6"/>
  <c r="B6" i="1"/>
  <c r="E6" i="1" s="1"/>
  <c r="S8" i="1"/>
  <c r="AQ8" i="1" s="1"/>
  <c r="K11" i="1"/>
  <c r="M11" i="1" s="1"/>
  <c r="O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A27" i="39"/>
  <c r="S27" i="39"/>
  <c r="W17" i="39"/>
  <c r="AC17" i="39"/>
  <c r="W31" i="39"/>
  <c r="AC31" i="39"/>
  <c r="S23" i="39"/>
  <c r="AB39" i="39"/>
  <c r="W34" i="39"/>
  <c r="S8" i="39"/>
  <c r="AC25" i="36"/>
  <c r="S28" i="36"/>
  <c r="U32" i="36"/>
  <c r="W29" i="36"/>
  <c r="AC20" i="36"/>
  <c r="U25" i="36"/>
  <c r="AB28" i="36"/>
  <c r="AA13" i="36"/>
  <c r="W9" i="36"/>
  <c r="W22" i="36"/>
  <c r="W23" i="36"/>
  <c r="AB20" i="35"/>
  <c r="AC25" i="35"/>
  <c r="U25" i="35"/>
  <c r="S24" i="35"/>
  <c r="W33" i="35"/>
  <c r="AA30" i="35"/>
  <c r="U24" i="35"/>
  <c r="S35" i="35"/>
  <c r="W35" i="35"/>
  <c r="AA16" i="35"/>
  <c r="AA35" i="37"/>
  <c r="W36" i="37"/>
  <c r="S27" i="37"/>
  <c r="S28" i="37"/>
  <c r="W32" i="37"/>
  <c r="U36" i="37"/>
  <c r="S40" i="37"/>
  <c r="U38" i="37"/>
  <c r="AB37" i="37"/>
  <c r="S33" i="37"/>
  <c r="AC34"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K101" i="21"/>
  <c r="L101" i="21" s="1"/>
  <c r="M101" i="21" s="1"/>
  <c r="F33" i="21"/>
  <c r="J33" i="21"/>
  <c r="W33" i="21" s="1"/>
  <c r="H33" i="21"/>
  <c r="AB33" i="21"/>
  <c r="F37" i="21"/>
  <c r="AA37" i="21"/>
  <c r="AA26" i="21"/>
  <c r="AB14" i="21"/>
  <c r="AB46" i="21"/>
  <c r="U40" i="21"/>
  <c r="AB31" i="21"/>
  <c r="U31" i="21"/>
  <c r="AC15" i="21"/>
  <c r="U13" i="21"/>
  <c r="W8" i="21"/>
  <c r="S35" i="21"/>
  <c r="AB37" i="21"/>
  <c r="J37" i="21"/>
  <c r="W37" i="21"/>
  <c r="H15" i="21"/>
  <c r="U15" i="21"/>
  <c r="J17" i="21"/>
  <c r="AC17" i="21"/>
  <c r="AC19" i="21"/>
  <c r="W39" i="21"/>
  <c r="AC14" i="21"/>
  <c r="W30" i="21"/>
  <c r="S46" i="21"/>
  <c r="H45" i="21"/>
  <c r="F29" i="21"/>
  <c r="S29" i="21" s="1"/>
  <c r="F13" i="21"/>
  <c r="AA13" i="21" s="1"/>
  <c r="AC38" i="21"/>
  <c r="H32" i="21"/>
  <c r="H9" i="21"/>
  <c r="U9" i="21" s="1"/>
  <c r="J9" i="21"/>
  <c r="J32" i="21"/>
  <c r="AC32" i="21" s="1"/>
  <c r="F32" i="21"/>
  <c r="AA31" i="21"/>
  <c r="U17"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A39" i="40"/>
  <c r="S12" i="33"/>
  <c r="AA12" i="33"/>
  <c r="J32" i="39"/>
  <c r="H107" i="39"/>
  <c r="I107" i="39" s="1"/>
  <c r="J107" i="39" s="1"/>
  <c r="K107" i="39" s="1"/>
  <c r="L107" i="39" s="1"/>
  <c r="M107" i="39" s="1"/>
  <c r="H32" i="39"/>
  <c r="U32" i="39" s="1"/>
  <c r="AA32" i="39"/>
  <c r="S32" i="39"/>
  <c r="AB21" i="39"/>
  <c r="AA21" i="39"/>
  <c r="AC21" i="39"/>
  <c r="W21" i="39"/>
  <c r="S26" i="35"/>
  <c r="U9" i="35"/>
  <c r="AB9" i="35"/>
  <c r="AA9" i="35"/>
  <c r="S9" i="35"/>
  <c r="AC26" i="35"/>
  <c r="W26" i="35"/>
  <c r="AB26" i="35"/>
  <c r="U26" i="35"/>
  <c r="AC17" i="37"/>
  <c r="S17" i="37"/>
  <c r="J19" i="37"/>
  <c r="W19" i="37" s="1"/>
  <c r="G75" i="37"/>
  <c r="AA19" i="37"/>
  <c r="J23" i="37"/>
  <c r="AC23" i="37" s="1"/>
  <c r="G79" i="37"/>
  <c r="J10" i="37"/>
  <c r="AC10" i="37" s="1"/>
  <c r="I60" i="37"/>
  <c r="G63" i="37"/>
  <c r="H63" i="37" s="1"/>
  <c r="I63" i="37" s="1"/>
  <c r="J63" i="37" s="1"/>
  <c r="K63" i="37" s="1"/>
  <c r="L63" i="37" s="1"/>
  <c r="M63" i="37" s="1"/>
  <c r="H11" i="37"/>
  <c r="AB11" i="37" s="1"/>
  <c r="AB10" i="37"/>
  <c r="U10" i="37"/>
  <c r="G70" i="34"/>
  <c r="H70" i="34" s="1"/>
  <c r="I70" i="34" s="1"/>
  <c r="J70" i="34" s="1"/>
  <c r="K70" i="34" s="1"/>
  <c r="L70" i="34" s="1"/>
  <c r="M70" i="34" s="1"/>
  <c r="H11" i="34"/>
  <c r="AB11" i="34" s="1"/>
  <c r="AB10" i="34"/>
  <c r="J10" i="34"/>
  <c r="AC10" i="34" s="1"/>
  <c r="AB41" i="33"/>
  <c r="U41" i="33"/>
  <c r="W35" i="33"/>
  <c r="AC35" i="33"/>
  <c r="H111" i="33"/>
  <c r="I111" i="33" s="1"/>
  <c r="J111" i="33" s="1"/>
  <c r="K111" i="33" s="1"/>
  <c r="L111" i="33" s="1"/>
  <c r="M111" i="33" s="1"/>
  <c r="J36" i="33"/>
  <c r="H36" i="33"/>
  <c r="U36" i="33" s="1"/>
  <c r="S36" i="33"/>
  <c r="AA36" i="33"/>
  <c r="W32" i="33"/>
  <c r="U27" i="33"/>
  <c r="AB27" i="33"/>
  <c r="J27" i="33"/>
  <c r="W27" i="33" s="1"/>
  <c r="U25" i="33"/>
  <c r="AB25" i="33"/>
  <c r="AA25" i="33"/>
  <c r="J25" i="33"/>
  <c r="W25" i="33" s="1"/>
  <c r="AB23" i="33"/>
  <c r="U23" i="33"/>
  <c r="F23" i="33"/>
  <c r="AA23" i="33" s="1"/>
  <c r="AC23" i="33"/>
  <c r="W23" i="33"/>
  <c r="AA19" i="33"/>
  <c r="H19" i="33"/>
  <c r="AB19" i="33" s="1"/>
  <c r="G81" i="33"/>
  <c r="H17" i="33"/>
  <c r="U17" i="33" s="1"/>
  <c r="F17" i="33"/>
  <c r="AA17" i="33" s="1"/>
  <c r="W17" i="33"/>
  <c r="AC17" i="33"/>
  <c r="U10" i="33"/>
  <c r="AC10" i="33"/>
  <c r="W10" i="33"/>
  <c r="AC37" i="21"/>
  <c r="U33" i="21"/>
  <c r="S37" i="21"/>
  <c r="AA23" i="21"/>
  <c r="AB15" i="21"/>
  <c r="J23" i="21"/>
  <c r="AC23" i="21" s="1"/>
  <c r="F85" i="21"/>
  <c r="G85" i="21" s="1"/>
  <c r="H23" i="21"/>
  <c r="U23" i="21" s="1"/>
  <c r="S13" i="21"/>
  <c r="AP7" i="1"/>
  <c r="AC33" i="21"/>
  <c r="S33" i="21"/>
  <c r="AA33" i="21"/>
  <c r="W32" i="21"/>
  <c r="AB9" i="21"/>
  <c r="AA32" i="21"/>
  <c r="S32" i="21"/>
  <c r="W9" i="21"/>
  <c r="AC9" i="21"/>
  <c r="AB32" i="21"/>
  <c r="U32" i="21"/>
  <c r="AA10" i="21"/>
  <c r="AB32" i="39"/>
  <c r="AC32" i="39"/>
  <c r="W32" i="39"/>
  <c r="AC19" i="37"/>
  <c r="W23" i="37"/>
  <c r="U11" i="37"/>
  <c r="J11" i="37"/>
  <c r="W10" i="37"/>
  <c r="U11" i="34"/>
  <c r="W10" i="34"/>
  <c r="J11" i="34"/>
  <c r="AC36" i="33"/>
  <c r="W36" i="33"/>
  <c r="AB36" i="33"/>
  <c r="AC25" i="33"/>
  <c r="S23" i="33"/>
  <c r="U19" i="33"/>
  <c r="S17" i="33"/>
  <c r="AB17" i="33"/>
  <c r="AB23" i="21"/>
  <c r="W23" i="21"/>
  <c r="AC11" i="37"/>
  <c r="W11" i="37"/>
  <c r="W11" i="34"/>
  <c r="AC11" i="34"/>
  <c r="F34" i="11"/>
  <c r="F11" i="12"/>
  <c r="C23" i="12" s="1"/>
  <c r="F34" i="68"/>
  <c r="R8" i="1"/>
  <c r="AE8" i="1"/>
  <c r="AG6" i="1"/>
  <c r="H109" i="9"/>
  <c r="D16" i="53" s="1"/>
  <c r="H112" i="9"/>
  <c r="D21" i="53" s="1"/>
  <c r="B39" i="72" s="1"/>
  <c r="H111" i="9"/>
  <c r="D126" i="9" s="1"/>
  <c r="I14" i="74" s="1"/>
  <c r="B8" i="74" s="1"/>
  <c r="D19" i="53"/>
  <c r="B38" i="72" s="1"/>
  <c r="AD3" i="71"/>
  <c r="J1" i="7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C18" i="71"/>
  <c r="D18" i="71"/>
  <c r="D19" i="71"/>
  <c r="D20" i="71"/>
  <c r="U20" i="71" s="1"/>
  <c r="S20" i="71"/>
  <c r="T20" i="71"/>
  <c r="AB18" i="71"/>
  <c r="X16" i="71"/>
  <c r="X15" i="71"/>
  <c r="AA16" i="71"/>
  <c r="AA15" i="71"/>
  <c r="X19" i="71"/>
  <c r="Y15" i="71"/>
  <c r="Z15" i="71" s="1"/>
  <c r="AB16" i="71"/>
  <c r="AB15" i="71"/>
  <c r="C94" i="9"/>
  <c r="C92" i="9"/>
  <c r="Y16" i="71"/>
  <c r="Z16" i="71" s="1"/>
  <c r="X3" i="71"/>
  <c r="C17" i="71"/>
  <c r="G20" i="43"/>
  <c r="E41" i="43" s="1"/>
  <c r="C41" i="43" s="1"/>
  <c r="C16" i="71"/>
  <c r="C15" i="71" s="1"/>
  <c r="C14" i="71" s="1"/>
  <c r="C13" i="71" s="1"/>
  <c r="D17" i="71"/>
  <c r="I59" i="34"/>
  <c r="J59" i="34" s="1"/>
  <c r="T16" i="71"/>
  <c r="D16" i="71"/>
  <c r="U16" i="71" s="1"/>
  <c r="F6" i="67"/>
  <c r="M23" i="67"/>
  <c r="AO10" i="1"/>
  <c r="E7" i="76"/>
  <c r="M21" i="67"/>
  <c r="F36" i="15"/>
  <c r="F40" i="15"/>
  <c r="F20" i="31"/>
  <c r="F26" i="15"/>
  <c r="E9" i="76"/>
  <c r="E12" i="76"/>
  <c r="M23" i="15"/>
  <c r="AO13" i="1"/>
  <c r="M8" i="67"/>
  <c r="D2" i="33"/>
  <c r="M24" i="67"/>
  <c r="B10" i="76"/>
  <c r="F8" i="67"/>
  <c r="L47" i="15"/>
  <c r="F35" i="67"/>
  <c r="D3" i="73"/>
  <c r="E2" i="68"/>
  <c r="E2" i="69"/>
  <c r="F16" i="67"/>
  <c r="AO11" i="1"/>
  <c r="F38" i="15"/>
  <c r="F8" i="15"/>
  <c r="B13" i="76"/>
  <c r="F43" i="15"/>
  <c r="L47" i="67"/>
  <c r="F7" i="73"/>
  <c r="D5" i="73"/>
  <c r="C76" i="15"/>
  <c r="F37" i="67"/>
  <c r="AO9" i="1"/>
  <c r="D2" i="21"/>
  <c r="M9" i="67"/>
  <c r="D4" i="73"/>
  <c r="F5" i="73"/>
  <c r="B9" i="76"/>
  <c r="F6" i="15"/>
  <c r="C76" i="67"/>
  <c r="E8" i="76"/>
  <c r="M22" i="15"/>
  <c r="M6" i="67"/>
  <c r="F41" i="67"/>
  <c r="M28" i="67"/>
  <c r="M9" i="15"/>
  <c r="D2" i="34"/>
  <c r="F42" i="67"/>
  <c r="M27" i="15"/>
  <c r="F38" i="67"/>
  <c r="F6" i="73"/>
  <c r="J15" i="67"/>
  <c r="F40" i="67"/>
  <c r="B12" i="76"/>
  <c r="B11" i="76"/>
  <c r="F7" i="15"/>
  <c r="F9" i="67"/>
  <c r="F13" i="15"/>
  <c r="B7" i="76"/>
  <c r="D7" i="73"/>
  <c r="AO12" i="1"/>
  <c r="M22" i="67"/>
  <c r="F7" i="67"/>
  <c r="M6" i="15"/>
  <c r="F37" i="15"/>
  <c r="B8" i="76"/>
  <c r="M28" i="15"/>
  <c r="D2" i="35"/>
  <c r="E11" i="76"/>
  <c r="M26" i="15"/>
  <c r="M24" i="15"/>
  <c r="F36" i="67"/>
  <c r="M27" i="67"/>
  <c r="M29" i="67"/>
  <c r="D2" i="37"/>
  <c r="J15" i="15"/>
  <c r="F13" i="67"/>
  <c r="AO8" i="1"/>
  <c r="E13" i="76"/>
  <c r="F26" i="67"/>
  <c r="M26" i="67"/>
  <c r="M29" i="15"/>
  <c r="E10" i="76"/>
  <c r="D6" i="73"/>
  <c r="L48" i="15"/>
  <c r="F16" i="15"/>
  <c r="F9" i="15"/>
  <c r="F42" i="15"/>
  <c r="F43" i="67"/>
  <c r="D2" i="36"/>
  <c r="M8" i="15"/>
  <c r="F4" i="73"/>
  <c r="L48" i="67"/>
  <c r="F3" i="73"/>
  <c r="D19" i="12" l="1"/>
  <c r="C19" i="12" s="1"/>
  <c r="AD11" i="43"/>
  <c r="H101" i="43"/>
  <c r="J22" i="43"/>
  <c r="L27" i="6"/>
  <c r="AI11" i="43"/>
  <c r="AI13" i="43" s="1"/>
  <c r="T12" i="1"/>
  <c r="E101" i="43"/>
  <c r="E102" i="43" s="1"/>
  <c r="F22" i="43"/>
  <c r="E10" i="6"/>
  <c r="Y11" i="43"/>
  <c r="Y13" i="43" s="1"/>
  <c r="AE11" i="43"/>
  <c r="AE13" i="43" s="1"/>
  <c r="Z11" i="43"/>
  <c r="AH11" i="43"/>
  <c r="M101" i="43"/>
  <c r="M107" i="43" s="1"/>
  <c r="H22" i="43"/>
  <c r="AZ13" i="3"/>
  <c r="E11" i="6"/>
  <c r="E61" i="39" s="1"/>
  <c r="AQ10" i="1"/>
  <c r="AR10" i="1"/>
  <c r="W39" i="34"/>
  <c r="AC39" i="34"/>
  <c r="S35" i="33"/>
  <c r="AA35" i="33"/>
  <c r="W27" i="36"/>
  <c r="AC27" i="36"/>
  <c r="S33" i="34"/>
  <c r="AA33" i="34"/>
  <c r="H83" i="43"/>
  <c r="H86" i="43"/>
  <c r="H87" i="43"/>
  <c r="H81" i="43"/>
  <c r="H88" i="43"/>
  <c r="G30" i="6"/>
  <c r="G31" i="6" s="1"/>
  <c r="AZ159" i="3"/>
  <c r="U12" i="35"/>
  <c r="AB12" i="35"/>
  <c r="AB23" i="36"/>
  <c r="U23" i="36"/>
  <c r="AB14" i="37"/>
  <c r="U14" i="37"/>
  <c r="U27" i="37"/>
  <c r="AB27" i="37"/>
  <c r="AB40" i="40"/>
  <c r="U40" i="40"/>
  <c r="U35" i="39"/>
  <c r="AB35" i="39"/>
  <c r="D15" i="71"/>
  <c r="D14" i="71"/>
  <c r="G17" i="43"/>
  <c r="C16" i="43" s="1"/>
  <c r="D5" i="43" s="1"/>
  <c r="C39" i="43" s="1"/>
  <c r="D20" i="53"/>
  <c r="B40" i="72" s="1"/>
  <c r="D124" i="9"/>
  <c r="H14" i="74" s="1"/>
  <c r="B7" i="74" s="1"/>
  <c r="AC27" i="33"/>
  <c r="AA23" i="37"/>
  <c r="H84" i="43"/>
  <c r="E14" i="6"/>
  <c r="E64" i="39" s="1"/>
  <c r="S32" i="37"/>
  <c r="S20" i="35"/>
  <c r="S27" i="36"/>
  <c r="U35" i="40"/>
  <c r="AQ11" i="1"/>
  <c r="T11" i="1"/>
  <c r="AR11" i="1"/>
  <c r="W26" i="33"/>
  <c r="H82" i="43"/>
  <c r="U23" i="39"/>
  <c r="AB23" i="39"/>
  <c r="AA20" i="36"/>
  <c r="S20" i="36"/>
  <c r="AB32" i="37"/>
  <c r="U32" i="37"/>
  <c r="U35" i="37"/>
  <c r="AB35" i="37"/>
  <c r="AC12" i="36"/>
  <c r="H73" i="43"/>
  <c r="H75" i="43"/>
  <c r="H78" i="43"/>
  <c r="H72" i="43"/>
  <c r="AZ191" i="3"/>
  <c r="AZ119" i="3"/>
  <c r="AZ345" i="3"/>
  <c r="S12" i="21"/>
  <c r="AA12" i="21"/>
  <c r="AC29" i="21"/>
  <c r="W29" i="21"/>
  <c r="U23" i="35"/>
  <c r="AB23" i="35"/>
  <c r="AC24" i="36"/>
  <c r="W24" i="36"/>
  <c r="AC26" i="37"/>
  <c r="W26" i="37"/>
  <c r="W12" i="40"/>
  <c r="AC12" i="40"/>
  <c r="AZ511" i="3"/>
  <c r="AZ515" i="3"/>
  <c r="AZ519" i="3"/>
  <c r="AZ565" i="3"/>
  <c r="AZ569" i="3"/>
  <c r="AZ573" i="3"/>
  <c r="AZ577" i="3"/>
  <c r="AZ508" i="3"/>
  <c r="BA551" i="3"/>
  <c r="AZ551" i="3" s="1"/>
  <c r="BL548" i="3"/>
  <c r="D78" i="9"/>
  <c r="D93" i="80"/>
  <c r="D78" i="80"/>
  <c r="AZ438" i="3"/>
  <c r="AZ443" i="3"/>
  <c r="AZ461" i="3"/>
  <c r="AZ468" i="3"/>
  <c r="AZ479" i="3"/>
  <c r="AC21" i="34"/>
  <c r="W21" i="34"/>
  <c r="AB25" i="40"/>
  <c r="U25" i="40"/>
  <c r="AB27" i="71"/>
  <c r="AB25" i="71"/>
  <c r="Y26" i="71"/>
  <c r="Z26" i="71" s="1"/>
  <c r="C30" i="71"/>
  <c r="Y23" i="71"/>
  <c r="Z23" i="71" s="1"/>
  <c r="AA30" i="71"/>
  <c r="AA29" i="71"/>
  <c r="X31" i="71"/>
  <c r="X25" i="71"/>
  <c r="X29" i="71"/>
  <c r="X30" i="71"/>
  <c r="X24" i="71"/>
  <c r="Y35" i="71"/>
  <c r="Z35" i="71" s="1"/>
  <c r="Y34" i="71"/>
  <c r="Z34" i="71" s="1"/>
  <c r="Y32" i="71"/>
  <c r="Z32" i="71" s="1"/>
  <c r="F62" i="71"/>
  <c r="Q63" i="71"/>
  <c r="O64" i="71"/>
  <c r="C63" i="71"/>
  <c r="D64" i="71"/>
  <c r="V64" i="71"/>
  <c r="Q64" i="71"/>
  <c r="U68" i="71"/>
  <c r="E67" i="71"/>
  <c r="E66" i="71" s="1"/>
  <c r="T72" i="71"/>
  <c r="D72" i="71"/>
  <c r="C71" i="71"/>
  <c r="U76" i="71"/>
  <c r="E75" i="71"/>
  <c r="E74" i="71" s="1"/>
  <c r="D80" i="71"/>
  <c r="C79" i="71"/>
  <c r="AI12" i="43"/>
  <c r="AI10" i="43"/>
  <c r="X22" i="71"/>
  <c r="AA22" i="71"/>
  <c r="E23" i="71"/>
  <c r="E22" i="71" s="1"/>
  <c r="AA23" i="71"/>
  <c r="Y22" i="71"/>
  <c r="Z22" i="71" s="1"/>
  <c r="Y21" i="71"/>
  <c r="Z21" i="71" s="1"/>
  <c r="AB22" i="71"/>
  <c r="AA3" i="71"/>
  <c r="AZ17" i="3"/>
  <c r="D120" i="9"/>
  <c r="U42" i="33"/>
  <c r="U28" i="34"/>
  <c r="AC15" i="37"/>
  <c r="S36" i="37"/>
  <c r="AB31" i="37"/>
  <c r="AA22" i="36"/>
  <c r="AA12" i="39"/>
  <c r="S15" i="39"/>
  <c r="U25" i="39"/>
  <c r="AB19" i="40"/>
  <c r="AA32" i="40"/>
  <c r="AC36" i="40"/>
  <c r="F48" i="9"/>
  <c r="O52" i="9" s="1"/>
  <c r="F32" i="82"/>
  <c r="F60" i="82" s="1"/>
  <c r="F28" i="82"/>
  <c r="M18" i="82"/>
  <c r="F52" i="80"/>
  <c r="F48" i="80"/>
  <c r="O52" i="80" s="1"/>
  <c r="D68" i="80"/>
  <c r="F54" i="80"/>
  <c r="F53" i="80"/>
  <c r="F30" i="79"/>
  <c r="F48" i="79" s="1"/>
  <c r="S15" i="37"/>
  <c r="AZ493" i="3"/>
  <c r="BQ5" i="3"/>
  <c r="F28" i="6" s="1"/>
  <c r="E28" i="6" s="1"/>
  <c r="K14" i="1" s="1"/>
  <c r="M14" i="1" s="1"/>
  <c r="O14" i="1" s="1"/>
  <c r="F29" i="6"/>
  <c r="F30" i="6" s="1"/>
  <c r="AZ16" i="3"/>
  <c r="AZ342" i="3"/>
  <c r="AZ312" i="3"/>
  <c r="W35" i="40"/>
  <c r="W14" i="39"/>
  <c r="AC13" i="40"/>
  <c r="W44" i="33"/>
  <c r="AA41" i="34"/>
  <c r="AZ525" i="3"/>
  <c r="AZ533" i="3"/>
  <c r="AZ541" i="3"/>
  <c r="AZ555" i="3"/>
  <c r="AZ583" i="3"/>
  <c r="AZ510" i="3"/>
  <c r="AZ540" i="3"/>
  <c r="AZ548" i="3"/>
  <c r="AZ558" i="3"/>
  <c r="S44" i="34"/>
  <c r="U13" i="33"/>
  <c r="AB45" i="33"/>
  <c r="AA14" i="34"/>
  <c r="AB46" i="34"/>
  <c r="W11" i="36"/>
  <c r="U46" i="33"/>
  <c r="S28" i="34"/>
  <c r="S41" i="33"/>
  <c r="AB23" i="34"/>
  <c r="W33" i="37"/>
  <c r="C27" i="39"/>
  <c r="S40" i="21"/>
  <c r="U34" i="34"/>
  <c r="J33" i="36"/>
  <c r="AA31" i="36"/>
  <c r="W28" i="36"/>
  <c r="F45" i="39"/>
  <c r="BL586" i="3"/>
  <c r="AZ586" i="3" s="1"/>
  <c r="BL585" i="3"/>
  <c r="H12" i="34"/>
  <c r="J23" i="35"/>
  <c r="AC31" i="35"/>
  <c r="F9" i="36"/>
  <c r="J25" i="37"/>
  <c r="F26" i="37"/>
  <c r="G570" i="3"/>
  <c r="G556" i="3"/>
  <c r="BL550" i="3"/>
  <c r="BA550" i="3"/>
  <c r="G526" i="3"/>
  <c r="M20" i="15"/>
  <c r="F34" i="82"/>
  <c r="F62" i="82" s="1"/>
  <c r="M20" i="82"/>
  <c r="BL15" i="3"/>
  <c r="AZ15" i="3" s="1"/>
  <c r="G41" i="69"/>
  <c r="G22" i="79"/>
  <c r="G41" i="79"/>
  <c r="A15" i="62"/>
  <c r="B61" i="72" s="1"/>
  <c r="G398" i="3"/>
  <c r="BL398" i="3"/>
  <c r="AZ398" i="3" s="1"/>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AZ418" i="3" s="1"/>
  <c r="BL418" i="3"/>
  <c r="G420" i="3"/>
  <c r="BL420" i="3"/>
  <c r="BA421" i="3"/>
  <c r="AZ421" i="3" s="1"/>
  <c r="BA422" i="3"/>
  <c r="BL422" i="3"/>
  <c r="BA423" i="3"/>
  <c r="AZ423" i="3" s="1"/>
  <c r="G426" i="3"/>
  <c r="BL426" i="3"/>
  <c r="BA427" i="3"/>
  <c r="AZ427" i="3" s="1"/>
  <c r="BA428" i="3"/>
  <c r="AZ428" i="3" s="1"/>
  <c r="G431" i="3"/>
  <c r="BL431" i="3"/>
  <c r="BA432" i="3"/>
  <c r="AZ432" i="3" s="1"/>
  <c r="BA433" i="3"/>
  <c r="AZ433" i="3" s="1"/>
  <c r="BA434" i="3"/>
  <c r="AZ434" i="3" s="1"/>
  <c r="BL434" i="3"/>
  <c r="G436" i="3"/>
  <c r="BL436" i="3"/>
  <c r="AZ436" i="3" s="1"/>
  <c r="G441" i="3"/>
  <c r="G442" i="3"/>
  <c r="G446" i="3"/>
  <c r="G448" i="3"/>
  <c r="BL448" i="3"/>
  <c r="AZ448" i="3" s="1"/>
  <c r="BA449" i="3"/>
  <c r="AZ449" i="3" s="1"/>
  <c r="BA450" i="3"/>
  <c r="AZ450" i="3" s="1"/>
  <c r="BL450" i="3"/>
  <c r="G452" i="3"/>
  <c r="BL452" i="3"/>
  <c r="BA453" i="3"/>
  <c r="AZ453" i="3" s="1"/>
  <c r="BA454" i="3"/>
  <c r="BL454" i="3"/>
  <c r="BA455" i="3"/>
  <c r="AZ455" i="3" s="1"/>
  <c r="BL457" i="3"/>
  <c r="AZ457" i="3" s="1"/>
  <c r="G459" i="3"/>
  <c r="G461" i="3"/>
  <c r="BL461" i="3"/>
  <c r="G463" i="3"/>
  <c r="BL463" i="3"/>
  <c r="AZ463" i="3" s="1"/>
  <c r="BA464" i="3"/>
  <c r="AZ464" i="3" s="1"/>
  <c r="BA465" i="3"/>
  <c r="AZ465" i="3" s="1"/>
  <c r="G468" i="3"/>
  <c r="BL468" i="3"/>
  <c r="G470" i="3"/>
  <c r="BL470" i="3"/>
  <c r="AZ470" i="3" s="1"/>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AZ488" i="3" s="1"/>
  <c r="BL490" i="3"/>
  <c r="AZ490" i="3" s="1"/>
  <c r="G311" i="3"/>
  <c r="G315" i="3"/>
  <c r="BA317" i="3"/>
  <c r="BL317" i="3"/>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BL223" i="3"/>
  <c r="AZ223" i="3" s="1"/>
  <c r="AZ100" i="3"/>
  <c r="K108" i="43"/>
  <c r="K100" i="43"/>
  <c r="U21" i="21"/>
  <c r="B86" i="43"/>
  <c r="C25" i="40"/>
  <c r="AA21" i="21"/>
  <c r="S21" i="21"/>
  <c r="AA18" i="35"/>
  <c r="S18" i="35"/>
  <c r="T64" i="71"/>
  <c r="AB21" i="71"/>
  <c r="AB24" i="71"/>
  <c r="C36" i="71"/>
  <c r="G226" i="3"/>
  <c r="BL226" i="3"/>
  <c r="G229" i="3"/>
  <c r="G230" i="3"/>
  <c r="BL230" i="3"/>
  <c r="BA231" i="3"/>
  <c r="AZ231" i="3" s="1"/>
  <c r="BA232" i="3"/>
  <c r="AZ232" i="3" s="1"/>
  <c r="BA233" i="3"/>
  <c r="AZ233" i="3" s="1"/>
  <c r="BA234" i="3"/>
  <c r="AZ234" i="3" s="1"/>
  <c r="BA235" i="3"/>
  <c r="AZ235" i="3" s="1"/>
  <c r="BL237" i="3"/>
  <c r="AZ237" i="3" s="1"/>
  <c r="G240" i="3"/>
  <c r="G241" i="3"/>
  <c r="G242" i="3"/>
  <c r="BL242" i="3"/>
  <c r="AZ242" i="3" s="1"/>
  <c r="G245" i="3"/>
  <c r="G246" i="3"/>
  <c r="BL246" i="3"/>
  <c r="BA247" i="3"/>
  <c r="AZ247" i="3" s="1"/>
  <c r="BA248" i="3"/>
  <c r="AZ248" i="3" s="1"/>
  <c r="BA249" i="3"/>
  <c r="AZ249" i="3" s="1"/>
  <c r="BA250" i="3"/>
  <c r="AZ250" i="3" s="1"/>
  <c r="BA251" i="3"/>
  <c r="AZ251" i="3" s="1"/>
  <c r="BL253" i="3"/>
  <c r="AZ253" i="3" s="1"/>
  <c r="G256" i="3"/>
  <c r="G257" i="3"/>
  <c r="G258" i="3"/>
  <c r="BL258" i="3"/>
  <c r="BL260"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BL287" i="3"/>
  <c r="AZ287" i="3" s="1"/>
  <c r="G290" i="3"/>
  <c r="BL290" i="3"/>
  <c r="G293" i="3"/>
  <c r="BL293" i="3"/>
  <c r="AZ293" i="3" s="1"/>
  <c r="BA294" i="3"/>
  <c r="AZ294" i="3" s="1"/>
  <c r="BA295" i="3"/>
  <c r="AZ295" i="3" s="1"/>
  <c r="BA296" i="3"/>
  <c r="AZ296" i="3" s="1"/>
  <c r="BA297" i="3"/>
  <c r="AZ297" i="3" s="1"/>
  <c r="BL299" i="3"/>
  <c r="AZ299" i="3" s="1"/>
  <c r="BA300" i="3"/>
  <c r="AZ300" i="3" s="1"/>
  <c r="G114" i="3"/>
  <c r="G115" i="3"/>
  <c r="BL117" i="3"/>
  <c r="AZ117" i="3" s="1"/>
  <c r="BA118" i="3"/>
  <c r="AZ118" i="3" s="1"/>
  <c r="BL119" i="3"/>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BA161" i="3"/>
  <c r="AZ161" i="3" s="1"/>
  <c r="BA162" i="3"/>
  <c r="AZ162" i="3" s="1"/>
  <c r="BL163" i="3"/>
  <c r="AZ163" i="3" s="1"/>
  <c r="BL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BA193" i="3"/>
  <c r="AZ193" i="3" s="1"/>
  <c r="BA194" i="3"/>
  <c r="AZ194" i="3" s="1"/>
  <c r="BL195" i="3"/>
  <c r="AZ195" i="3" s="1"/>
  <c r="BL198" i="3"/>
  <c r="AZ198" i="3" s="1"/>
  <c r="BA200" i="3"/>
  <c r="AZ200" i="3" s="1"/>
  <c r="BL201" i="3"/>
  <c r="G204" i="3"/>
  <c r="G206" i="3"/>
  <c r="G207" i="3"/>
  <c r="BL207" i="3"/>
  <c r="BA18" i="3"/>
  <c r="AZ18" i="3" s="1"/>
  <c r="BA19" i="3"/>
  <c r="AZ19" i="3" s="1"/>
  <c r="BA20" i="3"/>
  <c r="AZ20" i="3" s="1"/>
  <c r="BA21" i="3"/>
  <c r="AZ21" i="3" s="1"/>
  <c r="G24" i="3"/>
  <c r="G25" i="3"/>
  <c r="BL25" i="3"/>
  <c r="AZ25" i="3" s="1"/>
  <c r="G28" i="3"/>
  <c r="G29" i="3"/>
  <c r="G30" i="3"/>
  <c r="BL30" i="3"/>
  <c r="BL32" i="3"/>
  <c r="AZ32" i="3" s="1"/>
  <c r="G35" i="3"/>
  <c r="G36" i="3"/>
  <c r="BL36" i="3"/>
  <c r="AZ36" i="3" s="1"/>
  <c r="G39" i="3"/>
  <c r="G40" i="3"/>
  <c r="BL40" i="3"/>
  <c r="BL42" i="3"/>
  <c r="AZ42" i="3" s="1"/>
  <c r="G45" i="3"/>
  <c r="G46" i="3"/>
  <c r="BL46" i="3"/>
  <c r="G49" i="3"/>
  <c r="BL49" i="3"/>
  <c r="BL51" i="3"/>
  <c r="AZ51" i="3" s="1"/>
  <c r="BA52" i="3"/>
  <c r="AZ52" i="3" s="1"/>
  <c r="BA53" i="3"/>
  <c r="AZ53" i="3" s="1"/>
  <c r="BL55" i="3"/>
  <c r="AZ55" i="3" s="1"/>
  <c r="BA56" i="3"/>
  <c r="AZ56" i="3" s="1"/>
  <c r="BA57" i="3"/>
  <c r="AZ57" i="3" s="1"/>
  <c r="BA58" i="3"/>
  <c r="AZ58" i="3" s="1"/>
  <c r="BA59" i="3"/>
  <c r="AZ59" i="3" s="1"/>
  <c r="BL61" i="3"/>
  <c r="AZ61" i="3" s="1"/>
  <c r="G63" i="3"/>
  <c r="G64" i="3"/>
  <c r="BL64" i="3"/>
  <c r="BA65" i="3"/>
  <c r="AZ65" i="3" s="1"/>
  <c r="BA66" i="3"/>
  <c r="AZ66" i="3" s="1"/>
  <c r="BA67" i="3"/>
  <c r="AZ67" i="3" s="1"/>
  <c r="AZ87" i="3"/>
  <c r="F3" i="35"/>
  <c r="G1" i="82"/>
  <c r="G1" i="79"/>
  <c r="W21" i="21"/>
  <c r="AC21" i="21"/>
  <c r="AC21" i="33"/>
  <c r="W21" i="33"/>
  <c r="B75" i="43"/>
  <c r="B66" i="43"/>
  <c r="C29" i="39"/>
  <c r="AA29" i="39"/>
  <c r="S29" i="39"/>
  <c r="C27" i="71"/>
  <c r="D26" i="71"/>
  <c r="G71" i="3"/>
  <c r="G72" i="3"/>
  <c r="G73" i="3"/>
  <c r="BL73" i="3"/>
  <c r="AZ73" i="3" s="1"/>
  <c r="BL75" i="3"/>
  <c r="AZ75" i="3" s="1"/>
  <c r="BA76" i="3"/>
  <c r="AZ76" i="3" s="1"/>
  <c r="BA77" i="3"/>
  <c r="AZ77" i="3" s="1"/>
  <c r="BL79" i="3"/>
  <c r="AZ79" i="3" s="1"/>
  <c r="G82" i="3"/>
  <c r="G83" i="3"/>
  <c r="G84" i="3"/>
  <c r="G85" i="3"/>
  <c r="G86" i="3"/>
  <c r="G87" i="3"/>
  <c r="BL87" i="3"/>
  <c r="BL89" i="3"/>
  <c r="AZ89" i="3" s="1"/>
  <c r="BA90" i="3"/>
  <c r="AZ90" i="3" s="1"/>
  <c r="G93" i="3"/>
  <c r="G94" i="3"/>
  <c r="G95" i="3"/>
  <c r="BL95" i="3"/>
  <c r="AZ95" i="3" s="1"/>
  <c r="BA96" i="3"/>
  <c r="AZ96" i="3" s="1"/>
  <c r="BA97" i="3"/>
  <c r="AZ97" i="3" s="1"/>
  <c r="G100" i="3"/>
  <c r="BL100" i="3"/>
  <c r="BL102" i="3"/>
  <c r="AZ102" i="3" s="1"/>
  <c r="BA103" i="3"/>
  <c r="AZ103" i="3" s="1"/>
  <c r="BL105" i="3"/>
  <c r="AZ105" i="3" s="1"/>
  <c r="BA106" i="3"/>
  <c r="AZ106" i="3" s="1"/>
  <c r="BA107" i="3"/>
  <c r="AZ107" i="3" s="1"/>
  <c r="BL109" i="3"/>
  <c r="AZ109" i="3" s="1"/>
  <c r="BL111" i="3"/>
  <c r="AZ111" i="3" s="1"/>
  <c r="BA112" i="3"/>
  <c r="AZ112" i="3" s="1"/>
  <c r="I10" i="66"/>
  <c r="B23" i="71"/>
  <c r="B22" i="71" s="1"/>
  <c r="E31" i="71"/>
  <c r="E32" i="71" s="1"/>
  <c r="U32" i="71" s="1"/>
  <c r="Y25" i="71"/>
  <c r="Z25" i="71" s="1"/>
  <c r="Y24" i="71"/>
  <c r="Z24" i="71" s="1"/>
  <c r="F28" i="71"/>
  <c r="V28" i="71" s="1"/>
  <c r="AA26" i="71"/>
  <c r="AA24" i="71"/>
  <c r="AA31" i="71"/>
  <c r="AA32" i="71"/>
  <c r="Y33" i="71"/>
  <c r="Z33" i="71" s="1"/>
  <c r="F34" i="71"/>
  <c r="F35" i="71" s="1"/>
  <c r="F36" i="71" s="1"/>
  <c r="V36" i="71" s="1"/>
  <c r="AB33" i="71"/>
  <c r="P64" i="71"/>
  <c r="E63" i="71"/>
  <c r="U72" i="71"/>
  <c r="E71" i="71"/>
  <c r="E70" i="71" s="1"/>
  <c r="D84" i="71"/>
  <c r="C83" i="71"/>
  <c r="E18" i="71"/>
  <c r="E17" i="71" s="1"/>
  <c r="E16" i="71" s="1"/>
  <c r="F18" i="71"/>
  <c r="F17" i="71" s="1"/>
  <c r="F16" i="71" s="1"/>
  <c r="F15" i="71" s="1"/>
  <c r="F14" i="71" s="1"/>
  <c r="F13" i="71" s="1"/>
  <c r="B18" i="71"/>
  <c r="B17" i="71" s="1"/>
  <c r="B16" i="71" s="1"/>
  <c r="E35" i="71"/>
  <c r="E36" i="71" s="1"/>
  <c r="U36" i="71" s="1"/>
  <c r="B32" i="71"/>
  <c r="S32" i="71" s="1"/>
  <c r="B28" i="71"/>
  <c r="S28" i="71" s="1"/>
  <c r="X21" i="71"/>
  <c r="E27" i="71"/>
  <c r="E28" i="71" s="1"/>
  <c r="U28" i="71" s="1"/>
  <c r="X26" i="71"/>
  <c r="AB26" i="71"/>
  <c r="Y27" i="71"/>
  <c r="Z27" i="71" s="1"/>
  <c r="X27" i="71"/>
  <c r="AB28" i="71"/>
  <c r="AB30" i="71"/>
  <c r="Y31" i="71"/>
  <c r="Z31" i="71" s="1"/>
  <c r="AB32" i="71"/>
  <c r="B36" i="71"/>
  <c r="S36" i="71" s="1"/>
  <c r="N56" i="80"/>
  <c r="K56" i="80"/>
  <c r="M56" i="80"/>
  <c r="J56" i="80"/>
  <c r="J57" i="80" s="1"/>
  <c r="J59" i="80" s="1"/>
  <c r="J61" i="80" s="1"/>
  <c r="G14" i="3"/>
  <c r="J51" i="82"/>
  <c r="M47" i="80"/>
  <c r="C77" i="9"/>
  <c r="C74" i="9" s="1"/>
  <c r="C28" i="82"/>
  <c r="C48" i="79"/>
  <c r="C77" i="80"/>
  <c r="C74" i="80" s="1"/>
  <c r="U9" i="39"/>
  <c r="H110" i="9"/>
  <c r="D18" i="53" s="1"/>
  <c r="B35" i="72" s="1"/>
  <c r="C51" i="10"/>
  <c r="A13" i="51" s="1"/>
  <c r="B11" i="72" s="1"/>
  <c r="A118" i="80"/>
  <c r="A2" i="80"/>
  <c r="G7" i="1"/>
  <c r="C40" i="11"/>
  <c r="C40" i="69"/>
  <c r="C21" i="69"/>
  <c r="AB45" i="39"/>
  <c r="U45" i="39"/>
  <c r="J45" i="39"/>
  <c r="H105" i="43"/>
  <c r="E104" i="43"/>
  <c r="T13" i="1"/>
  <c r="AQ13" i="1"/>
  <c r="T10" i="1"/>
  <c r="E13" i="6"/>
  <c r="E15" i="6"/>
  <c r="M6" i="1"/>
  <c r="E12" i="6"/>
  <c r="J101" i="43"/>
  <c r="J103" i="43" s="1"/>
  <c r="K5" i="4"/>
  <c r="B47" i="48" s="1"/>
  <c r="C5" i="43"/>
  <c r="P61" i="15"/>
  <c r="F32" i="67"/>
  <c r="F60" i="67" s="1"/>
  <c r="F28" i="15"/>
  <c r="C28" i="15" s="1"/>
  <c r="F28" i="67"/>
  <c r="D68" i="9"/>
  <c r="F32" i="15"/>
  <c r="F60" i="15" s="1"/>
  <c r="F52" i="9"/>
  <c r="F30" i="68"/>
  <c r="C48" i="68" s="1"/>
  <c r="C24" i="12"/>
  <c r="F54" i="9"/>
  <c r="M18" i="15"/>
  <c r="F30" i="69"/>
  <c r="C30" i="69" s="1"/>
  <c r="M18" i="67"/>
  <c r="F31" i="12"/>
  <c r="C31" i="12" s="1"/>
  <c r="F30" i="11"/>
  <c r="C30" i="11" s="1"/>
  <c r="F53" i="9"/>
  <c r="N101" i="43"/>
  <c r="N107" i="43" s="1"/>
  <c r="D22" i="67"/>
  <c r="H106" i="43"/>
  <c r="E107" i="43"/>
  <c r="AA11" i="43"/>
  <c r="AA13" i="43" s="1"/>
  <c r="AG11" i="43"/>
  <c r="Z7" i="43"/>
  <c r="AB11" i="43"/>
  <c r="AB13" i="43" s="1"/>
  <c r="AF11" i="43"/>
  <c r="AF13" i="43" s="1"/>
  <c r="AJ11" i="43"/>
  <c r="AJ13" i="43" s="1"/>
  <c r="G22" i="43"/>
  <c r="I101" i="43"/>
  <c r="I105" i="43" s="1"/>
  <c r="D101" i="43"/>
  <c r="D102" i="43" s="1"/>
  <c r="L101" i="43"/>
  <c r="L105" i="43" s="1"/>
  <c r="P10" i="1"/>
  <c r="G101" i="43"/>
  <c r="K101" i="43"/>
  <c r="C36" i="69"/>
  <c r="B115" i="43"/>
  <c r="C115" i="43" s="1"/>
  <c r="D116" i="43"/>
  <c r="E116" i="43" s="1"/>
  <c r="F116" i="43" s="1"/>
  <c r="G116" i="43" s="1"/>
  <c r="H116" i="43" s="1"/>
  <c r="G118" i="43"/>
  <c r="H118" i="43" s="1"/>
  <c r="B118" i="43"/>
  <c r="C118" i="43" s="1"/>
  <c r="I116" i="43"/>
  <c r="J116" i="43" s="1"/>
  <c r="K116" i="43" s="1"/>
  <c r="L116" i="43" s="1"/>
  <c r="M116"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N104" i="46"/>
  <c r="C101" i="43"/>
  <c r="E22" i="43"/>
  <c r="F101" i="43"/>
  <c r="G11" i="1"/>
  <c r="G16" i="1" s="1"/>
  <c r="F10" i="39" s="1"/>
  <c r="D9" i="69"/>
  <c r="C9" i="69" s="1"/>
  <c r="T8" i="1"/>
  <c r="D106" i="43"/>
  <c r="I107" i="43"/>
  <c r="F27" i="6"/>
  <c r="E56" i="39"/>
  <c r="E51" i="40"/>
  <c r="U38" i="39"/>
  <c r="AB8" i="39"/>
  <c r="AR8" i="1"/>
  <c r="H109" i="43"/>
  <c r="H104" i="43"/>
  <c r="H103" i="43"/>
  <c r="E106" i="43"/>
  <c r="T9" i="1"/>
  <c r="E59" i="40"/>
  <c r="AQ9" i="1"/>
  <c r="C36" i="11"/>
  <c r="B34" i="72"/>
  <c r="D17" i="53"/>
  <c r="B36" i="72" s="1"/>
  <c r="D10" i="52"/>
  <c r="D70" i="39"/>
  <c r="E68" i="39"/>
  <c r="C28" i="67"/>
  <c r="E15" i="71"/>
  <c r="E14" i="71" s="1"/>
  <c r="E13" i="71" s="1"/>
  <c r="E12" i="71" s="1"/>
  <c r="V16" i="71"/>
  <c r="C20" i="43"/>
  <c r="T14" i="43" s="1"/>
  <c r="V14" i="43" s="1"/>
  <c r="D13" i="71"/>
  <c r="C12" i="71"/>
  <c r="D12" i="71" s="1"/>
  <c r="U12" i="71" s="1"/>
  <c r="D12" i="52"/>
  <c r="D127" i="9"/>
  <c r="D13" i="52" s="1"/>
  <c r="P14" i="1"/>
  <c r="M7" i="1"/>
  <c r="Q16" i="1"/>
  <c r="H16" i="1"/>
  <c r="C48" i="69"/>
  <c r="C48" i="11"/>
  <c r="P6" i="1"/>
  <c r="U45" i="21"/>
  <c r="AB45" i="21"/>
  <c r="P11" i="1"/>
  <c r="O12" i="1"/>
  <c r="P12" i="1" s="1"/>
  <c r="E29" i="6"/>
  <c r="AZ321" i="3"/>
  <c r="AC9" i="34"/>
  <c r="W9" i="34"/>
  <c r="AC34" i="35"/>
  <c r="W34" i="35"/>
  <c r="U44" i="34"/>
  <c r="AB27" i="36"/>
  <c r="U12" i="39"/>
  <c r="AA27" i="40"/>
  <c r="AA34" i="33"/>
  <c r="AZ362" i="3"/>
  <c r="AZ521" i="3"/>
  <c r="AZ585" i="3"/>
  <c r="S12" i="34"/>
  <c r="AA12" i="34"/>
  <c r="AB11" i="36"/>
  <c r="AA14" i="33"/>
  <c r="AA44" i="33"/>
  <c r="H9" i="34"/>
  <c r="F34" i="35"/>
  <c r="H34" i="35"/>
  <c r="J36" i="35"/>
  <c r="AZ405" i="3"/>
  <c r="AZ407" i="3"/>
  <c r="AZ410" i="3"/>
  <c r="AZ415" i="3"/>
  <c r="AZ420" i="3"/>
  <c r="AZ426" i="3"/>
  <c r="AZ431" i="3"/>
  <c r="AZ452" i="3"/>
  <c r="AZ485" i="3"/>
  <c r="AZ424" i="3"/>
  <c r="AZ439" i="3"/>
  <c r="AZ444" i="3"/>
  <c r="AZ456" i="3"/>
  <c r="AZ466" i="3"/>
  <c r="AZ472" i="3"/>
  <c r="AZ475" i="3"/>
  <c r="AZ483" i="3"/>
  <c r="AZ489" i="3"/>
  <c r="AZ216" i="3"/>
  <c r="AZ221" i="3"/>
  <c r="AZ226" i="3"/>
  <c r="AZ230" i="3"/>
  <c r="AZ246" i="3"/>
  <c r="AZ258" i="3"/>
  <c r="AZ260" i="3"/>
  <c r="AZ264" i="3"/>
  <c r="AZ282" i="3"/>
  <c r="AZ285" i="3"/>
  <c r="AZ290" i="3"/>
  <c r="AZ153" i="3"/>
  <c r="AZ169" i="3"/>
  <c r="AZ185" i="3"/>
  <c r="AZ201" i="3"/>
  <c r="AZ207" i="3"/>
  <c r="AZ30" i="3"/>
  <c r="AZ40" i="3"/>
  <c r="AZ46" i="3"/>
  <c r="AZ49" i="3"/>
  <c r="AZ64" i="3"/>
  <c r="AZ78" i="3"/>
  <c r="AZ91" i="3"/>
  <c r="AZ98" i="3"/>
  <c r="AZ104" i="3"/>
  <c r="AZ108" i="3"/>
  <c r="T40" i="71"/>
  <c r="D40" i="71"/>
  <c r="C23" i="71"/>
  <c r="T24" i="71"/>
  <c r="D24" i="71"/>
  <c r="U24" i="71" s="1"/>
  <c r="D50" i="71"/>
  <c r="C51" i="71"/>
  <c r="D58" i="71"/>
  <c r="C59" i="71"/>
  <c r="M100" i="43"/>
  <c r="I100" i="43"/>
  <c r="E100" i="43"/>
  <c r="D100" i="43"/>
  <c r="C40" i="68"/>
  <c r="C21" i="68"/>
  <c r="T36" i="71"/>
  <c r="D36" i="71"/>
  <c r="AB23" i="71"/>
  <c r="S24" i="71"/>
  <c r="X23" i="71"/>
  <c r="AB29" i="71"/>
  <c r="Y29" i="71"/>
  <c r="Z29" i="71" s="1"/>
  <c r="X28" i="71"/>
  <c r="X33" i="71"/>
  <c r="AA25" i="71"/>
  <c r="Y5" i="71"/>
  <c r="Z5" i="71" s="1"/>
  <c r="Y6" i="71"/>
  <c r="Z6" i="71" s="1"/>
  <c r="AA5" i="71"/>
  <c r="AA6" i="71"/>
  <c r="S64" i="71"/>
  <c r="B63" i="71"/>
  <c r="AE10" i="43"/>
  <c r="Z12" i="43"/>
  <c r="Z10" i="43"/>
  <c r="AD12" i="43"/>
  <c r="AD10" i="43"/>
  <c r="AH12" i="43"/>
  <c r="AH10" i="43"/>
  <c r="X20" i="71"/>
  <c r="AA20" i="71"/>
  <c r="AA19" i="71"/>
  <c r="AA18" i="71"/>
  <c r="X17" i="71"/>
  <c r="Y17" i="71"/>
  <c r="Z17" i="71" s="1"/>
  <c r="Y10" i="71"/>
  <c r="Z10" i="71" s="1"/>
  <c r="X5" i="71"/>
  <c r="X6" i="71"/>
  <c r="AB6" i="71"/>
  <c r="AB5" i="71"/>
  <c r="AC12" i="43"/>
  <c r="AC13" i="43" s="1"/>
  <c r="AC10" i="43"/>
  <c r="AG12" i="43"/>
  <c r="AG10" i="43"/>
  <c r="AB20" i="71"/>
  <c r="Y20" i="71"/>
  <c r="Z20" i="71" s="1"/>
  <c r="AB19" i="71"/>
  <c r="AB17" i="71"/>
  <c r="X14" i="71"/>
  <c r="Y13" i="71"/>
  <c r="Z13" i="71" s="1"/>
  <c r="AA14" i="71"/>
  <c r="AB14" i="71"/>
  <c r="Y19" i="71"/>
  <c r="Z19" i="71" s="1"/>
  <c r="Y18" i="71"/>
  <c r="Z18" i="71" s="1"/>
  <c r="X18" i="71"/>
  <c r="AA17" i="71"/>
  <c r="Y14" i="71"/>
  <c r="Z14" i="71" s="1"/>
  <c r="AB11" i="71"/>
  <c r="X13" i="71"/>
  <c r="AA13" i="71"/>
  <c r="AB13" i="71"/>
  <c r="AB7" i="71"/>
  <c r="AB10" i="71"/>
  <c r="Y7" i="71"/>
  <c r="Z7" i="71" s="1"/>
  <c r="Y9" i="71"/>
  <c r="Z9" i="71" s="1"/>
  <c r="AA8" i="71"/>
  <c r="AA10" i="71"/>
  <c r="X8" i="71"/>
  <c r="P74" i="67"/>
  <c r="X11" i="71"/>
  <c r="AA11" i="71"/>
  <c r="AB8" i="71"/>
  <c r="AB9" i="71"/>
  <c r="Y8" i="71"/>
  <c r="Z8" i="71" s="1"/>
  <c r="AA7" i="71"/>
  <c r="AA9" i="71"/>
  <c r="X7" i="71"/>
  <c r="X9" i="71"/>
  <c r="X10" i="7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2" i="71"/>
  <c r="Z12" i="71" s="1"/>
  <c r="Y11" i="71"/>
  <c r="Z11" i="71" s="1"/>
  <c r="AA12" i="71"/>
  <c r="AB3" i="71"/>
  <c r="X12" i="71"/>
  <c r="AB12" i="71"/>
  <c r="Y3" i="71"/>
  <c r="Z3" i="71" s="1"/>
  <c r="F12" i="71"/>
  <c r="F11" i="71" s="1"/>
  <c r="F10" i="71" s="1"/>
  <c r="F9" i="71" s="1"/>
  <c r="F8" i="71" s="1"/>
  <c r="F7" i="71" s="1"/>
  <c r="F6" i="71" s="1"/>
  <c r="F5" i="71" s="1"/>
  <c r="AF3" i="71"/>
  <c r="P22"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15"/>
  <c r="C16" i="67"/>
  <c r="C14" i="67"/>
  <c r="G1" i="73"/>
  <c r="C36" i="68"/>
  <c r="D9" i="68"/>
  <c r="C17" i="67"/>
  <c r="AG13" i="43" l="1"/>
  <c r="M106" i="43"/>
  <c r="D22" i="43"/>
  <c r="J106" i="43"/>
  <c r="M109" i="43"/>
  <c r="E105" i="43"/>
  <c r="AH13" i="43"/>
  <c r="AD13" i="43"/>
  <c r="E56" i="40"/>
  <c r="E103" i="43"/>
  <c r="C34" i="69"/>
  <c r="C35" i="69" s="1"/>
  <c r="F31" i="6"/>
  <c r="E109" i="43"/>
  <c r="H102" i="43"/>
  <c r="H107" i="43"/>
  <c r="Z13" i="43"/>
  <c r="M105" i="43"/>
  <c r="M102" i="43"/>
  <c r="M103" i="43"/>
  <c r="L106" i="43"/>
  <c r="M104" i="43"/>
  <c r="E16" i="6"/>
  <c r="C82" i="71"/>
  <c r="D82" i="71" s="1"/>
  <c r="D83" i="71"/>
  <c r="P63" i="71"/>
  <c r="E62" i="71"/>
  <c r="I21" i="66"/>
  <c r="D1" i="66"/>
  <c r="E10" i="66" s="1"/>
  <c r="AC25" i="37"/>
  <c r="W25" i="37"/>
  <c r="AB12" i="34"/>
  <c r="U12" i="34"/>
  <c r="W33" i="36"/>
  <c r="AC33" i="36"/>
  <c r="D121" i="9"/>
  <c r="D7" i="52" s="1"/>
  <c r="D6" i="52"/>
  <c r="Q62" i="71"/>
  <c r="Q61" i="71"/>
  <c r="C31" i="71"/>
  <c r="D30" i="71"/>
  <c r="BA5" i="3"/>
  <c r="E27" i="6" s="1"/>
  <c r="D113" i="43"/>
  <c r="F48" i="69"/>
  <c r="D125" i="9"/>
  <c r="D11" i="52" s="1"/>
  <c r="L103" i="43"/>
  <c r="BL5" i="3"/>
  <c r="C30" i="79"/>
  <c r="B15" i="71"/>
  <c r="B14" i="71" s="1"/>
  <c r="B13" i="71" s="1"/>
  <c r="B12" i="71" s="1"/>
  <c r="S16" i="71"/>
  <c r="D27" i="71"/>
  <c r="C28" i="71"/>
  <c r="AZ317" i="3"/>
  <c r="AZ5" i="3" s="1"/>
  <c r="AZ487" i="3"/>
  <c r="AZ481" i="3"/>
  <c r="AZ454" i="3"/>
  <c r="AZ422" i="3"/>
  <c r="AZ550" i="3"/>
  <c r="AA26" i="37"/>
  <c r="S26" i="37"/>
  <c r="AA9" i="36"/>
  <c r="S9" i="36"/>
  <c r="AC23" i="35"/>
  <c r="W23" i="35"/>
  <c r="S45" i="39"/>
  <c r="AA45" i="39"/>
  <c r="D79" i="71"/>
  <c r="C78" i="71"/>
  <c r="D78" i="71" s="1"/>
  <c r="C70" i="71"/>
  <c r="D70" i="71" s="1"/>
  <c r="D71" i="71"/>
  <c r="O63" i="71"/>
  <c r="D63" i="71"/>
  <c r="C62" i="71"/>
  <c r="L107" i="43"/>
  <c r="I104" i="43"/>
  <c r="G5" i="3"/>
  <c r="B3" i="3" s="1"/>
  <c r="E14" i="3" s="1"/>
  <c r="J7" i="37"/>
  <c r="H7" i="36"/>
  <c r="U7" i="36" s="1"/>
  <c r="H7" i="34"/>
  <c r="F7" i="34"/>
  <c r="S7" i="34" s="1"/>
  <c r="F11" i="82"/>
  <c r="M11" i="82"/>
  <c r="W45" i="39"/>
  <c r="AC45" i="39"/>
  <c r="T8" i="43"/>
  <c r="V8" i="43" s="1"/>
  <c r="C36" i="43"/>
  <c r="N106" i="43"/>
  <c r="J109" i="43"/>
  <c r="E60" i="40"/>
  <c r="E65" i="39"/>
  <c r="E58" i="40"/>
  <c r="E63" i="39"/>
  <c r="D105" i="43"/>
  <c r="J105" i="43"/>
  <c r="N103" i="43"/>
  <c r="E57" i="40"/>
  <c r="E62" i="39"/>
  <c r="O6" i="1"/>
  <c r="J104" i="43"/>
  <c r="J107" i="43"/>
  <c r="J102" i="43"/>
  <c r="C38" i="43"/>
  <c r="G38" i="43" s="1"/>
  <c r="I38" i="43" s="1"/>
  <c r="C34" i="43"/>
  <c r="G34" i="43" s="1"/>
  <c r="I34" i="43" s="1"/>
  <c r="C9" i="68"/>
  <c r="T16" i="43"/>
  <c r="V16" i="43" s="1"/>
  <c r="T15" i="43"/>
  <c r="V15" i="43" s="1"/>
  <c r="T12" i="43"/>
  <c r="V12" i="43" s="1"/>
  <c r="F48" i="68"/>
  <c r="C30" i="68"/>
  <c r="N102" i="43"/>
  <c r="N105" i="43"/>
  <c r="N104" i="43"/>
  <c r="N109" i="43"/>
  <c r="K103" i="43"/>
  <c r="K107" i="43"/>
  <c r="K104" i="43"/>
  <c r="K106" i="43"/>
  <c r="K109" i="43"/>
  <c r="K102" i="43"/>
  <c r="K105" i="43"/>
  <c r="L109" i="43"/>
  <c r="L102" i="43"/>
  <c r="L104" i="43"/>
  <c r="I109" i="43"/>
  <c r="I102" i="43"/>
  <c r="I103" i="43"/>
  <c r="I106" i="43"/>
  <c r="G105" i="43"/>
  <c r="G103" i="43"/>
  <c r="G109" i="43"/>
  <c r="G102" i="43"/>
  <c r="G107" i="43"/>
  <c r="G104" i="43"/>
  <c r="G106" i="43"/>
  <c r="D109" i="43"/>
  <c r="D104" i="43"/>
  <c r="D103" i="43"/>
  <c r="D107" i="43"/>
  <c r="H10" i="39"/>
  <c r="U10" i="39" s="1"/>
  <c r="F104" i="43"/>
  <c r="F102" i="43"/>
  <c r="F105" i="43"/>
  <c r="F109" i="43"/>
  <c r="F107" i="43"/>
  <c r="F106" i="43"/>
  <c r="F103" i="43"/>
  <c r="C104" i="43"/>
  <c r="C107" i="43"/>
  <c r="C103" i="43"/>
  <c r="C106" i="43"/>
  <c r="C105" i="43"/>
  <c r="C102" i="43"/>
  <c r="C109" i="43"/>
  <c r="J10" i="40"/>
  <c r="AC10" i="40" s="1"/>
  <c r="T13" i="43"/>
  <c r="V13" i="43" s="1"/>
  <c r="C33" i="43"/>
  <c r="G33" i="43" s="1"/>
  <c r="I33" i="43" s="1"/>
  <c r="T10" i="43"/>
  <c r="V10" i="43" s="1"/>
  <c r="C37" i="43"/>
  <c r="E37" i="43" s="1"/>
  <c r="T9" i="43"/>
  <c r="V9" i="43" s="1"/>
  <c r="C35" i="43"/>
  <c r="E35" i="43" s="1"/>
  <c r="T11" i="43"/>
  <c r="V11" i="43" s="1"/>
  <c r="F10" i="40"/>
  <c r="S10" i="40" s="1"/>
  <c r="J10" i="39"/>
  <c r="W10" i="39" s="1"/>
  <c r="H10" i="40"/>
  <c r="U10" i="40" s="1"/>
  <c r="F68" i="39"/>
  <c r="E70" i="39"/>
  <c r="AB34" i="35"/>
  <c r="U34" i="35"/>
  <c r="U9" i="34"/>
  <c r="AB9" i="34"/>
  <c r="F28" i="12"/>
  <c r="C29" i="12" s="1"/>
  <c r="D28" i="12" s="1"/>
  <c r="F27" i="11"/>
  <c r="F27" i="69"/>
  <c r="B11" i="71"/>
  <c r="B10" i="71" s="1"/>
  <c r="B9" i="71" s="1"/>
  <c r="B8" i="71" s="1"/>
  <c r="S12" i="71"/>
  <c r="B62" i="71"/>
  <c r="N63" i="71"/>
  <c r="C60" i="71"/>
  <c r="D59" i="71"/>
  <c r="D51" i="71"/>
  <c r="C52" i="71"/>
  <c r="C22" i="71"/>
  <c r="D22" i="71" s="1"/>
  <c r="D23" i="71"/>
  <c r="AC36" i="35"/>
  <c r="W36" i="35"/>
  <c r="AA34" i="35"/>
  <c r="S34" i="35"/>
  <c r="K15" i="1"/>
  <c r="K16" i="1" s="1"/>
  <c r="E30" i="6"/>
  <c r="O7" i="1"/>
  <c r="M16" i="1"/>
  <c r="P7" i="1"/>
  <c r="P16" i="1" s="1"/>
  <c r="C11" i="12" s="1"/>
  <c r="C11" i="71"/>
  <c r="T12" i="71"/>
  <c r="E11" i="71"/>
  <c r="E10" i="71" s="1"/>
  <c r="E9" i="71" s="1"/>
  <c r="E8" i="71" s="1"/>
  <c r="V12" i="71"/>
  <c r="F59" i="67"/>
  <c r="H7" i="37"/>
  <c r="AB7" i="37" s="1"/>
  <c r="T42" i="37" s="1"/>
  <c r="G42" i="37" s="1"/>
  <c r="B40" i="1"/>
  <c r="S10" i="39"/>
  <c r="AA10" i="39"/>
  <c r="H7" i="33"/>
  <c r="J7" i="33"/>
  <c r="D65" i="40"/>
  <c r="E63" i="40"/>
  <c r="F48" i="35"/>
  <c r="S7" i="36"/>
  <c r="AA7" i="36"/>
  <c r="R36" i="36" s="1"/>
  <c r="AC7" i="37"/>
  <c r="V42" i="37" s="1"/>
  <c r="I42" i="37" s="1"/>
  <c r="W7" i="37"/>
  <c r="U7" i="37"/>
  <c r="AB7" i="36"/>
  <c r="T36" i="36" s="1"/>
  <c r="G36" i="36" s="1"/>
  <c r="AB7" i="34"/>
  <c r="T49" i="34" s="1"/>
  <c r="G49" i="34" s="1"/>
  <c r="U7" i="34"/>
  <c r="AA7" i="34"/>
  <c r="R49" i="34" s="1"/>
  <c r="W10" i="40"/>
  <c r="F7" i="33"/>
  <c r="E58" i="21"/>
  <c r="AC7" i="36"/>
  <c r="V36" i="36" s="1"/>
  <c r="I36" i="36" s="1"/>
  <c r="W7" i="36"/>
  <c r="F7" i="37"/>
  <c r="W7" i="34"/>
  <c r="AC7" i="34"/>
  <c r="V49" i="34" s="1"/>
  <c r="I49" i="34" s="1"/>
  <c r="M17" i="67"/>
  <c r="M17" i="15"/>
  <c r="F59" i="15"/>
  <c r="P24" i="43"/>
  <c r="B66" i="40" s="1"/>
  <c r="P21" i="43"/>
  <c r="C49" i="67"/>
  <c r="E39" i="43"/>
  <c r="G39" i="43"/>
  <c r="I39" i="43" s="1"/>
  <c r="P25" i="43"/>
  <c r="P23" i="43"/>
  <c r="B71" i="39" s="1"/>
  <c r="E38" i="43"/>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M23" i="82"/>
  <c r="F37" i="82"/>
  <c r="F6" i="82"/>
  <c r="M9" i="82"/>
  <c r="M22" i="82"/>
  <c r="F38" i="82"/>
  <c r="M26" i="82"/>
  <c r="F42" i="82"/>
  <c r="C76" i="82"/>
  <c r="F13" i="82"/>
  <c r="M28" i="82"/>
  <c r="F43" i="82"/>
  <c r="M29" i="82"/>
  <c r="L47" i="82"/>
  <c r="C36" i="79"/>
  <c r="F27" i="79"/>
  <c r="F26" i="82"/>
  <c r="M27" i="82"/>
  <c r="F16" i="82"/>
  <c r="M8" i="82"/>
  <c r="F40" i="82"/>
  <c r="M24" i="82"/>
  <c r="J15" i="82"/>
  <c r="M6" i="82"/>
  <c r="F8" i="82"/>
  <c r="F36" i="82"/>
  <c r="F9" i="82"/>
  <c r="L48" i="82"/>
  <c r="F7" i="82"/>
  <c r="D9" i="79"/>
  <c r="F27" i="68"/>
  <c r="AE6" i="1"/>
  <c r="C38" i="69" l="1"/>
  <c r="C9" i="79"/>
  <c r="M7" i="82"/>
  <c r="J6" i="82" s="1"/>
  <c r="J18" i="82" s="1"/>
  <c r="F50" i="82"/>
  <c r="J60" i="82"/>
  <c r="Q48" i="82" s="1"/>
  <c r="J53" i="82"/>
  <c r="I54" i="82"/>
  <c r="J57" i="82"/>
  <c r="J55" i="82" s="1"/>
  <c r="J58" i="82" s="1"/>
  <c r="Q50" i="82" s="1"/>
  <c r="L60" i="82"/>
  <c r="Q66" i="82" s="1"/>
  <c r="J59" i="82"/>
  <c r="L56" i="82"/>
  <c r="L57" i="82"/>
  <c r="L46" i="82"/>
  <c r="F64" i="82"/>
  <c r="F51" i="82"/>
  <c r="F68" i="82"/>
  <c r="C27" i="82"/>
  <c r="C29" i="79"/>
  <c r="D27" i="79" s="1"/>
  <c r="F45" i="79"/>
  <c r="C47" i="79"/>
  <c r="D45" i="79" s="1"/>
  <c r="L58" i="82"/>
  <c r="M59" i="82"/>
  <c r="L59" i="82"/>
  <c r="Q61" i="82" s="1"/>
  <c r="N59" i="82"/>
  <c r="F71" i="82"/>
  <c r="Q71" i="82"/>
  <c r="F66" i="82"/>
  <c r="C6" i="82"/>
  <c r="F65" i="82"/>
  <c r="AY6" i="3"/>
  <c r="AY83" i="3" s="1"/>
  <c r="E3" i="6"/>
  <c r="D3" i="21" s="1"/>
  <c r="K20" i="6"/>
  <c r="M20" i="6" s="1"/>
  <c r="I20" i="6" s="1"/>
  <c r="K21" i="6"/>
  <c r="M21" i="6" s="1"/>
  <c r="I21" i="6" s="1"/>
  <c r="S21" i="6" s="1"/>
  <c r="K22" i="6"/>
  <c r="M22" i="6" s="1"/>
  <c r="I22" i="6" s="1"/>
  <c r="S22" i="6" s="1"/>
  <c r="K26" i="6"/>
  <c r="M26" i="6" s="1"/>
  <c r="I26" i="6" s="1"/>
  <c r="S26" i="6" s="1"/>
  <c r="K25" i="6"/>
  <c r="M25" i="6" s="1"/>
  <c r="I25" i="6" s="1"/>
  <c r="S25" i="6" s="1"/>
  <c r="K23" i="6"/>
  <c r="M23" i="6" s="1"/>
  <c r="I23" i="6" s="1"/>
  <c r="S23" i="6" s="1"/>
  <c r="K24" i="6"/>
  <c r="M24" i="6" s="1"/>
  <c r="I24" i="6" s="1"/>
  <c r="S24" i="6" s="1"/>
  <c r="K19" i="6"/>
  <c r="S6" i="1" s="1"/>
  <c r="AR6" i="1" s="1"/>
  <c r="E31" i="6"/>
  <c r="D62" i="71"/>
  <c r="O62" i="71"/>
  <c r="O61" i="71"/>
  <c r="T28" i="71"/>
  <c r="D28" i="71"/>
  <c r="C32" i="71"/>
  <c r="D31" i="71"/>
  <c r="P61" i="71"/>
  <c r="P62" i="71"/>
  <c r="G37" i="43"/>
  <c r="I37" i="43" s="1"/>
  <c r="AC10" i="39"/>
  <c r="E125" i="3"/>
  <c r="E217" i="3"/>
  <c r="E366" i="3"/>
  <c r="E526" i="3"/>
  <c r="E553" i="3"/>
  <c r="E268" i="3"/>
  <c r="E282" i="3"/>
  <c r="E322" i="3"/>
  <c r="N6" i="3"/>
  <c r="AJ6"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175" i="3"/>
  <c r="E530" i="3"/>
  <c r="E343" i="3"/>
  <c r="E305" i="3"/>
  <c r="E508" i="3"/>
  <c r="E583" i="3"/>
  <c r="X6" i="3"/>
  <c r="E336" i="3"/>
  <c r="E246" i="3"/>
  <c r="E293" i="3"/>
  <c r="E311" i="3"/>
  <c r="E514" i="3"/>
  <c r="E570" i="3"/>
  <c r="M6" i="3"/>
  <c r="AB6" i="3"/>
  <c r="E387" i="3"/>
  <c r="E335" i="3"/>
  <c r="E215" i="3"/>
  <c r="E189" i="3"/>
  <c r="E134" i="3"/>
  <c r="E91" i="3"/>
  <c r="E180" i="3"/>
  <c r="E149" i="3"/>
  <c r="E212" i="3"/>
  <c r="E167" i="3"/>
  <c r="E141" i="3"/>
  <c r="E330" i="3"/>
  <c r="K6" i="3"/>
  <c r="Q6" i="3"/>
  <c r="E560" i="3"/>
  <c r="E437" i="3"/>
  <c r="E472" i="3"/>
  <c r="E481" i="3"/>
  <c r="E406" i="3"/>
  <c r="E424" i="3"/>
  <c r="E465" i="3"/>
  <c r="E344" i="3"/>
  <c r="E587" i="3"/>
  <c r="AE6" i="3"/>
  <c r="E577" i="3"/>
  <c r="E429"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580" i="3"/>
  <c r="E31" i="3"/>
  <c r="E74" i="3"/>
  <c r="E93" i="3"/>
  <c r="E32" i="3"/>
  <c r="E75" i="3"/>
  <c r="E409" i="3"/>
  <c r="E473" i="3"/>
  <c r="E15" i="3"/>
  <c r="E455" i="3"/>
  <c r="E79" i="3"/>
  <c r="E38" i="3"/>
  <c r="E100" i="3"/>
  <c r="E170" i="3"/>
  <c r="E319" i="3"/>
  <c r="E153" i="3"/>
  <c r="E328" i="3"/>
  <c r="E347" i="3"/>
  <c r="E399" i="3"/>
  <c r="E124" i="3"/>
  <c r="E358" i="3"/>
  <c r="E551" i="3"/>
  <c r="E407" i="3"/>
  <c r="E294" i="3"/>
  <c r="E130" i="3"/>
  <c r="E221" i="3"/>
  <c r="E77" i="3"/>
  <c r="E199" i="3"/>
  <c r="E519" i="3"/>
  <c r="E573" i="3"/>
  <c r="E458" i="3"/>
  <c r="E527" i="3"/>
  <c r="E457" i="3"/>
  <c r="E562" i="3"/>
  <c r="E571" i="3"/>
  <c r="E450" i="3"/>
  <c r="E470" i="3"/>
  <c r="E420" i="3"/>
  <c r="E26" i="3"/>
  <c r="E104" i="3"/>
  <c r="E41" i="3"/>
  <c r="E115" i="3"/>
  <c r="E198" i="3"/>
  <c r="E139" i="3"/>
  <c r="E225" i="3"/>
  <c r="E281" i="3"/>
  <c r="E243" i="3"/>
  <c r="E332" i="3"/>
  <c r="E391" i="3"/>
  <c r="E356" i="3"/>
  <c r="AL6" i="3"/>
  <c r="E42" i="3"/>
  <c r="E94" i="3"/>
  <c r="E488" i="3"/>
  <c r="E482" i="3"/>
  <c r="E18" i="3"/>
  <c r="E78"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53" i="3"/>
  <c r="E501" i="3"/>
  <c r="E426" i="3"/>
  <c r="AA6" i="3"/>
  <c r="E280" i="3"/>
  <c r="E559" i="3"/>
  <c r="V6" i="3"/>
  <c r="E320" i="3"/>
  <c r="E230" i="3"/>
  <c r="E254" i="3"/>
  <c r="E253" i="3"/>
  <c r="E313" i="3"/>
  <c r="E532" i="3"/>
  <c r="E529" i="3"/>
  <c r="E474" i="3"/>
  <c r="E438" i="3"/>
  <c r="E288" i="3"/>
  <c r="W6" i="3"/>
  <c r="E537" i="3"/>
  <c r="E483" i="3"/>
  <c r="E401" i="3"/>
  <c r="E463" i="3"/>
  <c r="E40" i="3"/>
  <c r="E25" i="3"/>
  <c r="E108" i="3"/>
  <c r="E178" i="3"/>
  <c r="E119" i="3"/>
  <c r="E202" i="3"/>
  <c r="E242" i="3"/>
  <c r="E226" i="3"/>
  <c r="E276" i="3"/>
  <c r="E346" i="3"/>
  <c r="E333" i="3"/>
  <c r="E372" i="3"/>
  <c r="L6" i="3"/>
  <c r="E60" i="3"/>
  <c r="E43" i="3"/>
  <c r="E428" i="3"/>
  <c r="E412" i="3"/>
  <c r="E96" i="3"/>
  <c r="E129"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69" i="3"/>
  <c r="E114" i="3"/>
  <c r="E415" i="3"/>
  <c r="E563" i="3"/>
  <c r="E172" i="3"/>
  <c r="E445" i="3"/>
  <c r="E535" i="3"/>
  <c r="E516" i="3"/>
  <c r="E569" i="3"/>
  <c r="E396" i="3"/>
  <c r="E229" i="3"/>
  <c r="E151" i="3"/>
  <c r="E385" i="3"/>
  <c r="E237" i="3"/>
  <c r="E261" i="3"/>
  <c r="E304" i="3"/>
  <c r="E528" i="3"/>
  <c r="E565" i="3"/>
  <c r="E183" i="3"/>
  <c r="E213" i="3"/>
  <c r="E361" i="3"/>
  <c r="E17" i="3"/>
  <c r="E503" i="3"/>
  <c r="E302"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278" i="3"/>
  <c r="E395" i="3"/>
  <c r="E260" i="3"/>
  <c r="E550" i="3"/>
  <c r="E239" i="3"/>
  <c r="E509" i="3"/>
  <c r="E579" i="3"/>
  <c r="E431" i="3"/>
  <c r="E247" i="3"/>
  <c r="E201" i="3"/>
  <c r="E353" i="3"/>
  <c r="E495" i="3"/>
  <c r="E518" i="3"/>
  <c r="AI6" i="3"/>
  <c r="E578" i="3"/>
  <c r="E423" i="3"/>
  <c r="E382" i="3"/>
  <c r="E263" i="3"/>
  <c r="E245" i="3"/>
  <c r="E191" i="3"/>
  <c r="E188" i="3"/>
  <c r="E181" i="3"/>
  <c r="E140" i="3"/>
  <c r="E223" i="3"/>
  <c r="E197" i="3"/>
  <c r="E173"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484" i="3"/>
  <c r="E467" i="3"/>
  <c r="E46" i="3"/>
  <c r="E160" i="3"/>
  <c r="E200" i="3"/>
  <c r="E249" i="3"/>
  <c r="E371" i="3"/>
  <c r="E492" i="3"/>
  <c r="E84" i="3"/>
  <c r="E33" i="3"/>
  <c r="E184" i="3"/>
  <c r="E355" i="3"/>
  <c r="E68" i="3"/>
  <c r="E81" i="3"/>
  <c r="E264" i="3"/>
  <c r="E309" i="3"/>
  <c r="E21" i="3"/>
  <c r="AN6" i="3"/>
  <c r="E586" i="3"/>
  <c r="E402" i="3"/>
  <c r="E350" i="3"/>
  <c r="E303" i="3"/>
  <c r="E301" i="3"/>
  <c r="E159" i="3"/>
  <c r="E99" i="3"/>
  <c r="E228" i="3"/>
  <c r="E157" i="3"/>
  <c r="E85" i="3"/>
  <c r="E238" i="3"/>
  <c r="E116" i="3"/>
  <c r="E105"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425" i="3"/>
  <c r="E64" i="3"/>
  <c r="E103" i="3"/>
  <c r="E142" i="3"/>
  <c r="E267" i="3"/>
  <c r="E300" i="3"/>
  <c r="E310" i="3"/>
  <c r="E23" i="3"/>
  <c r="E67" i="3"/>
  <c r="E144" i="3"/>
  <c r="E233" i="3"/>
  <c r="E381" i="3"/>
  <c r="E63" i="3"/>
  <c r="E118" i="3"/>
  <c r="E283" i="3"/>
  <c r="E513" i="3"/>
  <c r="Q74" i="82"/>
  <c r="E34" i="43"/>
  <c r="AB10" i="39"/>
  <c r="O16" i="1"/>
  <c r="F22" i="79"/>
  <c r="C24" i="79" s="1"/>
  <c r="F24" i="82"/>
  <c r="C53" i="82"/>
  <c r="C10" i="82"/>
  <c r="C5" i="82" s="1"/>
  <c r="E36" i="43"/>
  <c r="G36" i="43"/>
  <c r="I36" i="43" s="1"/>
  <c r="S7" i="1"/>
  <c r="S16" i="1" s="1"/>
  <c r="M18" i="80"/>
  <c r="B118" i="80" s="1"/>
  <c r="C25" i="77" s="1"/>
  <c r="E6" i="70"/>
  <c r="G35" i="43"/>
  <c r="I35" i="43" s="1"/>
  <c r="AQ6" i="1"/>
  <c r="S2" i="43"/>
  <c r="T2" i="43" s="1"/>
  <c r="V2" i="43" s="1"/>
  <c r="C26" i="43" s="1"/>
  <c r="S5" i="43"/>
  <c r="T5" i="43" s="1"/>
  <c r="V5" i="43" s="1"/>
  <c r="S6" i="43"/>
  <c r="T6" i="43" s="1"/>
  <c r="V6" i="43" s="1"/>
  <c r="S4" i="43"/>
  <c r="T4" i="43" s="1"/>
  <c r="V4" i="43" s="1"/>
  <c r="S7" i="43"/>
  <c r="T7" i="43" s="1"/>
  <c r="V7" i="43" s="1"/>
  <c r="C23" i="43"/>
  <c r="C21" i="43" s="1"/>
  <c r="C29" i="43" s="1"/>
  <c r="S3" i="43"/>
  <c r="T3" i="43" s="1"/>
  <c r="V3" i="43" s="1"/>
  <c r="AA10" i="40"/>
  <c r="AB10" i="40"/>
  <c r="F70" i="39"/>
  <c r="G68" i="39"/>
  <c r="T52" i="71"/>
  <c r="D52" i="71"/>
  <c r="F45" i="68"/>
  <c r="C47" i="68"/>
  <c r="D45" i="68" s="1"/>
  <c r="C29" i="68"/>
  <c r="D27" i="68" s="1"/>
  <c r="C47" i="11"/>
  <c r="D45" i="11" s="1"/>
  <c r="C29" i="11"/>
  <c r="D27" i="11" s="1"/>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7" i="71"/>
  <c r="E6" i="71" s="1"/>
  <c r="E5" i="71" s="1"/>
  <c r="V8" i="71"/>
  <c r="D11" i="71"/>
  <c r="C10" i="71"/>
  <c r="L16" i="1"/>
  <c r="N16" i="1"/>
  <c r="F50" i="79" s="1"/>
  <c r="C34" i="11"/>
  <c r="C15" i="12"/>
  <c r="C12" i="12"/>
  <c r="T60" i="71"/>
  <c r="D60" i="71"/>
  <c r="N61" i="71"/>
  <c r="N62" i="71"/>
  <c r="B7" i="71"/>
  <c r="B6" i="71" s="1"/>
  <c r="B5" i="71" s="1"/>
  <c r="S8" i="71"/>
  <c r="F45" i="69"/>
  <c r="C29" i="69"/>
  <c r="D27" i="69" s="1"/>
  <c r="C47" i="69"/>
  <c r="D45" i="69" s="1"/>
  <c r="D19" i="11"/>
  <c r="C19" i="11" s="1"/>
  <c r="D3" i="37"/>
  <c r="D37" i="11"/>
  <c r="C37" i="11" s="1"/>
  <c r="M18" i="9"/>
  <c r="B118" i="9" s="1"/>
  <c r="D3" i="33"/>
  <c r="D14" i="12"/>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7" i="15"/>
  <c r="C17" i="82"/>
  <c r="F41" i="15"/>
  <c r="C16" i="82"/>
  <c r="D10" i="79"/>
  <c r="E6" i="6" l="1"/>
  <c r="D3" i="34"/>
  <c r="C17" i="4"/>
  <c r="B4" i="52" s="1"/>
  <c r="B43" i="72" s="1"/>
  <c r="M19" i="6"/>
  <c r="T6" i="1"/>
  <c r="S20" i="6"/>
  <c r="L18" i="80"/>
  <c r="B15" i="74" s="1"/>
  <c r="B14" i="74"/>
  <c r="C24" i="77"/>
  <c r="C28" i="77" s="1"/>
  <c r="C33" i="82"/>
  <c r="C32" i="82"/>
  <c r="AY567" i="3"/>
  <c r="AY583" i="3"/>
  <c r="AY15" i="3"/>
  <c r="AY413" i="3"/>
  <c r="AY432" i="3"/>
  <c r="AY474" i="3"/>
  <c r="AY322" i="3"/>
  <c r="AY339" i="3"/>
  <c r="AY375" i="3"/>
  <c r="AY208" i="3"/>
  <c r="AY272" i="3"/>
  <c r="AY288" i="3"/>
  <c r="AY136" i="3"/>
  <c r="AY175" i="3"/>
  <c r="AY195" i="3"/>
  <c r="AY22" i="3"/>
  <c r="AY39" i="3"/>
  <c r="AY102" i="3"/>
  <c r="AY576" i="3"/>
  <c r="AY528" i="3"/>
  <c r="AY13" i="3"/>
  <c r="AY421" i="3"/>
  <c r="AY440" i="3"/>
  <c r="AY482" i="3"/>
  <c r="AY330" i="3"/>
  <c r="AY347" i="3"/>
  <c r="AY383" i="3"/>
  <c r="AY216" i="3"/>
  <c r="AY233" i="3"/>
  <c r="AY296" i="3"/>
  <c r="AY120" i="3"/>
  <c r="AY140" i="3"/>
  <c r="AY203" i="3"/>
  <c r="AY30" i="3"/>
  <c r="AY47" i="3"/>
  <c r="AY110" i="3"/>
  <c r="AY563" i="3"/>
  <c r="AY548" i="3"/>
  <c r="AY530" i="3"/>
  <c r="AY537" i="3"/>
  <c r="AY575" i="3"/>
  <c r="AY564" i="3"/>
  <c r="AY17" i="3"/>
  <c r="AY399" i="3"/>
  <c r="AY431" i="3"/>
  <c r="AY418" i="3"/>
  <c r="AY450" i="3"/>
  <c r="AY461" i="3"/>
  <c r="AY492" i="3"/>
  <c r="AY304" i="3"/>
  <c r="AY336" i="3"/>
  <c r="AY321" i="3"/>
  <c r="AY352" i="3"/>
  <c r="AY385" i="3"/>
  <c r="AY218" i="3"/>
  <c r="AY267" i="3"/>
  <c r="AY153" i="3"/>
  <c r="AY21" i="3"/>
  <c r="AY81" i="3"/>
  <c r="AY496" i="3"/>
  <c r="AY543" i="3"/>
  <c r="AY520" i="3"/>
  <c r="AY572" i="3"/>
  <c r="AY503" i="3"/>
  <c r="AY406" i="3"/>
  <c r="AY449" i="3"/>
  <c r="AY483" i="3"/>
  <c r="AY309" i="3"/>
  <c r="AY370" i="3"/>
  <c r="AY258" i="3"/>
  <c r="AY121" i="3"/>
  <c r="AY181" i="3"/>
  <c r="AY72" i="3"/>
  <c r="BB6" i="3"/>
  <c r="AY368" i="3"/>
  <c r="AY384" i="3"/>
  <c r="AY238" i="3"/>
  <c r="AY255" i="3"/>
  <c r="AY291" i="3"/>
  <c r="AY141" i="3"/>
  <c r="AY162" i="3"/>
  <c r="AY198" i="3"/>
  <c r="AY52" i="3"/>
  <c r="AY69" i="3"/>
  <c r="AY105" i="3"/>
  <c r="AY540" i="3"/>
  <c r="AY557" i="3"/>
  <c r="AY436" i="3"/>
  <c r="AY326" i="3"/>
  <c r="AY379" i="3"/>
  <c r="AY229" i="3"/>
  <c r="AY43" i="3"/>
  <c r="AY412" i="3"/>
  <c r="AY489" i="3"/>
  <c r="AY363" i="3"/>
  <c r="AY252" i="3"/>
  <c r="AY204" i="3"/>
  <c r="AY123" i="3"/>
  <c r="AY74" i="3"/>
  <c r="AY139" i="3"/>
  <c r="AY196" i="3"/>
  <c r="AY67" i="3"/>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AY94" i="3"/>
  <c r="BA6" i="3"/>
  <c r="AY531" i="3"/>
  <c r="BR6" i="3"/>
  <c r="AY509" i="3"/>
  <c r="AY502" i="3"/>
  <c r="D3" i="6"/>
  <c r="D19" i="6" s="1"/>
  <c r="M19" i="9" s="1"/>
  <c r="C118" i="9" s="1"/>
  <c r="AY499" i="3"/>
  <c r="AY579" i="3"/>
  <c r="AY423" i="3"/>
  <c r="AY410" i="3"/>
  <c r="AY442" i="3"/>
  <c r="AY453" i="3"/>
  <c r="AY484" i="3"/>
  <c r="AY487" i="3"/>
  <c r="AY328" i="3"/>
  <c r="AY313" i="3"/>
  <c r="AY345" i="3"/>
  <c r="AY369" i="3"/>
  <c r="AY223" i="3"/>
  <c r="AY235" i="3"/>
  <c r="AY122" i="3"/>
  <c r="AY205" i="3"/>
  <c r="AY49" i="3"/>
  <c r="AY577" i="3"/>
  <c r="AY508" i="3"/>
  <c r="AY518" i="3"/>
  <c r="BN6" i="3"/>
  <c r="AY525" i="3"/>
  <c r="AY435" i="3"/>
  <c r="AY454" i="3"/>
  <c r="AY467" i="3"/>
  <c r="AY340" i="3"/>
  <c r="AY356" i="3"/>
  <c r="AY226" i="3"/>
  <c r="AY279" i="3"/>
  <c r="AY150" i="3"/>
  <c r="AY40" i="3"/>
  <c r="AY93" i="3"/>
  <c r="BS6" i="3"/>
  <c r="AY389" i="3"/>
  <c r="AY222" i="3"/>
  <c r="AY239" i="3"/>
  <c r="AY302" i="3"/>
  <c r="AY126" i="3"/>
  <c r="AY146" i="3"/>
  <c r="AY182" i="3"/>
  <c r="AY36" i="3"/>
  <c r="AY53" i="3"/>
  <c r="AY89" i="3"/>
  <c r="BO6" i="3"/>
  <c r="AY562" i="3"/>
  <c r="AY404" i="3"/>
  <c r="AY481" i="3"/>
  <c r="AY355" i="3"/>
  <c r="AY244" i="3"/>
  <c r="AY199" i="3"/>
  <c r="AY425" i="3"/>
  <c r="AY486" i="3"/>
  <c r="AY350" i="3"/>
  <c r="AY220" i="3"/>
  <c r="AY147" i="3"/>
  <c r="AY292" i="3"/>
  <c r="AY31" i="3"/>
  <c r="AY132" i="3"/>
  <c r="AY191" i="3"/>
  <c r="AY82" i="3"/>
  <c r="AY266" i="3"/>
  <c r="AY282" i="3"/>
  <c r="AY129" i="3"/>
  <c r="AY169" i="3"/>
  <c r="AY189" i="3"/>
  <c r="AY37" i="3"/>
  <c r="AY80" i="3"/>
  <c r="AY96" i="3"/>
  <c r="AY519" i="3"/>
  <c r="AY514" i="3"/>
  <c r="AY584" i="3"/>
  <c r="AY16" i="3"/>
  <c r="AY510" i="3"/>
  <c r="AY546" i="3"/>
  <c r="BF6" i="3"/>
  <c r="AY561" i="3"/>
  <c r="BM6" i="3"/>
  <c r="AY581" i="3"/>
  <c r="AY427" i="3"/>
  <c r="AY414" i="3"/>
  <c r="AY446" i="3"/>
  <c r="AY457" i="3"/>
  <c r="AY488" i="3"/>
  <c r="AY491" i="3"/>
  <c r="AY332" i="3"/>
  <c r="AY317" i="3"/>
  <c r="AY349" i="3"/>
  <c r="AY377" i="3"/>
  <c r="AY210" i="3"/>
  <c r="AY274" i="3"/>
  <c r="AY290" i="3"/>
  <c r="AY114" i="3"/>
  <c r="AY177" i="3"/>
  <c r="AY197" i="3"/>
  <c r="AY24" i="3"/>
  <c r="AY41" i="3"/>
  <c r="AY104" i="3"/>
  <c r="BJ6" i="3"/>
  <c r="AY554" i="3"/>
  <c r="AY357" i="3"/>
  <c r="AY381" i="3"/>
  <c r="AY392" i="3"/>
  <c r="AY214" i="3"/>
  <c r="AY246" i="3"/>
  <c r="AY231" i="3"/>
  <c r="AY263" i="3"/>
  <c r="AY294" i="3"/>
  <c r="AY299" i="3"/>
  <c r="AY118" i="3"/>
  <c r="AY149" i="3"/>
  <c r="AY138" i="3"/>
  <c r="AY170" i="3"/>
  <c r="AY201" i="3"/>
  <c r="AY206" i="3"/>
  <c r="AY28" i="3"/>
  <c r="AY60" i="3"/>
  <c r="AY45" i="3"/>
  <c r="AY77" i="3"/>
  <c r="AY108" i="3"/>
  <c r="AY553" i="3"/>
  <c r="AY541" i="3"/>
  <c r="AY569" i="3"/>
  <c r="BK6" i="3"/>
  <c r="AY513" i="3"/>
  <c r="AY433" i="3"/>
  <c r="AY452" i="3"/>
  <c r="AY465" i="3"/>
  <c r="AY342" i="3"/>
  <c r="AY358" i="3"/>
  <c r="AY395" i="3"/>
  <c r="AY228" i="3"/>
  <c r="AY245" i="3"/>
  <c r="AY180" i="3"/>
  <c r="AY106" i="3"/>
  <c r="AY409" i="3"/>
  <c r="AY428" i="3"/>
  <c r="AY470" i="3"/>
  <c r="AY318" i="3"/>
  <c r="AY335" i="3"/>
  <c r="AY371" i="3"/>
  <c r="AY225" i="3"/>
  <c r="AY268" i="3"/>
  <c r="AY297" i="3"/>
  <c r="AY58" i="3"/>
  <c r="AY276" i="3"/>
  <c r="AY131" i="3"/>
  <c r="AY188" i="3"/>
  <c r="AY59" i="3"/>
  <c r="AY115" i="3"/>
  <c r="AY155" i="3"/>
  <c r="AY176" i="3"/>
  <c r="AY23" i="3"/>
  <c r="AY66" i="3"/>
  <c r="K27" i="6"/>
  <c r="Q57" i="82"/>
  <c r="AC6" i="3"/>
  <c r="D32" i="71"/>
  <c r="T32" i="71"/>
  <c r="J10" i="82"/>
  <c r="J5" i="82" s="1"/>
  <c r="Q73" i="82"/>
  <c r="Q60" i="82"/>
  <c r="Q52" i="82"/>
  <c r="F1" i="82"/>
  <c r="C49" i="82"/>
  <c r="C48" i="82" s="1"/>
  <c r="D19" i="79"/>
  <c r="D37" i="79" s="1"/>
  <c r="C37" i="79" s="1"/>
  <c r="C10" i="79"/>
  <c r="E7" i="70"/>
  <c r="E2" i="70" s="1"/>
  <c r="H6" i="3"/>
  <c r="E6" i="3" s="1"/>
  <c r="F41" i="79"/>
  <c r="C26" i="79"/>
  <c r="D22" i="79" s="1"/>
  <c r="C44" i="79"/>
  <c r="D41" i="79" s="1"/>
  <c r="C38" i="82"/>
  <c r="C24" i="82"/>
  <c r="F69" i="15"/>
  <c r="J29" i="15"/>
  <c r="AQ7" i="1"/>
  <c r="T7" i="1"/>
  <c r="AR7" i="1"/>
  <c r="T16" i="1"/>
  <c r="E66" i="39"/>
  <c r="C30" i="43"/>
  <c r="E30" i="43" s="1"/>
  <c r="C27" i="43" s="1"/>
  <c r="E29" i="43"/>
  <c r="M27" i="6"/>
  <c r="I19" i="6"/>
  <c r="H68" i="39"/>
  <c r="G70" i="39"/>
  <c r="D10" i="69"/>
  <c r="D10" i="11"/>
  <c r="C10" i="11" s="1"/>
  <c r="D20" i="12"/>
  <c r="C20" i="12" s="1"/>
  <c r="C18" i="12" s="1"/>
  <c r="F50" i="11"/>
  <c r="F50" i="68"/>
  <c r="F50" i="69"/>
  <c r="C9" i="71"/>
  <c r="D10" i="71"/>
  <c r="D26" i="6"/>
  <c r="D8" i="6"/>
  <c r="D14" i="6"/>
  <c r="D12" i="6"/>
  <c r="D13" i="6"/>
  <c r="E61" i="40"/>
  <c r="H26" i="6"/>
  <c r="D25" i="6"/>
  <c r="D22" i="6"/>
  <c r="D24" i="6"/>
  <c r="D6" i="6"/>
  <c r="D10" i="6"/>
  <c r="H25" i="6"/>
  <c r="H21" i="6"/>
  <c r="D17" i="12"/>
  <c r="C17" i="12" s="1"/>
  <c r="C14" i="12"/>
  <c r="C16" i="12" s="1"/>
  <c r="C20" i="11"/>
  <c r="C28" i="11" s="1"/>
  <c r="C27" i="11" s="1"/>
  <c r="C38" i="11"/>
  <c r="C35" i="1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B2" i="43"/>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C14" i="15"/>
  <c r="C34" i="68"/>
  <c r="C34" i="79"/>
  <c r="D10" i="68"/>
  <c r="E6" i="76"/>
  <c r="AE7" i="1"/>
  <c r="F41" i="82" s="1"/>
  <c r="C14" i="82"/>
  <c r="B6" i="76"/>
  <c r="C35" i="68" l="1"/>
  <c r="C38" i="68"/>
  <c r="C18" i="15"/>
  <c r="C15" i="15"/>
  <c r="F69" i="82"/>
  <c r="C66" i="82"/>
  <c r="C60" i="82"/>
  <c r="C14" i="74"/>
  <c r="D24" i="77"/>
  <c r="J26" i="82"/>
  <c r="J29" i="82" s="1"/>
  <c r="J24" i="82"/>
  <c r="H24" i="6"/>
  <c r="R24" i="6" s="1"/>
  <c r="H22" i="6"/>
  <c r="D29" i="6"/>
  <c r="D9" i="6"/>
  <c r="D20" i="6"/>
  <c r="D21" i="6"/>
  <c r="D15" i="6"/>
  <c r="H20" i="6"/>
  <c r="H23" i="6"/>
  <c r="D28" i="6"/>
  <c r="D11" i="6"/>
  <c r="D5" i="6"/>
  <c r="D23" i="6"/>
  <c r="R23" i="6" s="1"/>
  <c r="C18" i="4"/>
  <c r="B1" i="74"/>
  <c r="C18" i="82"/>
  <c r="C15" i="82"/>
  <c r="C35" i="79"/>
  <c r="C38" i="79"/>
  <c r="H19" i="6"/>
  <c r="L19" i="9" s="1"/>
  <c r="L18" i="9"/>
  <c r="C25" i="11"/>
  <c r="C22" i="11" s="1"/>
  <c r="C31" i="11" s="1"/>
  <c r="E2" i="76"/>
  <c r="I27" i="6"/>
  <c r="S19" i="6"/>
  <c r="S27" i="6" s="1"/>
  <c r="D30" i="6"/>
  <c r="C33" i="11"/>
  <c r="H70" i="39"/>
  <c r="I68" i="39"/>
  <c r="C21" i="12"/>
  <c r="C22" i="12" s="1"/>
  <c r="R22" i="6"/>
  <c r="R25" i="6"/>
  <c r="A7" i="51"/>
  <c r="B7" i="72" s="1"/>
  <c r="C4" i="52"/>
  <c r="B45" i="72" s="1"/>
  <c r="A10" i="51"/>
  <c r="B9" i="72" s="1"/>
  <c r="R19" i="6"/>
  <c r="C10" i="69"/>
  <c r="C8" i="69" s="1"/>
  <c r="C5" i="69" s="1"/>
  <c r="D19" i="69"/>
  <c r="R21" i="6"/>
  <c r="R26" i="6"/>
  <c r="D9" i="71"/>
  <c r="C8" i="71"/>
  <c r="C10" i="68"/>
  <c r="D19" i="68"/>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36" i="67"/>
  <c r="C33" i="67"/>
  <c r="C31" i="67" s="1"/>
  <c r="J14" i="67"/>
  <c r="C13" i="67"/>
  <c r="J19" i="67"/>
  <c r="J17" i="67" s="1"/>
  <c r="C57" i="67"/>
  <c r="C61" i="67" s="1"/>
  <c r="Q49" i="67"/>
  <c r="J59" i="67"/>
  <c r="J60" i="67" s="1"/>
  <c r="C19" i="15" l="1"/>
  <c r="C20" i="15" s="1"/>
  <c r="C26" i="15" s="1"/>
  <c r="D16" i="6"/>
  <c r="D27" i="6"/>
  <c r="D31" i="6" s="1"/>
  <c r="I5" i="6" s="1"/>
  <c r="H27" i="6"/>
  <c r="C7" i="74"/>
  <c r="C8" i="74"/>
  <c r="R20" i="6"/>
  <c r="R7" i="1" s="1"/>
  <c r="M19" i="80"/>
  <c r="C118" i="80" s="1"/>
  <c r="D25" i="77" s="1"/>
  <c r="L19" i="80"/>
  <c r="C15" i="74" s="1"/>
  <c r="B2" i="74" s="1"/>
  <c r="D28" i="77"/>
  <c r="C33" i="79"/>
  <c r="C42" i="79" s="1"/>
  <c r="C19" i="82"/>
  <c r="C20" i="82" s="1"/>
  <c r="C23" i="82" s="1"/>
  <c r="B3" i="76"/>
  <c r="R27" i="6"/>
  <c r="R6" i="1"/>
  <c r="C39" i="11"/>
  <c r="C42" i="11"/>
  <c r="I70" i="39"/>
  <c r="J68" i="39"/>
  <c r="C30" i="12"/>
  <c r="C28" i="12" s="1"/>
  <c r="C27" i="12"/>
  <c r="C25" i="12" s="1"/>
  <c r="C19" i="69"/>
  <c r="C24" i="69" s="1"/>
  <c r="D37" i="69"/>
  <c r="C37" i="69" s="1"/>
  <c r="C33" i="69" s="1"/>
  <c r="C19" i="68"/>
  <c r="D37" i="68"/>
  <c r="C37" i="68" s="1"/>
  <c r="C33" i="68" s="1"/>
  <c r="C7" i="71"/>
  <c r="T8" i="71"/>
  <c r="D8" i="71"/>
  <c r="U8" i="71" s="1"/>
  <c r="C23" i="69"/>
  <c r="I6" i="6"/>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F35" i="82"/>
  <c r="F35" i="15"/>
  <c r="M21" i="15"/>
  <c r="M21" i="82"/>
  <c r="L51" i="67"/>
  <c r="C23" i="15" l="1"/>
  <c r="C29" i="15" s="1"/>
  <c r="J14" i="15" s="1"/>
  <c r="C39" i="79"/>
  <c r="C43" i="79" s="1"/>
  <c r="C41" i="79" s="1"/>
  <c r="D7" i="74"/>
  <c r="D8" i="74"/>
  <c r="C26" i="82"/>
  <c r="C29" i="82" s="1"/>
  <c r="F63" i="82"/>
  <c r="C62" i="82" s="1"/>
  <c r="C34" i="82"/>
  <c r="C31" i="82" s="1"/>
  <c r="J20" i="82"/>
  <c r="Q49" i="15"/>
  <c r="J20" i="15"/>
  <c r="C34" i="15"/>
  <c r="C31" i="15" s="1"/>
  <c r="F63" i="15"/>
  <c r="C62" i="15" s="1"/>
  <c r="R16" i="1"/>
  <c r="C46" i="11"/>
  <c r="C45" i="11" s="1"/>
  <c r="C43" i="11"/>
  <c r="C41" i="11" s="1"/>
  <c r="J11" i="39"/>
  <c r="H11" i="39"/>
  <c r="F11" i="39"/>
  <c r="J70" i="39"/>
  <c r="K68" i="39"/>
  <c r="C20" i="69"/>
  <c r="C25" i="69" s="1"/>
  <c r="C22" i="69" s="1"/>
  <c r="C32" i="12"/>
  <c r="B2" i="12" s="1"/>
  <c r="B3" i="12" s="1"/>
  <c r="C39" i="68"/>
  <c r="C42" i="68"/>
  <c r="C39" i="69"/>
  <c r="C43" i="69" s="1"/>
  <c r="C42" i="69"/>
  <c r="C6" i="71"/>
  <c r="D7" i="71"/>
  <c r="C24" i="68"/>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J19" i="15" l="1"/>
  <c r="J17" i="15" s="1"/>
  <c r="C36" i="15"/>
  <c r="C57" i="15"/>
  <c r="C64" i="15" s="1"/>
  <c r="C13" i="15"/>
  <c r="Q70" i="15" s="1"/>
  <c r="C46" i="79"/>
  <c r="C45" i="79" s="1"/>
  <c r="C49" i="79" s="1"/>
  <c r="C51" i="79" s="1"/>
  <c r="C57" i="82"/>
  <c r="C13" i="82"/>
  <c r="Q49" i="82"/>
  <c r="C36" i="82"/>
  <c r="J19" i="82"/>
  <c r="J17" i="82" s="1"/>
  <c r="J14" i="82"/>
  <c r="J22" i="15"/>
  <c r="J13" i="15"/>
  <c r="J23" i="15" s="1"/>
  <c r="C49" i="11"/>
  <c r="C51" i="11" s="1"/>
  <c r="C52" i="11" s="1"/>
  <c r="B2" i="11" s="1"/>
  <c r="B3" i="11" s="1"/>
  <c r="AA11" i="39"/>
  <c r="S11" i="39"/>
  <c r="W11" i="39"/>
  <c r="AC11" i="39"/>
  <c r="AB11" i="39"/>
  <c r="U11" i="39"/>
  <c r="K70" i="39"/>
  <c r="L68" i="39"/>
  <c r="C28" i="69"/>
  <c r="C27" i="69" s="1"/>
  <c r="C31" i="69" s="1"/>
  <c r="C41" i="69"/>
  <c r="C46" i="69"/>
  <c r="C45" i="69" s="1"/>
  <c r="C5" i="71"/>
  <c r="D6" i="71"/>
  <c r="C46" i="68"/>
  <c r="C45" i="68" s="1"/>
  <c r="C43" i="68"/>
  <c r="C41" i="68" s="1"/>
  <c r="W7" i="35"/>
  <c r="AC7" i="35"/>
  <c r="V38" i="35" s="1"/>
  <c r="I38" i="35" s="1"/>
  <c r="J65" i="40"/>
  <c r="K63" i="40"/>
  <c r="I52" i="21"/>
  <c r="J52" i="21" s="1"/>
  <c r="U7" i="35"/>
  <c r="AB7" i="35"/>
  <c r="T38" i="35" s="1"/>
  <c r="G38" i="35" s="1"/>
  <c r="R49" i="21"/>
  <c r="E48" i="21"/>
  <c r="G52" i="21"/>
  <c r="H52" i="21" s="1"/>
  <c r="G53" i="21"/>
  <c r="H53" i="21" s="1"/>
  <c r="F7" i="35"/>
  <c r="L57" i="15"/>
  <c r="L60" i="15" s="1"/>
  <c r="L46" i="15" s="1"/>
  <c r="Q67" i="67"/>
  <c r="L57" i="67"/>
  <c r="L60" i="67" s="1"/>
  <c r="C45" i="67"/>
  <c r="C46" i="67" s="1"/>
  <c r="C71" i="67"/>
  <c r="C43" i="67"/>
  <c r="D2" i="67"/>
  <c r="Q47" i="67"/>
  <c r="Q53" i="67" s="1"/>
  <c r="Q56" i="67"/>
  <c r="Q65" i="67"/>
  <c r="C83" i="67"/>
  <c r="C82" i="67" s="1"/>
  <c r="C61" i="15" l="1"/>
  <c r="C59" i="15" s="1"/>
  <c r="C75" i="15"/>
  <c r="C56" i="15"/>
  <c r="C65" i="15" s="1"/>
  <c r="C58" i="15" s="1"/>
  <c r="C67" i="15" s="1"/>
  <c r="C68" i="15" s="1"/>
  <c r="C71" i="15" s="1"/>
  <c r="C37" i="15"/>
  <c r="C30" i="15" s="1"/>
  <c r="C39" i="15" s="1"/>
  <c r="C40" i="15" s="1"/>
  <c r="B2" i="15" s="1"/>
  <c r="C64" i="82"/>
  <c r="C61" i="82"/>
  <c r="C59" i="82" s="1"/>
  <c r="J22" i="82"/>
  <c r="J13" i="82"/>
  <c r="J23" i="82" s="1"/>
  <c r="C75" i="82"/>
  <c r="C56" i="82"/>
  <c r="C65" i="82" s="1"/>
  <c r="C37" i="82"/>
  <c r="C30" i="82" s="1"/>
  <c r="C39" i="82" s="1"/>
  <c r="C80" i="82" s="1"/>
  <c r="C79" i="82" s="1"/>
  <c r="Q70" i="82"/>
  <c r="J16" i="15"/>
  <c r="J25" i="15" s="1"/>
  <c r="C56" i="11"/>
  <c r="C57" i="11" s="1"/>
  <c r="L70" i="39"/>
  <c r="M68" i="39"/>
  <c r="C49" i="68"/>
  <c r="C51" i="68" s="1"/>
  <c r="C49" i="69"/>
  <c r="C51" i="69" s="1"/>
  <c r="C52" i="69" s="1"/>
  <c r="B2" i="69" s="1"/>
  <c r="B3" i="69" s="1"/>
  <c r="M20" i="43"/>
  <c r="D5" i="7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L51" i="15"/>
  <c r="D19" i="9"/>
  <c r="L51" i="82"/>
  <c r="AO6" i="1"/>
  <c r="Q69" i="15" l="1"/>
  <c r="Q68" i="15" s="1"/>
  <c r="C80" i="15"/>
  <c r="C79" i="15" s="1"/>
  <c r="Q67" i="15"/>
  <c r="C58" i="82"/>
  <c r="C67" i="82" s="1"/>
  <c r="C68" i="82" s="1"/>
  <c r="C71" i="82" s="1"/>
  <c r="Q69" i="82"/>
  <c r="Q68" i="82" s="1"/>
  <c r="C40" i="82"/>
  <c r="Q47" i="82" s="1"/>
  <c r="Q53" i="82" s="1"/>
  <c r="J16" i="82"/>
  <c r="J25" i="82" s="1"/>
  <c r="Q67" i="82"/>
  <c r="L5" i="77"/>
  <c r="D102" i="9"/>
  <c r="D21" i="9"/>
  <c r="B3" i="15"/>
  <c r="C46" i="15"/>
  <c r="B6" i="70"/>
  <c r="Q56" i="15"/>
  <c r="Q62" i="15" s="1"/>
  <c r="C43" i="15"/>
  <c r="C83" i="15"/>
  <c r="C82" i="15" s="1"/>
  <c r="Q65" i="15"/>
  <c r="Q75" i="15" s="1"/>
  <c r="Q47" i="15"/>
  <c r="Q53" i="15" s="1"/>
  <c r="N68" i="39"/>
  <c r="M70" i="39"/>
  <c r="C57" i="69"/>
  <c r="C56" i="69" s="1"/>
  <c r="R39" i="35"/>
  <c r="E38" i="35"/>
  <c r="M63" i="40"/>
  <c r="L65" i="40"/>
  <c r="D20" i="9"/>
  <c r="C46" i="82" l="1"/>
  <c r="Q56" i="82"/>
  <c r="Q62" i="82" s="1"/>
  <c r="C83" i="82"/>
  <c r="C82" i="82" s="1"/>
  <c r="C43" i="82"/>
  <c r="B2" i="82"/>
  <c r="B3" i="82" s="1"/>
  <c r="Q65" i="82"/>
  <c r="Q75" i="82" s="1"/>
  <c r="M5" i="77"/>
  <c r="D103" i="9"/>
  <c r="F7" i="39"/>
  <c r="N70" i="39"/>
  <c r="O68" i="39"/>
  <c r="O70" i="39" s="1"/>
  <c r="C39" i="35"/>
  <c r="B2" i="35" s="1"/>
  <c r="B3" i="35" s="1"/>
  <c r="C38" i="35"/>
  <c r="N63" i="40"/>
  <c r="M65" i="40"/>
  <c r="E43" i="35"/>
  <c r="F43" i="35" s="1"/>
  <c r="E42" i="35"/>
  <c r="F42" i="35" s="1"/>
  <c r="I43" i="35"/>
  <c r="J43" i="35" s="1"/>
  <c r="D19" i="80"/>
  <c r="AO7" i="1"/>
  <c r="D20" i="80"/>
  <c r="D21" i="80" l="1"/>
  <c r="L6" i="77"/>
  <c r="M6" i="77" s="1"/>
  <c r="D102" i="80"/>
  <c r="B7" i="70"/>
  <c r="B2" i="70" s="1"/>
  <c r="B3" i="70" s="1"/>
  <c r="D103" i="80"/>
  <c r="H7" i="39"/>
  <c r="J7" i="39"/>
  <c r="AA7" i="39"/>
  <c r="R47" i="39" s="1"/>
  <c r="S7" i="39"/>
  <c r="O63" i="40"/>
  <c r="O65" i="40" s="1"/>
  <c r="N65" i="40"/>
  <c r="E47" i="39" l="1"/>
  <c r="AC7" i="39"/>
  <c r="V47" i="39" s="1"/>
  <c r="I47" i="39" s="1"/>
  <c r="W7" i="39"/>
  <c r="AB7" i="39"/>
  <c r="T47" i="39" s="1"/>
  <c r="G47" i="39" s="1"/>
  <c r="U7" i="39"/>
  <c r="J7" i="40"/>
  <c r="F7" i="40"/>
  <c r="H7" i="40"/>
  <c r="R48" i="39" l="1"/>
  <c r="C47" i="39" s="1"/>
  <c r="E51" i="39"/>
  <c r="F51" i="39" s="1"/>
  <c r="E52" i="39"/>
  <c r="F52" i="39" s="1"/>
  <c r="G52" i="39"/>
  <c r="H52" i="39" s="1"/>
  <c r="G51" i="39"/>
  <c r="H51" i="39" s="1"/>
  <c r="I52" i="39"/>
  <c r="J52" i="39" s="1"/>
  <c r="I51" i="39"/>
  <c r="J51" i="39" s="1"/>
  <c r="U7" i="40"/>
  <c r="AB7" i="40"/>
  <c r="T42" i="40" s="1"/>
  <c r="G42" i="40" s="1"/>
  <c r="AA7" i="40"/>
  <c r="R42" i="40" s="1"/>
  <c r="S7" i="40"/>
  <c r="AC7" i="40"/>
  <c r="V42" i="40" s="1"/>
  <c r="I42" i="40" s="1"/>
  <c r="W7" i="40"/>
  <c r="C48" i="39" l="1"/>
  <c r="I46" i="40"/>
  <c r="J46" i="40" s="1"/>
  <c r="R43" i="40"/>
  <c r="E42" i="40"/>
  <c r="G47" i="40"/>
  <c r="H47" i="40" s="1"/>
  <c r="G46" i="40"/>
  <c r="H46" i="40" s="1"/>
  <c r="B61" i="39" l="1"/>
  <c r="F61" i="39" s="1"/>
  <c r="C6" i="79"/>
  <c r="B63" i="39"/>
  <c r="F63" i="39" s="1"/>
  <c r="B56" i="39"/>
  <c r="F56" i="39" s="1"/>
  <c r="F66" i="39" s="1"/>
  <c r="B2" i="39" s="1"/>
  <c r="B3" i="39" s="1"/>
  <c r="C6" i="68"/>
  <c r="B62" i="39"/>
  <c r="F62" i="39" s="1"/>
  <c r="B57" i="39"/>
  <c r="F57" i="39" s="1"/>
  <c r="B64" i="39"/>
  <c r="F64" i="39" s="1"/>
  <c r="B59" i="39"/>
  <c r="F59" i="39" s="1"/>
  <c r="B58" i="39"/>
  <c r="F58" i="39" s="1"/>
  <c r="B60" i="39"/>
  <c r="F60" i="39" s="1"/>
  <c r="B65" i="39"/>
  <c r="F65" i="39" s="1"/>
  <c r="C42" i="40"/>
  <c r="C43" i="40"/>
  <c r="E47" i="40"/>
  <c r="F47" i="40" s="1"/>
  <c r="E46" i="40"/>
  <c r="F46" i="40" s="1"/>
  <c r="I47" i="40"/>
  <c r="J47" i="40" s="1"/>
  <c r="C7" i="79" l="1"/>
  <c r="C5" i="79" s="1"/>
  <c r="C7" i="68"/>
  <c r="C5" i="6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23" i="68" l="1"/>
  <c r="C20" i="68"/>
  <c r="C25" i="68" s="1"/>
  <c r="C20" i="79"/>
  <c r="C25" i="79" s="1"/>
  <c r="C23" i="79"/>
  <c r="C28" i="68" l="1"/>
  <c r="C27" i="68" s="1"/>
  <c r="C28" i="79"/>
  <c r="C27" i="79" s="1"/>
  <c r="C22" i="79"/>
  <c r="C22" i="68"/>
  <c r="C31" i="68" l="1"/>
  <c r="C52" i="68" s="1"/>
  <c r="C57" i="68" s="1"/>
  <c r="C56" i="68" s="1"/>
  <c r="C31" i="79"/>
  <c r="B2" i="68" l="1"/>
  <c r="C52" i="79"/>
  <c r="B2" i="79" s="1"/>
  <c r="C19" i="9"/>
  <c r="B3" i="79"/>
  <c r="C19" i="80"/>
  <c r="G19" i="80" l="1"/>
  <c r="G21" i="80" s="1"/>
  <c r="C102" i="80"/>
  <c r="D22" i="80"/>
  <c r="C21" i="80"/>
  <c r="D22" i="9"/>
  <c r="C102" i="9"/>
  <c r="G19" i="9"/>
  <c r="G21" i="9" s="1"/>
  <c r="C21" i="9"/>
  <c r="J5" i="77"/>
  <c r="N5" i="77" s="1"/>
  <c r="R5" i="77" s="1"/>
  <c r="J6" i="77"/>
  <c r="N6" i="77" s="1"/>
  <c r="C57" i="79"/>
  <c r="C20" i="80"/>
  <c r="D35" i="80"/>
  <c r="B3" i="68"/>
  <c r="D34" i="9"/>
  <c r="C20" i="9"/>
  <c r="D35" i="9"/>
  <c r="O6" i="77" l="1"/>
  <c r="R6" i="77"/>
  <c r="O5" i="77"/>
  <c r="K6" i="77"/>
  <c r="K5" i="77"/>
  <c r="C56" i="79"/>
  <c r="G20" i="80"/>
  <c r="C32" i="80" s="1"/>
  <c r="C35" i="80" s="1"/>
  <c r="C34" i="80" s="1"/>
  <c r="C103" i="80"/>
  <c r="G20" i="9"/>
  <c r="C32" i="9" s="1"/>
  <c r="C103" i="9"/>
  <c r="D34" i="80"/>
  <c r="C35" i="9" l="1"/>
  <c r="C34" i="9" s="1"/>
  <c r="D118" i="9" l="1"/>
  <c r="F118" i="9"/>
  <c r="H118" i="9"/>
  <c r="F4" i="52" l="1"/>
  <c r="B51" i="72" s="1"/>
  <c r="G24" i="77"/>
  <c r="I118" i="9"/>
  <c r="J24" i="77" s="1"/>
  <c r="I24" i="77"/>
  <c r="D4" i="52"/>
  <c r="B47" i="72" s="1"/>
  <c r="E24" i="77"/>
  <c r="H101" i="9"/>
  <c r="G118" i="9"/>
  <c r="F119" i="9"/>
  <c r="F5" i="52" s="1"/>
  <c r="B53" i="72" s="1"/>
  <c r="D119" i="9"/>
  <c r="D5" i="52" s="1"/>
  <c r="B49" i="72" s="1"/>
  <c r="C104" i="9"/>
  <c r="H119" i="9"/>
  <c r="H5" i="52" s="1"/>
  <c r="H4" i="52"/>
  <c r="D14" i="74"/>
  <c r="E30" i="74" s="1"/>
  <c r="F30" i="74" s="1"/>
  <c r="I4" i="52" l="1"/>
  <c r="H102" i="9"/>
  <c r="D7" i="53" s="1"/>
  <c r="B21" i="72" s="1"/>
  <c r="G4" i="52"/>
  <c r="B52" i="72" s="1"/>
  <c r="H24" i="77"/>
  <c r="C105" i="9"/>
  <c r="E118" i="9"/>
  <c r="E14" i="74"/>
  <c r="F14" i="74"/>
  <c r="M48" i="9"/>
  <c r="D45" i="9"/>
  <c r="D5" i="53"/>
  <c r="H107" i="9"/>
  <c r="E4" i="52" l="1"/>
  <c r="B48" i="72" s="1"/>
  <c r="F24" i="77"/>
  <c r="B20" i="72"/>
  <c r="D6" i="53"/>
  <c r="B22" i="72" s="1"/>
  <c r="D13" i="53"/>
  <c r="D122" i="9"/>
  <c r="M49" i="9"/>
  <c r="H108" i="9"/>
  <c r="D15" i="53" s="1"/>
  <c r="B31" i="72" s="1"/>
  <c r="D53" i="9"/>
  <c r="D52" i="9"/>
  <c r="C93" i="9"/>
  <c r="C86" i="9" s="1"/>
  <c r="C78" i="9"/>
  <c r="C73" i="9" s="1"/>
  <c r="C72" i="9"/>
  <c r="C64" i="9"/>
  <c r="C63" i="9" s="1"/>
  <c r="C67" i="9" s="1"/>
  <c r="C85" i="9"/>
  <c r="D55" i="9"/>
  <c r="M53" i="9" s="1"/>
  <c r="C95" i="9" l="1"/>
  <c r="D59" i="9"/>
  <c r="M55" i="9" s="1"/>
  <c r="C68" i="9"/>
  <c r="D54" i="9" s="1"/>
  <c r="D8" i="52"/>
  <c r="D123" i="9"/>
  <c r="D9" i="52" s="1"/>
  <c r="G14" i="74"/>
  <c r="C96" i="9"/>
  <c r="E96" i="9" s="1"/>
  <c r="E97" i="9" s="1"/>
  <c r="C79" i="9"/>
  <c r="L67" i="9"/>
  <c r="M67" i="9" s="1"/>
  <c r="L65" i="9"/>
  <c r="M65" i="9" s="1"/>
  <c r="L64" i="9"/>
  <c r="M64" i="9" s="1"/>
  <c r="L68" i="9"/>
  <c r="M68" i="9" s="1"/>
  <c r="L66" i="9"/>
  <c r="M66" i="9" s="1"/>
  <c r="L63" i="9"/>
  <c r="M63" i="9" s="1"/>
  <c r="B30" i="72"/>
  <c r="D14" i="53"/>
  <c r="B32" i="72" s="1"/>
  <c r="M69" i="9" l="1"/>
  <c r="N69" i="9" s="1"/>
  <c r="C97" i="9"/>
  <c r="D58" i="9" s="1"/>
  <c r="D56" i="9" s="1"/>
  <c r="M54" i="9" s="1"/>
  <c r="N57" i="9" s="1"/>
  <c r="C80" i="9"/>
  <c r="E80" i="9" s="1"/>
  <c r="E81" i="9" s="1"/>
  <c r="N58" i="9" l="1"/>
  <c r="P57" i="9"/>
  <c r="N59" i="9"/>
  <c r="C81" i="9"/>
  <c r="N60" i="9" l="1"/>
  <c r="N61" i="9"/>
  <c r="F118" i="80"/>
  <c r="G25" i="77" s="1"/>
  <c r="D118" i="80"/>
  <c r="H118" i="80"/>
  <c r="I118" i="80" l="1"/>
  <c r="J25" i="77" s="1"/>
  <c r="I25" i="77"/>
  <c r="D119" i="80"/>
  <c r="E25" i="77"/>
  <c r="H101" i="80"/>
  <c r="M48" i="80" s="1"/>
  <c r="C104" i="80"/>
  <c r="D15" i="74" s="1"/>
  <c r="H119" i="80"/>
  <c r="F119" i="80"/>
  <c r="G118" i="80"/>
  <c r="C105" i="80" l="1"/>
  <c r="H102" i="80"/>
  <c r="E118" i="80"/>
  <c r="F25" i="77" s="1"/>
  <c r="H25" i="77"/>
  <c r="E31" i="74"/>
  <c r="F31" i="74" s="1"/>
  <c r="G15" i="74"/>
  <c r="F15" i="74"/>
  <c r="E15" i="74"/>
  <c r="D45" i="80"/>
  <c r="D53" i="80" s="1"/>
  <c r="H107" i="80"/>
  <c r="H108" i="80" s="1"/>
  <c r="D52" i="80" l="1"/>
  <c r="C72" i="80"/>
  <c r="C93" i="80"/>
  <c r="C86" i="80" s="1"/>
  <c r="C78" i="80"/>
  <c r="C73" i="80" s="1"/>
  <c r="C79" i="80" s="1"/>
  <c r="C85" i="80"/>
  <c r="D55" i="80"/>
  <c r="M53" i="80" s="1"/>
  <c r="C64" i="80"/>
  <c r="C63" i="80" s="1"/>
  <c r="C67" i="80" s="1"/>
  <c r="D59" i="80" s="1"/>
  <c r="M55" i="80" s="1"/>
  <c r="M49" i="80"/>
  <c r="L65" i="80" s="1"/>
  <c r="M65" i="80" s="1"/>
  <c r="D122" i="80"/>
  <c r="D123" i="80" s="1"/>
  <c r="L66" i="80" l="1"/>
  <c r="M66" i="80" s="1"/>
  <c r="C68" i="80"/>
  <c r="D54" i="80" s="1"/>
  <c r="C95" i="80"/>
  <c r="C96" i="80" s="1"/>
  <c r="E96" i="80" s="1"/>
  <c r="E97" i="80" s="1"/>
  <c r="L67" i="80"/>
  <c r="M67" i="80" s="1"/>
  <c r="C80" i="80"/>
  <c r="E80" i="80" s="1"/>
  <c r="E81" i="80" s="1"/>
  <c r="L64" i="80"/>
  <c r="M64" i="80" s="1"/>
  <c r="L63" i="80"/>
  <c r="M63" i="80" s="1"/>
  <c r="L68" i="80"/>
  <c r="M68" i="80" s="1"/>
  <c r="C97" i="80" l="1"/>
  <c r="D58" i="80" s="1"/>
  <c r="D56" i="80" s="1"/>
  <c r="M54" i="80" s="1"/>
  <c r="N57" i="80" s="1"/>
  <c r="N58" i="80" s="1"/>
  <c r="C81" i="80"/>
  <c r="M69" i="80"/>
  <c r="N69" i="80" s="1"/>
  <c r="P57" i="80" l="1"/>
  <c r="N59" i="80"/>
  <c r="N61" i="80" s="1"/>
  <c r="N60" i="80" l="1"/>
  <c r="L7" i="77" l="1"/>
  <c r="L8" i="77" l="1"/>
  <c r="M8" i="77" s="1"/>
  <c r="M7" i="77"/>
  <c r="L9" i="77" l="1"/>
  <c r="J7" i="77" l="1"/>
  <c r="J8" i="77"/>
  <c r="N8" i="77" l="1"/>
  <c r="K8" i="77"/>
  <c r="N7" i="77"/>
  <c r="J9" i="77"/>
  <c r="K7" i="77"/>
  <c r="R7" i="77" l="1"/>
  <c r="O7" i="77"/>
  <c r="N9" i="77"/>
  <c r="R8" i="77"/>
  <c r="O8" i="77"/>
  <c r="E27" i="77" l="1"/>
  <c r="G27" i="77"/>
  <c r="I27" i="77"/>
  <c r="H27" i="77" l="1"/>
  <c r="J27" i="77"/>
  <c r="D17" i="74"/>
  <c r="F27" i="77" l="1"/>
  <c r="E33" i="74"/>
  <c r="F33" i="74" s="1"/>
  <c r="F17" i="74"/>
  <c r="G17" i="74"/>
  <c r="E17" i="74"/>
  <c r="E26" i="77" l="1"/>
  <c r="E28" i="77" s="1"/>
  <c r="G26" i="77"/>
  <c r="G28" i="77" s="1"/>
  <c r="I26" i="77"/>
  <c r="I28" i="77" s="1"/>
  <c r="J26" i="77" l="1"/>
  <c r="H26" i="77"/>
  <c r="D16" i="74"/>
  <c r="E32" i="74" l="1"/>
  <c r="F32" i="74" s="1"/>
  <c r="E16" i="74"/>
  <c r="F16" i="74"/>
  <c r="G16" i="74"/>
  <c r="B6" i="74" s="1"/>
  <c r="B5" i="74"/>
  <c r="F26" i="77"/>
  <c r="C6" i="74" l="1"/>
  <c r="D6" i="74"/>
  <c r="C5" i="74"/>
  <c r="D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6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600-00000300000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D17" authorId="2" shapeId="0" xr:uid="{00000000-0006-0000-22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2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200-000005000000}">
      <text>
        <r>
          <rPr>
            <sz val="9"/>
            <color indexed="81"/>
            <rFont val="宋体"/>
            <family val="3"/>
            <charset val="134"/>
          </rPr>
          <t xml:space="preserve">需在此处填写剩余土地年限
</t>
        </r>
      </text>
    </comment>
    <comment ref="C99" authorId="0" shapeId="0" xr:uid="{00000000-0006-0000-22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2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2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2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200-000012000000}">
      <text>
        <r>
          <rPr>
            <b/>
            <sz val="9"/>
            <color indexed="81"/>
            <rFont val="宋体"/>
            <family val="3"/>
            <charset val="134"/>
          </rPr>
          <t xml:space="preserve">容积率
</t>
        </r>
      </text>
    </comment>
    <comment ref="D101" authorId="0" shapeId="0" xr:uid="{00000000-0006-0000-2200-000013000000}">
      <text>
        <r>
          <rPr>
            <b/>
            <sz val="9"/>
            <color indexed="81"/>
            <rFont val="宋体"/>
            <family val="3"/>
            <charset val="134"/>
          </rPr>
          <t xml:space="preserve">容积率
</t>
        </r>
      </text>
    </comment>
    <comment ref="E101" authorId="0" shapeId="0" xr:uid="{00000000-0006-0000-2200-000014000000}">
      <text>
        <r>
          <rPr>
            <b/>
            <sz val="9"/>
            <color indexed="81"/>
            <rFont val="宋体"/>
            <family val="3"/>
            <charset val="134"/>
          </rPr>
          <t xml:space="preserve">容积率
</t>
        </r>
      </text>
    </comment>
    <comment ref="F101" authorId="0" shapeId="0" xr:uid="{00000000-0006-0000-2200-000015000000}">
      <text>
        <r>
          <rPr>
            <b/>
            <sz val="9"/>
            <color indexed="81"/>
            <rFont val="宋体"/>
            <family val="3"/>
            <charset val="134"/>
          </rPr>
          <t xml:space="preserve">容积率
</t>
        </r>
      </text>
    </comment>
    <comment ref="G101" authorId="0" shapeId="0" xr:uid="{00000000-0006-0000-2200-000016000000}">
      <text>
        <r>
          <rPr>
            <b/>
            <sz val="9"/>
            <color indexed="81"/>
            <rFont val="宋体"/>
            <family val="3"/>
            <charset val="134"/>
          </rPr>
          <t xml:space="preserve">容积率
</t>
        </r>
      </text>
    </comment>
    <comment ref="H101" authorId="0" shapeId="0" xr:uid="{00000000-0006-0000-2200-000017000000}">
      <text>
        <r>
          <rPr>
            <b/>
            <sz val="9"/>
            <color indexed="81"/>
            <rFont val="宋体"/>
            <family val="3"/>
            <charset val="134"/>
          </rPr>
          <t xml:space="preserve">容积率
</t>
        </r>
      </text>
    </comment>
    <comment ref="I101" authorId="0" shapeId="0" xr:uid="{00000000-0006-0000-2200-000018000000}">
      <text>
        <r>
          <rPr>
            <b/>
            <sz val="9"/>
            <color indexed="81"/>
            <rFont val="宋体"/>
            <family val="3"/>
            <charset val="134"/>
          </rPr>
          <t xml:space="preserve">容积率
</t>
        </r>
      </text>
    </comment>
    <comment ref="J101" authorId="0" shapeId="0" xr:uid="{00000000-0006-0000-2200-000019000000}">
      <text>
        <r>
          <rPr>
            <b/>
            <sz val="9"/>
            <color indexed="81"/>
            <rFont val="宋体"/>
            <family val="3"/>
            <charset val="134"/>
          </rPr>
          <t xml:space="preserve">容积率
</t>
        </r>
      </text>
    </comment>
    <comment ref="K101" authorId="0" shapeId="0" xr:uid="{00000000-0006-0000-2200-00001A000000}">
      <text>
        <r>
          <rPr>
            <b/>
            <sz val="9"/>
            <color indexed="81"/>
            <rFont val="宋体"/>
            <family val="3"/>
            <charset val="134"/>
          </rPr>
          <t xml:space="preserve">容积率
</t>
        </r>
      </text>
    </comment>
    <comment ref="L101" authorId="0" shapeId="0" xr:uid="{00000000-0006-0000-2200-00001B000000}">
      <text>
        <r>
          <rPr>
            <b/>
            <sz val="9"/>
            <color indexed="81"/>
            <rFont val="宋体"/>
            <family val="3"/>
            <charset val="134"/>
          </rPr>
          <t xml:space="preserve">容积率
</t>
        </r>
      </text>
    </comment>
    <comment ref="M101" authorId="0" shapeId="0" xr:uid="{00000000-0006-0000-2200-00001C000000}">
      <text>
        <r>
          <rPr>
            <b/>
            <sz val="9"/>
            <color indexed="81"/>
            <rFont val="宋体"/>
            <family val="3"/>
            <charset val="134"/>
          </rPr>
          <t xml:space="preserve">容积率
</t>
        </r>
      </text>
    </comment>
    <comment ref="N101" authorId="0" shapeId="0" xr:uid="{00000000-0006-0000-2200-00001D000000}">
      <text>
        <r>
          <rPr>
            <b/>
            <sz val="9"/>
            <color indexed="81"/>
            <rFont val="宋体"/>
            <family val="3"/>
            <charset val="134"/>
          </rPr>
          <t xml:space="preserve">容积率
</t>
        </r>
      </text>
    </comment>
    <comment ref="C108" authorId="0" shapeId="0" xr:uid="{00000000-0006-0000-22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2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2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2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2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2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2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2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2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2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2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2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2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D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D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D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D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E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F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F00-000004000000}">
      <text>
        <r>
          <rPr>
            <sz val="11"/>
            <color indexed="81"/>
            <rFont val="宋体"/>
            <family val="3"/>
            <charset val="134"/>
          </rPr>
          <t>在建项目均选择“是”</t>
        </r>
      </text>
    </comment>
    <comment ref="F59" authorId="1" shapeId="0" xr:uid="{00000000-0006-0000-2F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F00-000006000000}">
      <text>
        <r>
          <rPr>
            <sz val="10"/>
            <color indexed="81"/>
            <rFont val="宋体"/>
            <family val="3"/>
            <charset val="134"/>
          </rPr>
          <t xml:space="preserve">在建
</t>
        </r>
      </text>
    </comment>
    <comment ref="N59" authorId="0" shapeId="0" xr:uid="{00000000-0006-0000-2F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<sst xmlns="http://schemas.openxmlformats.org/spreadsheetml/2006/main" count="9054" uniqueCount="3531">
  <si>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</si>
  <si>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</si>
  <si>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</si>
  <si>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</si>
  <si>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</si>
  <si>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</si>
  <si>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</si>
  <si>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</si>
  <si>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</si>
  <si>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</si>
  <si>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</si>
  <si>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</si>
  <si>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</si>
  <si>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</si>
  <si>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</si>
  <si>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</si>
  <si>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</si>
  <si>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</si>
  <si>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</si>
  <si>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</si>
  <si>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</si>
  <si>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</si>
  <si>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</si>
  <si>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</si>
  <si>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</si>
  <si>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</si>
  <si>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</si>
  <si>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</si>
  <si>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</si>
  <si>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</si>
  <si>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</si>
  <si>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</si>
  <si>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</si>
  <si>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</si>
  <si>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</si>
  <si>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</si>
  <si>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</si>
  <si>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</si>
  <si>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</si>
  <si>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</si>
  <si>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</si>
  <si>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</si>
  <si>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</si>
  <si>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</si>
  <si>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</si>
  <si>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</si>
  <si>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</si>
  <si>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</si>
  <si>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</si>
  <si>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</si>
  <si>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</si>
  <si>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</si>
  <si>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</si>
  <si>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</si>
  <si>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</si>
  <si>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</si>
  <si>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</si>
  <si>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</si>
  <si>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</si>
  <si>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</si>
  <si>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</si>
  <si>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</si>
  <si>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</si>
  <si>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</si>
  <si>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</si>
  <si>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</si>
  <si>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</si>
  <si>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</si>
  <si>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</si>
  <si>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</si>
  <si>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</si>
  <si>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</si>
  <si>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</si>
  <si>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</si>
  <si>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</si>
  <si>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</si>
  <si>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</si>
  <si>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</si>
  <si>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</si>
  <si>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</si>
  <si>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</si>
  <si>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</si>
  <si>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</si>
  <si>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</si>
  <si>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</si>
  <si>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</si>
  <si>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</si>
  <si>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</si>
  <si>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</si>
  <si>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</si>
  <si>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</si>
  <si>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</si>
  <si>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</si>
  <si>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</si>
  <si>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</si>
  <si>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</si>
  <si>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</si>
  <si>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</si>
  <si>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</si>
  <si>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</si>
  <si>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</si>
  <si>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</si>
  <si>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</si>
  <si>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</si>
  <si>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</si>
  <si>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</si>
  <si>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</si>
  <si>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</si>
  <si>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</si>
  <si>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</si>
  <si>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</si>
  <si>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</si>
  <si>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</si>
  <si>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</si>
  <si>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</si>
  <si>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</si>
  <si>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</si>
  <si>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</si>
  <si>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</si>
  <si>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</si>
  <si>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</si>
  <si>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</si>
  <si>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</si>
  <si>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</si>
  <si>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</si>
  <si>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</si>
  <si>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</si>
  <si>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</si>
  <si>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</si>
  <si>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</si>
  <si>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</si>
  <si>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</si>
  <si>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</si>
  <si>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</si>
  <si>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</si>
  <si>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</si>
  <si>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</si>
  <si>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</si>
  <si>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</si>
  <si>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</si>
  <si>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</si>
  <si>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</si>
  <si>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</si>
  <si>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</si>
  <si>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</si>
  <si>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</si>
  <si>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</si>
  <si>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</si>
  <si>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</si>
  <si>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</si>
  <si>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</si>
  <si>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</si>
  <si>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</si>
  <si>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</si>
  <si>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</si>
  <si>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</si>
  <si>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</si>
  <si>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</si>
  <si>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</si>
  <si>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</si>
  <si>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</si>
  <si>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</si>
  <si>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</si>
  <si>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</si>
  <si>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</si>
  <si>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</si>
  <si>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</si>
  <si>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</si>
  <si>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</si>
  <si>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</si>
  <si>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</si>
  <si>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</si>
  <si>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</si>
  <si>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</si>
  <si>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</si>
  <si>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</si>
  <si>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</si>
  <si>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</si>
  <si>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</si>
  <si>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</si>
  <si>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</si>
  <si>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</si>
  <si>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</si>
  <si>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</si>
  <si>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</si>
  <si>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</si>
  <si>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</si>
  <si>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</si>
  <si>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</si>
  <si>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</si>
  <si>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</si>
  <si>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</si>
  <si>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</si>
  <si>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</si>
  <si>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</si>
  <si>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</si>
  <si>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</si>
  <si>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</si>
  <si>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</si>
  <si>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</si>
  <si>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</si>
  <si>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</si>
  <si>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</si>
  <si>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</si>
  <si>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</si>
  <si>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</si>
  <si>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</si>
  <si>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</si>
  <si>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</si>
  <si>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</si>
  <si>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</si>
  <si>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</si>
  <si>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</si>
  <si>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</si>
  <si>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</si>
  <si>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</si>
  <si>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</si>
  <si>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</si>
  <si>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</si>
  <si>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</si>
  <si>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</si>
  <si>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</si>
  <si>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</si>
  <si>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</si>
  <si>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</si>
  <si>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</si>
  <si>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</si>
  <si>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</si>
  <si>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</si>
  <si>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</si>
  <si>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</si>
  <si>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</si>
  <si>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</si>
  <si>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</si>
  <si>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</si>
  <si>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</si>
  <si>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</si>
  <si>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</si>
  <si>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</si>
  <si>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</si>
  <si>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</si>
  <si>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</si>
  <si>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</si>
  <si>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</si>
  <si>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</si>
  <si>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</si>
  <si>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</si>
  <si>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</si>
  <si>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</si>
  <si>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</si>
  <si>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</si>
  <si>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</si>
  <si>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</si>
  <si>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</si>
  <si>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</si>
  <si>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</si>
  <si>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</si>
  <si>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</si>
  <si>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</si>
  <si>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</si>
  <si>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</si>
  <si>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</si>
  <si>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</si>
  <si>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</si>
  <si>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</si>
  <si>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</si>
  <si>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</si>
  <si>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</si>
  <si>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</si>
  <si>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</si>
  <si>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</si>
  <si>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</si>
  <si>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</si>
  <si>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</si>
  <si>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</si>
  <si>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</si>
  <si>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</si>
  <si>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</si>
  <si>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</si>
  <si>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</si>
  <si>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</si>
  <si>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</si>
  <si>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</si>
  <si>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</si>
  <si>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</si>
  <si>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</si>
  <si>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</si>
  <si>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</si>
  <si>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</si>
  <si>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</si>
  <si>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</si>
  <si>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</si>
  <si>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</si>
  <si>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</si>
  <si>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</si>
  <si>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</si>
  <si>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</si>
  <si>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</si>
  <si>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</si>
  <si>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</si>
  <si>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</si>
  <si>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</si>
  <si>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</si>
  <si>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</si>
  <si>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</si>
  <si>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</si>
  <si>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</si>
  <si>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</si>
  <si>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</si>
  <si>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</si>
  <si>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</si>
  <si>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</si>
  <si>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</si>
  <si>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</si>
  <si>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</si>
  <si>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</si>
  <si>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</si>
  <si>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</si>
  <si>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</si>
  <si>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</si>
  <si>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</si>
  <si>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</si>
  <si>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</si>
  <si>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</si>
  <si>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</si>
  <si>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</si>
  <si>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</si>
  <si>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</si>
  <si>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</si>
  <si>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</si>
  <si>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</si>
  <si>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</si>
  <si>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</si>
  <si>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</si>
  <si>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</si>
  <si>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</si>
  <si>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</si>
  <si>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</si>
  <si>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</si>
  <si>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</si>
  <si>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</si>
  <si>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</si>
  <si>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</si>
  <si>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</si>
  <si>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</si>
  <si>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</si>
  <si>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</si>
  <si>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</si>
  <si>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</si>
  <si>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</si>
  <si>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</si>
  <si>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</si>
  <si>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</si>
  <si>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</si>
  <si>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</si>
  <si>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</si>
  <si>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</si>
  <si>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</si>
  <si>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</si>
  <si>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</si>
  <si>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</si>
  <si>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</si>
  <si>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</si>
  <si>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</si>
  <si>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</si>
  <si>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</si>
  <si>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</si>
  <si>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</si>
  <si>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</si>
  <si>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</si>
  <si>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</si>
  <si>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</si>
  <si>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</si>
  <si>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</si>
  <si>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</si>
  <si>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</si>
  <si>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</si>
  <si>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</si>
  <si>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</si>
  <si>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</si>
  <si>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</si>
  <si>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</si>
  <si>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</si>
  <si>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</si>
  <si>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</si>
  <si>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</si>
  <si>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</si>
  <si>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</si>
  <si>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</si>
  <si>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</si>
  <si>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</si>
  <si>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</si>
  <si>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</si>
  <si>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</si>
  <si>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</si>
  <si>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</si>
  <si>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</si>
  <si>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</si>
  <si>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</si>
  <si>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</si>
  <si>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</si>
  <si>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</si>
  <si>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</si>
  <si>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</si>
  <si>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</si>
  <si>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</si>
  <si>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</si>
  <si>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</si>
  <si>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</si>
  <si>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</si>
  <si>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</si>
  <si>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</si>
  <si>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</si>
  <si>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</si>
  <si>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</si>
  <si>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</si>
  <si>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</si>
  <si>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</si>
  <si>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</si>
  <si>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</si>
  <si>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</si>
  <si>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</si>
  <si>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</si>
  <si>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</si>
  <si>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</si>
  <si>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</si>
  <si>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</si>
  <si>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</si>
  <si>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</si>
  <si>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</si>
  <si>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</si>
  <si>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</si>
  <si>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</si>
  <si>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</si>
  <si>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</si>
  <si>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</si>
  <si>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</si>
  <si>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</si>
  <si>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</si>
  <si>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</si>
  <si>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</si>
  <si>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</si>
  <si>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</si>
  <si>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</si>
  <si>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</si>
  <si>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</si>
  <si>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</si>
  <si>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</si>
  <si>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</si>
  <si>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</si>
  <si>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</si>
  <si>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</si>
  <si>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</si>
  <si>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</si>
  <si>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</si>
  <si>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</si>
  <si>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</si>
  <si>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</si>
  <si>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</si>
  <si>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</si>
  <si>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</si>
  <si>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</si>
  <si>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</si>
  <si>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</si>
  <si>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</si>
  <si>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</si>
  <si>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</si>
  <si>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</si>
  <si>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</si>
  <si>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</si>
  <si>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</si>
  <si>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</si>
  <si>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</si>
  <si>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</si>
  <si>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</si>
  <si>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</si>
  <si>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</si>
  <si>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</si>
  <si>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</si>
  <si>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</si>
  <si>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</si>
  <si>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</si>
  <si>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</si>
  <si>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</si>
  <si>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</si>
  <si>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</si>
  <si>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</si>
  <si>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</si>
  <si>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</si>
  <si>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</si>
  <si>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</si>
  <si>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</si>
  <si>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</si>
  <si>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</si>
  <si>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</si>
  <si>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</si>
  <si>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</si>
  <si>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</si>
  <si>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</si>
  <si>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</si>
  <si>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</si>
  <si>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</si>
  <si>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</si>
  <si>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</si>
  <si>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</si>
  <si>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</si>
  <si>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</si>
  <si>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</si>
  <si>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</si>
  <si>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</si>
  <si>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</si>
  <si>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</si>
  <si>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</si>
  <si>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</si>
  <si>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</si>
  <si>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</si>
  <si>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</si>
  <si>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</si>
  <si>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</si>
  <si>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</si>
  <si>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</si>
  <si>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</si>
  <si>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</si>
  <si>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</si>
  <si>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</si>
  <si>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</si>
  <si>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</si>
  <si>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</si>
  <si>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</si>
  <si>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</si>
  <si>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</si>
  <si>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</si>
  <si>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</si>
  <si>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</si>
  <si>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</si>
  <si>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</si>
  <si>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</si>
  <si>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</si>
  <si>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</si>
  <si>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</si>
  <si>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</si>
  <si>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</si>
  <si>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</si>
  <si>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</si>
  <si>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</si>
  <si>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</si>
  <si>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</si>
  <si>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</si>
  <si>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</si>
  <si>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</si>
  <si>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</si>
  <si>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</si>
  <si>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</si>
  <si>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</si>
  <si>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</si>
  <si>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</si>
  <si>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</si>
  <si>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</si>
  <si>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</si>
  <si>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</si>
  <si>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</si>
  <si>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</si>
  <si>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</si>
  <si>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</si>
  <si>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</si>
  <si>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</si>
  <si>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</si>
  <si>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</si>
  <si>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</si>
  <si>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</si>
  <si>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</si>
  <si>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</si>
  <si>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</si>
  <si>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</si>
  <si>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</si>
  <si>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</si>
  <si>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</si>
  <si>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</si>
  <si>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</si>
  <si>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</si>
  <si>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</si>
  <si>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</si>
  <si>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</si>
  <si>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</si>
  <si>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</si>
  <si>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</si>
  <si>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</si>
  <si>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</si>
  <si>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</si>
  <si>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</si>
  <si>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</si>
  <si>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</si>
  <si>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</si>
  <si>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</si>
  <si>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</si>
  <si>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</si>
  <si>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</si>
  <si>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</si>
  <si>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</si>
  <si>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</si>
  <si>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</si>
  <si>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</si>
  <si>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</si>
  <si>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</si>
  <si>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</si>
  <si>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</si>
  <si>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</si>
  <si>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</si>
  <si>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</si>
  <si>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</si>
  <si>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</si>
  <si>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</si>
  <si>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</si>
  <si>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</si>
  <si>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</si>
  <si>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</si>
  <si>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</si>
  <si>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</si>
  <si>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</si>
  <si>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</si>
  <si>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</si>
  <si>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</si>
  <si>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</si>
  <si>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</si>
  <si>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</si>
  <si>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</si>
  <si>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</si>
  <si>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</si>
  <si>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</si>
  <si>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</si>
  <si>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</si>
  <si>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</si>
  <si>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</si>
  <si>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</si>
  <si>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</si>
  <si>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</si>
  <si>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</si>
  <si>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</si>
  <si>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</si>
  <si>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</si>
  <si>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</si>
  <si>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</si>
  <si>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</si>
  <si>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</si>
  <si>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</si>
  <si>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</si>
  <si>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</si>
  <si>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</si>
  <si>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</si>
  <si>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</si>
  <si>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</si>
  <si>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</si>
  <si>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</si>
  <si>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</si>
  <si>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</si>
  <si>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</si>
  <si>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</si>
  <si>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</si>
  <si>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</si>
  <si>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</si>
  <si>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</si>
  <si>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</si>
  <si>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</si>
  <si>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</si>
  <si>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</si>
  <si>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</si>
  <si>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</si>
  <si>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</si>
  <si>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</si>
  <si>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</si>
  <si>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</si>
  <si>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</si>
  <si>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</si>
  <si>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</si>
  <si>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</si>
  <si>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</si>
  <si>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</si>
  <si>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</si>
  <si>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</si>
  <si>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</si>
  <si>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</si>
  <si>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</si>
  <si>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</si>
  <si>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</si>
  <si>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</si>
  <si>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</si>
  <si>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</si>
  <si>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</si>
  <si>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</si>
  <si>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</si>
  <si>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</si>
  <si>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</si>
  <si>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</si>
  <si>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</si>
  <si>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</si>
  <si>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</si>
  <si>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</si>
  <si>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</si>
  <si>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</si>
  <si>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</si>
  <si>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</si>
  <si>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</si>
  <si>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</si>
  <si>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</si>
  <si>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</si>
  <si>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</si>
  <si>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</si>
  <si>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</si>
  <si>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</si>
  <si>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</si>
  <si>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</si>
  <si>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</si>
  <si>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</si>
  <si>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</si>
  <si>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</si>
  <si>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</si>
  <si>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</si>
  <si>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</si>
  <si>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</si>
  <si>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</si>
  <si>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</si>
  <si>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</si>
  <si>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</si>
  <si>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</si>
  <si>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</si>
  <si>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</si>
  <si>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</si>
  <si>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</si>
  <si>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</si>
  <si>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</si>
  <si>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</si>
  <si>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</si>
  <si>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</si>
  <si>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</si>
  <si>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</si>
  <si>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</si>
  <si>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</si>
  <si>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</si>
  <si>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</si>
  <si>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</si>
  <si>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</si>
  <si>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</si>
  <si>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</si>
  <si>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</si>
  <si>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</si>
  <si>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</si>
  <si>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</si>
  <si>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</si>
  <si>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</si>
  <si>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</si>
  <si>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</si>
  <si>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</si>
  <si>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</si>
  <si>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</si>
  <si>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</si>
  <si>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</si>
  <si>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</si>
  <si>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</si>
  <si>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</si>
  <si>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</si>
  <si>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</si>
  <si>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</si>
  <si>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</si>
  <si>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</si>
  <si>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</si>
  <si>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</si>
  <si>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</si>
  <si>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</si>
  <si>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</si>
  <si>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</si>
  <si>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</si>
  <si>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</si>
  <si>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</si>
  <si>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</si>
  <si>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</si>
  <si>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</si>
  <si>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</si>
  <si>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</si>
  <si>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</si>
  <si>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</si>
  <si>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</si>
  <si>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</si>
  <si>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</si>
  <si>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</si>
  <si>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</si>
  <si>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</si>
  <si>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</si>
  <si>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</si>
  <si>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</si>
  <si>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</si>
  <si>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</si>
  <si>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</si>
  <si>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</si>
  <si>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</si>
  <si>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</si>
  <si>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</si>
  <si>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</si>
  <si>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</si>
  <si>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</si>
  <si>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</si>
  <si>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</si>
  <si>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</si>
  <si>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</si>
  <si>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</si>
  <si>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</si>
  <si>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</si>
  <si>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</si>
  <si>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</si>
  <si>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</si>
  <si>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</si>
  <si>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</si>
  <si>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</si>
  <si>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</si>
  <si>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</si>
  <si>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</si>
  <si>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</si>
  <si>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</si>
  <si>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</si>
  <si>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</si>
  <si>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</si>
  <si>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</si>
  <si>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</si>
  <si>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</si>
  <si>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</si>
  <si>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</si>
  <si>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</si>
  <si>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</si>
  <si>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</si>
  <si>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</si>
  <si>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</si>
  <si>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</si>
  <si>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</si>
  <si>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</si>
  <si>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</si>
  <si>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</si>
  <si>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</si>
  <si>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</si>
  <si>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</si>
  <si>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</si>
  <si>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</si>
  <si>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</si>
  <si>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</si>
  <si>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</si>
  <si>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</si>
  <si>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</si>
  <si>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</si>
  <si>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</si>
  <si>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</si>
  <si>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</si>
  <si>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</si>
  <si>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</si>
  <si>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</si>
  <si>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</si>
  <si>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</si>
  <si>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</si>
  <si>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</si>
  <si>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</si>
  <si>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</si>
  <si>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</si>
  <si>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</si>
  <si>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</si>
  <si>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</si>
  <si>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</si>
  <si>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</si>
  <si>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</si>
  <si>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</si>
  <si>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</si>
  <si>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</si>
  <si>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</si>
  <si>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</si>
  <si>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</si>
  <si>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</si>
  <si>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</si>
  <si>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</si>
  <si>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</si>
  <si>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</si>
  <si>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</si>
  <si>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</si>
  <si>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</si>
  <si>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</si>
  <si>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</si>
  <si>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</si>
  <si>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</si>
  <si>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</si>
  <si>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</si>
  <si>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</si>
  <si>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</si>
  <si>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</si>
  <si>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</si>
  <si>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</si>
  <si>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</si>
  <si>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</si>
  <si>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</si>
  <si>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</si>
  <si>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</si>
  <si>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</si>
  <si>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</si>
  <si>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</si>
  <si>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</si>
  <si>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</si>
  <si>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</si>
  <si>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</si>
  <si>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</si>
  <si>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</si>
  <si>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</si>
  <si>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</si>
  <si>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</si>
  <si>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</si>
  <si>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</si>
  <si>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</si>
  <si>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</si>
  <si>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</si>
  <si>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</si>
  <si>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</si>
  <si>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</si>
  <si>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</si>
  <si>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</si>
  <si>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</si>
  <si>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</si>
  <si>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</si>
  <si>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</si>
  <si>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</si>
  <si>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</si>
  <si>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</si>
  <si>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</si>
  <si>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</si>
  <si>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</si>
  <si>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</si>
  <si>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</si>
  <si>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</si>
  <si>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</si>
  <si>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</si>
  <si>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</si>
  <si>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</si>
  <si>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</si>
  <si>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</si>
  <si>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</si>
  <si>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</si>
  <si>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</si>
  <si>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</si>
  <si>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</si>
  <si>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</si>
  <si>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</si>
  <si>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</si>
  <si>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</si>
  <si>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</si>
  <si>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</si>
  <si>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</si>
  <si>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</si>
  <si>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</si>
  <si>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</si>
  <si>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</si>
  <si>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</si>
  <si>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</si>
  <si>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</si>
  <si>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</si>
  <si>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</si>
  <si>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</si>
  <si>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</si>
  <si>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</si>
  <si>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</si>
  <si>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</si>
  <si>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</si>
  <si>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</si>
  <si>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</si>
  <si>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</si>
  <si>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</si>
  <si>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</si>
  <si>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</si>
  <si>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</si>
  <si>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</si>
  <si>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</si>
  <si>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</si>
  <si>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</si>
  <si>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</si>
  <si>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</si>
  <si>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</si>
  <si>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</si>
  <si>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</si>
  <si>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</si>
  <si>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</si>
  <si>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</si>
  <si>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</si>
  <si>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</si>
  <si>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</si>
  <si>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</si>
  <si>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</si>
  <si>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</si>
  <si>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</si>
  <si>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</si>
  <si>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</si>
  <si>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</si>
  <si>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</si>
  <si>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</si>
  <si>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</si>
  <si>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</si>
  <si>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</si>
  <si>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</si>
  <si>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</si>
  <si>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</si>
  <si>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</si>
  <si>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</si>
  <si>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</si>
  <si>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</si>
  <si>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</si>
  <si>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</si>
  <si>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</si>
  <si>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</si>
  <si>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</si>
  <si>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</si>
  <si>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</si>
  <si>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</si>
  <si>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</si>
  <si>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</si>
  <si>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</si>
  <si>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</si>
  <si>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</si>
  <si>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</si>
  <si>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</si>
  <si>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</si>
  <si>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</si>
  <si>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</si>
  <si>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</si>
  <si>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</si>
  <si>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</si>
  <si>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</si>
  <si>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</si>
  <si>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</si>
  <si>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</si>
  <si>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</si>
  <si>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</si>
  <si>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</si>
  <si>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</si>
  <si>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</si>
  <si>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</si>
  <si>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</si>
  <si>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</si>
  <si>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</si>
  <si>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</si>
  <si>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</si>
  <si>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</si>
  <si>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</si>
  <si>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</si>
  <si>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</si>
  <si>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</si>
  <si>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</si>
  <si>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</si>
  <si>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</si>
  <si>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</si>
  <si>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</si>
  <si>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</si>
  <si>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</si>
  <si>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</si>
  <si>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</si>
  <si>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</si>
  <si>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</si>
  <si>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</si>
  <si>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</si>
  <si>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</si>
  <si>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</si>
  <si>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</si>
  <si>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</si>
  <si>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</si>
  <si>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</si>
  <si>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</si>
  <si>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</si>
  <si>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</si>
  <si>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</si>
  <si>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</si>
  <si>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</si>
  <si>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</si>
  <si>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</si>
  <si>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</si>
  <si>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</si>
  <si>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</si>
  <si>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</si>
  <si>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</si>
  <si>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</si>
  <si>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</si>
  <si>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</si>
  <si>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</si>
  <si>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</si>
  <si>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</si>
  <si>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</si>
  <si>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</si>
  <si>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</si>
  <si>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</si>
  <si>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</si>
  <si>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</si>
  <si>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</si>
  <si>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</si>
  <si>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</si>
  <si>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</si>
  <si>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</si>
  <si>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</si>
  <si>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</si>
  <si>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</si>
  <si>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</si>
  <si>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</si>
  <si>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</si>
  <si>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</si>
  <si>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</si>
  <si>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</si>
  <si>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</si>
  <si>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</si>
  <si>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</si>
  <si>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</si>
  <si>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</si>
  <si>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</si>
  <si>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</si>
  <si>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</si>
  <si>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</si>
  <si>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</si>
  <si>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</si>
  <si>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</si>
  <si>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</si>
  <si>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</si>
  <si>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</si>
  <si>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</si>
  <si>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</si>
  <si>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</si>
  <si>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</si>
  <si>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</si>
  <si>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</si>
  <si>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</si>
  <si>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</si>
  <si>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</si>
  <si>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</si>
  <si>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</si>
  <si>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</si>
  <si>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</si>
  <si>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</si>
  <si>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</si>
  <si>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</si>
  <si>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</si>
  <si>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</si>
  <si>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</si>
  <si>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</si>
  <si>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</si>
  <si>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</si>
  <si>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</si>
  <si>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</si>
  <si>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</si>
  <si>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</si>
  <si>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</si>
  <si>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</si>
  <si>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</si>
  <si>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</si>
  <si>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</si>
  <si>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</si>
  <si>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</si>
  <si>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</si>
  <si>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</si>
  <si>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</si>
  <si>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</si>
  <si>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</si>
  <si>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</si>
  <si>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</si>
  <si>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</si>
  <si>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</si>
  <si>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</si>
  <si>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</si>
  <si>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</si>
  <si>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</si>
  <si>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</si>
  <si>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</si>
  <si>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</si>
  <si>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</si>
  <si>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</si>
  <si>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</si>
  <si>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</si>
  <si>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</si>
  <si>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</si>
  <si>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</si>
  <si>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</si>
  <si>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</si>
  <si>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</si>
  <si>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</si>
  <si>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</si>
  <si>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</si>
  <si>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</si>
  <si>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</si>
  <si>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</si>
  <si>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</si>
  <si>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</si>
  <si>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</si>
  <si>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</si>
  <si>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</si>
  <si>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</si>
  <si>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</si>
  <si>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</si>
  <si>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</si>
  <si>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</si>
  <si>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</si>
  <si>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</si>
  <si>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</si>
  <si>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</si>
  <si>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</si>
  <si>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</si>
  <si>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</si>
  <si>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</si>
  <si>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</si>
  <si>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</si>
  <si>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</si>
  <si>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</si>
  <si>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</si>
  <si>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</si>
  <si>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</si>
  <si>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</si>
  <si>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</si>
  <si>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</si>
  <si>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</si>
  <si>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</si>
  <si>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</si>
  <si>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</si>
  <si>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</si>
  <si>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</si>
  <si>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</si>
  <si>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</si>
  <si>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</si>
  <si>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</si>
  <si>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</si>
  <si>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</si>
  <si>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</si>
  <si>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</si>
  <si>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</si>
  <si>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</si>
  <si>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</si>
  <si>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</si>
  <si>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</si>
  <si>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</si>
  <si>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</si>
  <si>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</si>
  <si>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</si>
  <si>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</si>
  <si>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</si>
  <si>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</si>
  <si>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</si>
  <si>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</si>
  <si>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</si>
  <si>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</si>
  <si>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</si>
  <si>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</si>
  <si>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</si>
  <si>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</si>
  <si>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</si>
  <si>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</si>
  <si>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</si>
  <si>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</si>
  <si>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</si>
  <si>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</si>
  <si>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</si>
  <si>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</si>
  <si>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</si>
  <si>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</si>
  <si>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</si>
  <si>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</si>
  <si>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</si>
  <si>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</si>
  <si>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</si>
  <si>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</si>
  <si>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</si>
  <si>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</si>
  <si>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</si>
  <si>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</si>
  <si>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</si>
  <si>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</si>
  <si>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</si>
  <si>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</si>
  <si>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</si>
  <si>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</si>
  <si>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</si>
  <si>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</si>
  <si>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</si>
  <si>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</si>
  <si>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</si>
  <si>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</si>
  <si>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</si>
  <si>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</si>
  <si>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</si>
  <si>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</si>
  <si>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</si>
  <si>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</si>
  <si>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</si>
  <si>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</si>
  <si>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</si>
  <si>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</si>
  <si>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</si>
  <si>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</si>
  <si>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</si>
  <si>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</si>
  <si>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</si>
  <si>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</si>
  <si>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</si>
  <si>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</si>
  <si>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</si>
  <si>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</si>
  <si>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</si>
  <si>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</si>
  <si>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</si>
  <si>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</si>
  <si>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</si>
  <si>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</si>
  <si>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</si>
  <si>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</si>
  <si>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</si>
  <si>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</si>
  <si>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</si>
  <si>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</si>
  <si>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</si>
  <si>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</si>
  <si>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</si>
  <si>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</si>
  <si>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</si>
  <si>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</si>
  <si>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</si>
  <si>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</si>
  <si>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</si>
  <si>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</si>
  <si>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</si>
  <si>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</si>
  <si>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</si>
  <si>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</si>
  <si>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</si>
  <si>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</si>
  <si>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</si>
  <si>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</si>
  <si>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</si>
  <si>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</si>
  <si>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</si>
  <si>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</si>
  <si>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</si>
  <si>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</si>
  <si>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</si>
  <si>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</si>
  <si>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</si>
  <si>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</si>
  <si>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</si>
  <si>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</si>
  <si>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</si>
  <si>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</si>
  <si>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</si>
  <si>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</si>
  <si>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</si>
  <si>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</si>
  <si>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</si>
  <si>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</si>
  <si>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</si>
  <si>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</si>
  <si>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</si>
  <si>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</si>
  <si>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</si>
  <si>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</si>
  <si>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</si>
  <si>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</si>
  <si>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</si>
  <si>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</si>
  <si>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</si>
  <si>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</si>
  <si>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</si>
  <si>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</si>
  <si>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</si>
  <si>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</si>
  <si>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</si>
  <si>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</si>
  <si>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</si>
  <si>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</si>
  <si>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</si>
  <si>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</si>
  <si>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</si>
  <si>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</si>
  <si>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</si>
  <si>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</si>
  <si>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</si>
  <si>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</si>
  <si>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</si>
  <si>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</si>
  <si>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</si>
  <si>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</si>
  <si>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</si>
  <si>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</si>
  <si>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</si>
  <si>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</si>
  <si>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</si>
  <si>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</si>
  <si>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</si>
  <si>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</si>
  <si>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</si>
  <si>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</si>
  <si>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</si>
  <si>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</si>
  <si>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</si>
  <si>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</si>
  <si>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</si>
  <si>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</si>
  <si>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</si>
  <si>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</si>
  <si>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</si>
  <si>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</si>
  <si>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</si>
  <si>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</si>
  <si>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</si>
  <si>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</si>
  <si>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</si>
  <si>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</si>
  <si>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</si>
  <si>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</si>
  <si>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</si>
  <si>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</si>
  <si>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</si>
  <si>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</si>
  <si>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</si>
  <si>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</si>
  <si>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</si>
  <si>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</si>
  <si>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</si>
  <si>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</si>
  <si>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</si>
  <si>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</si>
  <si>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</si>
  <si>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</si>
  <si>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</si>
  <si>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</si>
  <si>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</si>
  <si>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</si>
  <si>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</si>
  <si>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</si>
  <si>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</si>
  <si>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</si>
  <si>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</si>
  <si>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</si>
  <si>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</si>
  <si>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</si>
  <si>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</si>
  <si>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</si>
  <si>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</si>
  <si>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</si>
  <si>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</si>
  <si>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</si>
  <si>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</si>
  <si>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</si>
  <si>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</si>
  <si>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</si>
  <si>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</si>
  <si>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</si>
  <si>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</si>
  <si>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</si>
  <si>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</si>
  <si>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</si>
  <si>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</si>
  <si>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</si>
  <si>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</si>
  <si>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</si>
  <si>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</si>
  <si>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</si>
  <si>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</si>
  <si>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</si>
  <si>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</si>
  <si>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</si>
  <si>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</si>
  <si>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</si>
  <si>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</si>
  <si>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</si>
  <si>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</si>
  <si>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</si>
  <si>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</si>
  <si>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</si>
  <si>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</si>
  <si>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</si>
  <si>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</si>
  <si>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</si>
  <si>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</si>
  <si>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</si>
  <si>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</si>
  <si>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</si>
  <si>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</si>
  <si>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</si>
  <si>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</si>
  <si>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</si>
  <si>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</si>
  <si>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</si>
  <si>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</si>
  <si>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</si>
  <si>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</si>
  <si>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</si>
  <si>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</si>
  <si>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</si>
  <si>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</si>
  <si>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</si>
  <si>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</si>
  <si>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</si>
  <si>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</si>
  <si>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</si>
  <si>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</si>
  <si>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</si>
  <si>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</si>
  <si>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</si>
  <si>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</si>
  <si>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</si>
  <si>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</si>
  <si>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</si>
  <si>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</si>
  <si>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</si>
  <si>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</si>
  <si>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</si>
  <si>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</si>
  <si>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</si>
  <si>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</si>
  <si>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</si>
  <si>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</si>
  <si>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</si>
  <si>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</si>
  <si>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</si>
  <si>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</si>
  <si>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</si>
  <si>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</si>
  <si>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</si>
  <si>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</si>
  <si>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</si>
  <si>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</si>
  <si>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</si>
  <si>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</si>
  <si>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</si>
  <si>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</si>
  <si>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</si>
  <si>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</si>
  <si>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</si>
  <si>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</si>
  <si>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</si>
  <si>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</si>
  <si>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</si>
  <si>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</si>
  <si>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</si>
  <si>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</si>
  <si>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</si>
  <si>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</si>
  <si>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</si>
  <si>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</si>
  <si>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</si>
  <si>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</si>
  <si>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</si>
  <si>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</si>
  <si>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</si>
  <si>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</si>
  <si>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</si>
  <si>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</si>
  <si>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</si>
  <si>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</si>
  <si>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</si>
  <si>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</si>
  <si>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</si>
  <si>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</si>
  <si>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</si>
  <si>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</si>
  <si>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</si>
  <si>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</si>
  <si>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</si>
  <si>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</si>
  <si>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</si>
  <si>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</si>
  <si>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</si>
  <si>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</si>
  <si>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</si>
  <si>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</si>
  <si>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</si>
  <si>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</si>
  <si>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</si>
  <si>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</si>
  <si>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</si>
  <si>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</si>
  <si>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</si>
  <si>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</si>
  <si>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</si>
  <si>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</si>
  <si>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</si>
  <si>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</si>
  <si>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</si>
  <si>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</si>
  <si>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</si>
  <si>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</si>
  <si>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</si>
  <si>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</si>
  <si>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</si>
  <si>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</si>
  <si>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</si>
  <si>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</si>
  <si>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</si>
  <si>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</si>
  <si>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</si>
  <si>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</si>
  <si>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</si>
  <si>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</si>
  <si>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</si>
  <si>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</si>
  <si>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</si>
  <si>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</si>
  <si>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</si>
  <si>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</si>
  <si>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</si>
  <si>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</si>
  <si>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</si>
  <si>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</si>
  <si>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</si>
  <si>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</si>
  <si>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</si>
  <si>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</si>
  <si>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</si>
  <si>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</si>
  <si>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</si>
  <si>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</si>
  <si>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</si>
  <si>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</si>
  <si>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</si>
  <si>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</si>
  <si>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</si>
  <si>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</si>
  <si>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</si>
  <si>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</si>
  <si>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</si>
  <si>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</si>
  <si>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</si>
  <si>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</si>
  <si>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</si>
  <si>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</si>
  <si>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</si>
  <si>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</si>
  <si>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</si>
  <si>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</si>
  <si>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</si>
  <si>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</si>
  <si>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</si>
  <si>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</si>
  <si>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</si>
  <si>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</si>
  <si>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</si>
  <si>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</si>
  <si>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</si>
  <si>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</si>
  <si>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</si>
  <si>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</si>
  <si>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</si>
  <si>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</si>
  <si>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</si>
  <si>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</si>
  <si>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</si>
  <si>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</si>
  <si>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</si>
  <si>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</si>
  <si>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</si>
  <si>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</si>
  <si>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</si>
  <si>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</si>
  <si>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</si>
  <si>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</si>
  <si>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</si>
  <si>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</si>
  <si>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</si>
  <si>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</si>
  <si>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</si>
  <si>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</si>
  <si>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</si>
  <si>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</si>
  <si>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</si>
  <si>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</si>
  <si>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</si>
  <si>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</si>
  <si>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</si>
  <si>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</si>
  <si>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</si>
  <si>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</si>
  <si>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</si>
  <si>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</si>
  <si>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</si>
  <si>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</si>
  <si>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</si>
  <si>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</si>
  <si>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</si>
  <si>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</si>
  <si>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</si>
  <si>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</si>
  <si>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</si>
  <si>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</si>
  <si>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</si>
  <si>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</si>
  <si>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</si>
  <si>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</si>
  <si>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</si>
  <si>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</si>
  <si>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</si>
  <si>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</si>
  <si>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</si>
  <si>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</si>
  <si>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</si>
  <si>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</si>
  <si>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</si>
  <si>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</si>
  <si>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</si>
  <si>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</si>
  <si>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</si>
  <si>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</si>
  <si>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</si>
  <si>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</si>
  <si>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</si>
  <si>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</si>
  <si>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</si>
  <si>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</si>
  <si>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</si>
  <si>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</si>
  <si>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</si>
  <si>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</si>
  <si>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</si>
  <si>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</si>
  <si>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</si>
  <si>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</si>
  <si>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</si>
  <si>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</si>
  <si>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</si>
  <si>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</si>
  <si>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</si>
  <si>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</si>
  <si>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</si>
  <si>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</si>
  <si>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</si>
  <si>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</si>
  <si>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</si>
  <si>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</si>
  <si>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</si>
  <si>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</si>
  <si>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</si>
  <si>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</si>
  <si>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</si>
  <si>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</si>
  <si>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</si>
  <si>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</si>
  <si>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</si>
  <si>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</si>
  <si>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</si>
  <si>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</si>
  <si>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</si>
  <si>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</si>
  <si>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</si>
  <si>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</si>
  <si>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</si>
  <si>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</si>
  <si>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</si>
  <si>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</si>
  <si>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</si>
  <si>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</si>
  <si>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</si>
  <si>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</si>
  <si>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</si>
  <si>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</si>
  <si>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</si>
  <si>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</si>
  <si>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</si>
  <si>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</si>
  <si>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</si>
  <si>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</si>
  <si>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</si>
  <si>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</si>
  <si>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</si>
  <si>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</si>
  <si>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</si>
  <si>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</si>
  <si>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</si>
  <si>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</si>
  <si>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</si>
  <si>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</si>
  <si>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</si>
  <si>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</si>
  <si>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</si>
  <si>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</si>
  <si>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</si>
  <si>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</si>
  <si>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</si>
  <si>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</si>
  <si>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</si>
  <si>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</si>
  <si>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</si>
  <si>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</si>
  <si>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</si>
  <si>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</si>
  <si>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</si>
  <si>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</si>
  <si>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</si>
  <si>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</si>
  <si>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</si>
  <si>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</si>
  <si>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</si>
  <si>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</si>
  <si>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</si>
  <si>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</si>
  <si>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</si>
  <si>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</si>
  <si>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</si>
  <si>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</si>
  <si>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</si>
  <si>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</si>
  <si>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</si>
  <si>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</si>
  <si>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</si>
  <si>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</si>
  <si>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</si>
  <si>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</si>
  <si>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</si>
  <si>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</si>
  <si>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</si>
  <si>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</si>
  <si>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</si>
  <si>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</si>
  <si>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</si>
  <si>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</si>
  <si>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</si>
  <si>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</si>
  <si>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</si>
  <si>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</si>
  <si>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</si>
  <si>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</si>
  <si>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</si>
  <si>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</si>
  <si>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</si>
  <si>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</si>
  <si>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</si>
  <si>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</si>
  <si>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</si>
  <si>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</si>
  <si>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</si>
  <si>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</si>
  <si>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</si>
  <si>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</si>
  <si>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</si>
  <si>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</si>
  <si>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</si>
  <si>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</si>
  <si>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</si>
  <si>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</si>
  <si>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</si>
  <si>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</si>
  <si>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</si>
  <si>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</si>
  <si>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</si>
  <si>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</si>
  <si>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</si>
  <si>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</si>
  <si>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</si>
  <si>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</si>
  <si>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</si>
  <si>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</si>
  <si>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</si>
  <si>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</si>
  <si>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</si>
  <si>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</si>
  <si>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</si>
  <si>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</si>
  <si>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</si>
  <si>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</si>
  <si>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</si>
  <si>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</si>
  <si>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</si>
  <si>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</si>
  <si>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</si>
  <si>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</si>
  <si>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</si>
  <si>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</si>
  <si>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</si>
  <si>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</si>
  <si>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</si>
  <si>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</si>
  <si>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</si>
  <si>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</si>
  <si>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</si>
  <si>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</si>
  <si>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</si>
  <si>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</si>
  <si>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</si>
  <si>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</si>
  <si>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</si>
  <si>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</si>
  <si>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</si>
  <si>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</si>
  <si>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</si>
  <si>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</si>
  <si>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</si>
  <si>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</si>
  <si>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</si>
  <si>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</si>
  <si>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</si>
  <si>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</si>
  <si>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</si>
  <si>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</si>
  <si>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</si>
  <si>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</si>
  <si>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</si>
  <si>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</si>
  <si>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</si>
  <si>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</si>
  <si>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</si>
  <si>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</si>
  <si>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</si>
  <si>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</si>
  <si>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</si>
  <si>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</si>
  <si>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</si>
  <si>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</si>
  <si>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</si>
  <si>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</si>
  <si>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</si>
  <si>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</si>
  <si>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</si>
  <si>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</si>
  <si>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</si>
  <si>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</si>
  <si>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</si>
  <si>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</si>
  <si>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</si>
  <si>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</si>
  <si>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</si>
  <si>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</si>
  <si>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</si>
  <si>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</si>
  <si>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</si>
  <si>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</si>
  <si>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</si>
  <si>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</si>
  <si>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</si>
  <si>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</si>
  <si>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</si>
  <si>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</si>
  <si>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</si>
  <si>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</si>
  <si>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</si>
  <si>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</si>
  <si>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</si>
  <si>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</si>
  <si>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</si>
  <si>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</si>
  <si>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</si>
  <si>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</si>
  <si>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</si>
  <si>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</si>
  <si>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</si>
  <si>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</si>
  <si>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</si>
  <si>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</si>
  <si>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</si>
  <si>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</si>
  <si>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</si>
  <si>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</si>
  <si>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</si>
  <si>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</si>
  <si>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</si>
  <si>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</si>
  <si>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</si>
  <si>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</si>
  <si>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</si>
  <si>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</si>
  <si>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</si>
  <si>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</si>
  <si>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</si>
  <si>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</si>
  <si>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</si>
  <si>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</si>
  <si>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</si>
  <si>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</si>
  <si>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</si>
  <si>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</si>
  <si>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</si>
  <si>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</si>
  <si>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</si>
  <si>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</si>
  <si>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</si>
  <si>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</si>
  <si>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</si>
  <si>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</si>
  <si>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</si>
  <si>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</si>
  <si>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</si>
  <si>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</si>
  <si>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</si>
  <si>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</si>
  <si>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</si>
  <si>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</si>
  <si>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</si>
  <si>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</si>
  <si>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</si>
  <si>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</si>
  <si>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</si>
  <si>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</si>
  <si>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</si>
  <si>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</si>
  <si>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</si>
  <si>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</si>
  <si>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</si>
  <si>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</si>
  <si>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</si>
  <si>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</si>
  <si>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</si>
  <si>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</si>
  <si>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</si>
  <si>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</si>
  <si>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</si>
  <si>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</si>
  <si>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</si>
  <si>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</si>
  <si>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</si>
  <si>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</si>
  <si>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</si>
  <si>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</si>
  <si>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</si>
  <si>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</si>
  <si>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</si>
  <si>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</si>
  <si>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</si>
  <si>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</si>
  <si>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</si>
  <si>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</si>
  <si>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</si>
  <si>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</si>
  <si>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</si>
  <si>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</si>
  <si>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</si>
  <si>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</si>
  <si>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</si>
  <si>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</si>
  <si>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</si>
  <si>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</si>
  <si>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</si>
  <si>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</si>
  <si>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</si>
  <si>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</si>
  <si>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</si>
  <si>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</si>
  <si>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</si>
  <si>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</si>
  <si>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</si>
  <si>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</si>
  <si>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</si>
  <si>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</si>
  <si>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</si>
  <si>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</si>
  <si>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</si>
  <si>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</si>
  <si>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</si>
  <si>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</si>
  <si>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</si>
  <si>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</si>
  <si>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</si>
  <si>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</si>
  <si>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</si>
  <si>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</si>
  <si>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</si>
  <si>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</si>
  <si>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</si>
  <si>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</si>
  <si>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</si>
  <si>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</si>
  <si>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</si>
  <si>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</si>
  <si>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</si>
  <si>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</si>
  <si>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</si>
  <si>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</si>
  <si>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</si>
  <si>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</si>
  <si>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</si>
  <si>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</si>
  <si>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</si>
  <si>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</si>
  <si>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</si>
  <si>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</si>
  <si>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</si>
  <si>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</si>
  <si>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</si>
  <si>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</si>
  <si>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</si>
  <si>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</si>
  <si>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</si>
  <si>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</si>
  <si>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</si>
  <si>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</si>
  <si>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</si>
  <si>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</si>
  <si>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</si>
  <si>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</si>
  <si>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</si>
  <si>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</si>
  <si>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</si>
  <si>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</si>
  <si>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</si>
  <si>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</si>
  <si>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</si>
  <si>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</si>
  <si>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</si>
  <si>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</si>
  <si>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</si>
  <si>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</si>
  <si>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</si>
  <si>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</si>
  <si>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</si>
  <si>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</si>
  <si>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</si>
  <si>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</si>
  <si>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</si>
  <si>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</si>
  <si>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</si>
  <si>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</si>
  <si>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</si>
  <si>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</si>
  <si>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</si>
  <si>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</si>
  <si>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</si>
  <si>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</si>
  <si>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</si>
  <si>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</si>
  <si>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</si>
  <si>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</si>
  <si>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</si>
  <si>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</si>
  <si>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</si>
  <si>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</si>
  <si>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</si>
  <si>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</si>
  <si>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</si>
  <si>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</si>
  <si>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</si>
  <si>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</si>
  <si>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</si>
  <si>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</si>
  <si>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</si>
  <si>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</si>
  <si>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</si>
  <si>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</si>
  <si>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</si>
  <si>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</si>
  <si>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</si>
  <si>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</si>
  <si>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</si>
  <si>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</si>
  <si>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</si>
  <si>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</si>
  <si>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</si>
  <si>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</si>
  <si>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</si>
  <si>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</si>
  <si>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</si>
  <si>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</si>
  <si>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</si>
  <si>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</si>
  <si>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</si>
  <si>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</si>
  <si>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</si>
  <si>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</si>
  <si>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</si>
  <si>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</si>
  <si>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</si>
  <si>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</si>
  <si>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</si>
  <si>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</si>
  <si>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</si>
  <si>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</si>
  <si>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</si>
  <si>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</si>
  <si>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</si>
  <si>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</si>
  <si>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</si>
  <si>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</si>
  <si>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</si>
  <si>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</si>
  <si>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</si>
  <si>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</si>
  <si>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</si>
  <si>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</si>
  <si>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</si>
  <si>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</si>
  <si>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</si>
  <si>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</si>
  <si>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</si>
  <si>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</si>
  <si>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</si>
  <si>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</si>
  <si>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</si>
  <si>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</si>
  <si>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</si>
  <si>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</si>
  <si>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</si>
  <si>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</si>
  <si>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</si>
  <si>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</si>
  <si>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</si>
  <si>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</si>
  <si>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</si>
  <si>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</si>
  <si>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</si>
  <si>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</si>
  <si>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</si>
  <si>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</si>
  <si>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</si>
  <si>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</si>
  <si>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</si>
  <si>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</si>
  <si>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</si>
  <si>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</si>
  <si>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</si>
  <si>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</si>
  <si>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</si>
  <si>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</si>
  <si>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</si>
  <si>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</si>
  <si>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</si>
  <si>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</si>
  <si>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</si>
  <si>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</si>
  <si>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</si>
  <si>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</si>
  <si>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</si>
  <si>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</si>
  <si>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</si>
  <si>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</si>
  <si>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</si>
  <si>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</si>
  <si>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</si>
  <si>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</si>
  <si>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</si>
  <si>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</si>
  <si>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</si>
  <si>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</si>
  <si>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</si>
  <si>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</si>
  <si>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</si>
  <si>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</si>
  <si>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</si>
  <si>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</si>
  <si>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</si>
  <si>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</si>
  <si>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</si>
  <si>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</si>
  <si>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</si>
  <si>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</si>
  <si>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</si>
  <si>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</si>
  <si>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</si>
  <si>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</si>
  <si>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</si>
  <si>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</si>
  <si>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</si>
  <si>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</si>
  <si>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</si>
  <si>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</si>
  <si>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</si>
  <si>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</si>
  <si>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</si>
  <si>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</si>
  <si>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</si>
  <si>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</si>
  <si>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</si>
  <si>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</si>
  <si>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</si>
  <si>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</si>
  <si>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</si>
  <si>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</si>
  <si>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</si>
  <si>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</si>
  <si>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</si>
  <si>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</si>
  <si>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</si>
  <si>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</si>
  <si>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</si>
  <si>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</si>
  <si>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</si>
  <si>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</si>
  <si>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</si>
  <si>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</si>
  <si>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</si>
  <si>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</si>
  <si>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</si>
  <si>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</si>
  <si>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</si>
  <si>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</si>
  <si>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</si>
  <si>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</si>
  <si>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</si>
  <si>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</si>
  <si>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</si>
  <si>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</si>
  <si>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</si>
  <si>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</si>
  <si>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</si>
  <si>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</si>
  <si>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</si>
  <si>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</si>
  <si>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</si>
  <si>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</si>
  <si>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</si>
  <si>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</si>
  <si>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</si>
  <si>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</si>
  <si>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</si>
  <si>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</si>
  <si>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</si>
  <si>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</si>
  <si>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</si>
  <si>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</si>
  <si>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</si>
  <si>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</si>
  <si>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</si>
  <si>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</si>
  <si>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</si>
  <si>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</si>
  <si>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</si>
  <si>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</si>
  <si>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</si>
  <si>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</si>
  <si>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</si>
  <si>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</si>
  <si>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</si>
  <si>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</si>
  <si>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</si>
  <si>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</si>
  <si>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</si>
  <si>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</si>
  <si>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</si>
  <si>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</si>
  <si>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</si>
  <si>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</si>
  <si>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</si>
  <si>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</si>
  <si>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</si>
  <si>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</si>
  <si>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</si>
  <si>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</si>
  <si>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</si>
  <si>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</si>
  <si>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</si>
  <si>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</si>
  <si>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</si>
  <si>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</si>
  <si>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</si>
  <si>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</si>
  <si>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</si>
  <si>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</si>
  <si>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</si>
  <si>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</si>
  <si>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</si>
  <si>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</si>
  <si>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</si>
  <si>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</si>
  <si>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</si>
  <si>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</si>
  <si>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</si>
  <si>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</si>
  <si>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</si>
  <si>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</si>
  <si>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</si>
  <si>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</si>
  <si>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</si>
  <si>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</si>
  <si>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</si>
  <si>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</si>
  <si>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</si>
  <si>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</si>
  <si>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</si>
  <si>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</si>
  <si>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</si>
  <si>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</si>
  <si>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</si>
  <si>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</si>
  <si>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</si>
  <si>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</si>
  <si>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</si>
  <si>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</si>
  <si>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</si>
  <si>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</si>
  <si>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</si>
  <si>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</si>
  <si>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</si>
  <si>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</si>
  <si>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</si>
  <si>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</si>
  <si>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</si>
  <si>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</si>
  <si>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</si>
  <si>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</si>
  <si>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</si>
  <si>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</si>
  <si>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</si>
  <si>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</si>
  <si>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</si>
  <si>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</si>
  <si>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</si>
  <si>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</si>
  <si>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</si>
  <si>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</si>
  <si>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</si>
  <si>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</si>
  <si>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</si>
  <si>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</si>
  <si>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</si>
  <si>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</si>
  <si>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</si>
  <si>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</si>
  <si>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</si>
  <si>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</si>
  <si>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</si>
  <si>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</si>
  <si>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</si>
  <si>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</si>
  <si>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</si>
  <si>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</si>
  <si>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</si>
  <si>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</si>
  <si>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</si>
  <si>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</si>
  <si>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</si>
  <si>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</si>
  <si>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</si>
  <si>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</si>
  <si>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</si>
  <si>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</si>
  <si>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</si>
  <si>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</si>
  <si>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</si>
  <si>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</si>
  <si>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</si>
  <si>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</si>
  <si>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</si>
  <si>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</si>
  <si>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</si>
  <si>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</si>
  <si>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</si>
  <si>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</si>
  <si>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</si>
  <si>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</si>
  <si>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</si>
  <si>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</si>
  <si>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</si>
  <si>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</si>
  <si>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</si>
  <si>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</si>
  <si>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</si>
  <si>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</si>
  <si>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</si>
  <si>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</si>
  <si>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</si>
  <si>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</si>
  <si>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</si>
  <si>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</si>
  <si>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</si>
  <si>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</si>
  <si>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</si>
  <si>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</si>
  <si>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</si>
  <si>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</si>
  <si>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</si>
  <si>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</si>
  <si>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</si>
  <si>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</si>
  <si>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</si>
  <si>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</si>
  <si>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</si>
  <si>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</si>
  <si>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</si>
  <si>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</si>
  <si>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</si>
  <si>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</si>
  <si>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</si>
  <si>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</si>
  <si>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</si>
  <si>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</si>
  <si>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</si>
  <si>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</si>
  <si>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</si>
  <si>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</si>
  <si>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</si>
  <si>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</si>
  <si>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</si>
  <si>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</si>
  <si>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</si>
  <si>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</si>
  <si>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</si>
  <si>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</si>
  <si>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</si>
  <si>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</si>
  <si>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</si>
  <si>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</si>
  <si>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</si>
  <si>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</si>
  <si>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</si>
  <si>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</si>
  <si>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</si>
  <si>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</si>
  <si>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</si>
  <si>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</si>
  <si>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</si>
  <si>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</si>
  <si>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</si>
  <si>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</si>
  <si>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</si>
  <si>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</si>
  <si>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</si>
  <si>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</si>
  <si>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</si>
  <si>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</si>
  <si>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</si>
  <si>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</si>
  <si>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</si>
  <si>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</si>
  <si>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</si>
  <si>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</si>
  <si>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</si>
  <si>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</si>
  <si>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</si>
  <si>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</si>
  <si>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</si>
  <si>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</si>
  <si>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</si>
  <si>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</si>
  <si>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</si>
  <si>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</si>
  <si>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</si>
  <si>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</si>
  <si>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</si>
  <si>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</si>
  <si>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</si>
  <si>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</si>
  <si>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</si>
  <si>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</si>
  <si>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</si>
  <si>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</si>
  <si>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</si>
  <si>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</si>
  <si>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</si>
  <si>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</si>
  <si>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</si>
  <si>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</si>
  <si>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</si>
  <si>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</si>
  <si>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</si>
  <si>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</si>
  <si>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</si>
  <si>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</si>
  <si>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</si>
  <si>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</si>
  <si>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</si>
  <si>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</si>
  <si>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</si>
  <si>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</si>
  <si>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</si>
  <si>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</si>
  <si>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</si>
  <si>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</si>
  <si>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</si>
  <si>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</si>
  <si>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</si>
  <si>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</si>
  <si>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</si>
  <si>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</si>
  <si>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</si>
  <si>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</si>
  <si>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</si>
  <si>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</si>
  <si>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</si>
  <si>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</si>
  <si>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</si>
  <si>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</si>
  <si>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</si>
  <si>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</si>
  <si>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</si>
  <si>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</si>
  <si>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</si>
  <si>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</si>
  <si>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</si>
  <si>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</si>
  <si>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</si>
  <si>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</si>
  <si>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</si>
  <si>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</si>
  <si>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</si>
  <si>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</si>
  <si>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</si>
  <si>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</si>
  <si>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</si>
  <si>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</si>
  <si>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</si>
  <si>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</si>
  <si>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</si>
  <si>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</si>
  <si>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</si>
  <si>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</si>
  <si>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</si>
  <si>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</si>
  <si>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</si>
  <si>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</si>
  <si>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</si>
  <si>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</si>
  <si>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</si>
  <si>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</si>
  <si>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</si>
  <si>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</si>
  <si>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</si>
  <si>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</si>
  <si>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</si>
  <si>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</si>
  <si>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</si>
  <si>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</si>
  <si>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</si>
  <si>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</si>
  <si>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</si>
  <si>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</si>
  <si>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</si>
  <si>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</si>
  <si>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</si>
  <si>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</si>
  <si>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</si>
  <si>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</si>
  <si>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</si>
  <si>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</si>
  <si>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</si>
  <si>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</si>
  <si>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</si>
  <si>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</si>
  <si>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</si>
  <si>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</si>
  <si>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</si>
  <si>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</si>
  <si>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</si>
  <si>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</si>
  <si>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</si>
  <si>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</si>
  <si>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</si>
  <si>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</si>
  <si>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</si>
  <si>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</si>
  <si>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</si>
  <si>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</si>
  <si>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</si>
  <si>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</si>
  <si>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</si>
  <si>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</si>
  <si>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</si>
  <si>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</si>
  <si>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</si>
  <si>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</si>
  <si>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</si>
  <si>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</si>
  <si>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</si>
  <si>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</si>
  <si>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</si>
  <si>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</si>
  <si>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</si>
  <si>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</si>
  <si>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</si>
  <si>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</si>
  <si>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</si>
  <si>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</si>
  <si>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</si>
  <si>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</si>
  <si>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</si>
  <si>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</si>
  <si>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</si>
  <si>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</si>
  <si>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</si>
  <si>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</si>
  <si>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</si>
  <si>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</si>
  <si>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</si>
  <si>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</si>
  <si>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</si>
  <si>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</si>
  <si>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</si>
  <si>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</si>
  <si>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</si>
  <si>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</si>
  <si>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</si>
  <si>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</si>
  <si>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</si>
  <si>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</si>
  <si>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</si>
  <si>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</si>
  <si>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</si>
  <si>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</si>
  <si>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</si>
  <si>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</si>
  <si>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</si>
  <si>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</si>
  <si>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</si>
  <si>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</si>
  <si>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</si>
  <si>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</si>
  <si>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</si>
  <si>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</si>
  <si>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</si>
  <si>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</si>
  <si>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</si>
  <si>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</si>
  <si>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</si>
  <si>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</si>
  <si>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</si>
  <si>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</si>
  <si>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</si>
  <si>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</si>
  <si>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</si>
  <si>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</si>
  <si>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</si>
  <si>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</si>
  <si>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</si>
  <si>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</si>
  <si>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</si>
  <si>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</si>
  <si>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</si>
  <si>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</si>
  <si>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</si>
  <si>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</si>
  <si>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</si>
  <si>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</si>
  <si>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</si>
  <si>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</si>
  <si>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</si>
  <si>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</si>
  <si>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</si>
  <si>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</si>
  <si>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</si>
  <si>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</si>
  <si>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</si>
  <si>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</si>
  <si>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</si>
  <si>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</si>
  <si>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</si>
  <si>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</si>
  <si>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</si>
  <si>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</si>
  <si>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</si>
  <si>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</si>
  <si>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</si>
  <si>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</si>
  <si>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</si>
  <si>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</si>
  <si>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</si>
  <si>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</si>
  <si>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</si>
  <si>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</si>
  <si>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</si>
  <si>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</si>
  <si>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</si>
  <si>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</si>
  <si>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</si>
  <si>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</si>
  <si>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</si>
  <si>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</si>
  <si>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</si>
  <si>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</si>
  <si>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</si>
  <si>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</si>
  <si>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</si>
  <si>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</si>
  <si>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</si>
  <si>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</si>
  <si>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</si>
  <si>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</si>
  <si>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</si>
  <si>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</si>
  <si>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</si>
  <si>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</si>
  <si>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</si>
  <si>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</si>
  <si>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</si>
  <si>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</si>
  <si>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</si>
  <si>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</si>
  <si>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</si>
  <si>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</si>
  <si>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</si>
  <si>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</si>
  <si>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</si>
  <si>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</si>
  <si>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</si>
  <si>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</si>
  <si>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</si>
  <si>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</si>
  <si>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</si>
  <si>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</si>
  <si>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</si>
  <si>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</si>
  <si>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</si>
  <si>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</si>
  <si>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</si>
  <si>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</si>
  <si>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</si>
  <si>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</si>
  <si>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</si>
  <si>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</si>
  <si>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</si>
  <si>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</si>
  <si>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</si>
  <si>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</si>
  <si>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</si>
  <si>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</si>
  <si>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</si>
  <si>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</si>
  <si>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</si>
  <si>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</si>
  <si>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</si>
  <si>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</si>
  <si>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</si>
  <si>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</si>
  <si>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</si>
  <si>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</si>
  <si>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</si>
  <si>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</si>
  <si>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</si>
  <si>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</si>
  <si>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</si>
  <si>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</si>
  <si>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</si>
  <si>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</si>
  <si>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</si>
  <si>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</si>
  <si>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</si>
  <si>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</si>
  <si>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</si>
  <si>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</si>
  <si>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</si>
  <si>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</si>
  <si>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</si>
  <si>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</si>
  <si>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</si>
  <si>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</si>
  <si>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</si>
  <si>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</si>
  <si>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</si>
  <si>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</si>
  <si>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</si>
  <si>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</si>
  <si>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</si>
  <si>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</si>
  <si>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</si>
  <si>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</si>
  <si>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</si>
  <si>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</si>
  <si>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</si>
  <si>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</si>
  <si>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</si>
  <si>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</si>
  <si>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</si>
  <si>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</si>
  <si>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</si>
  <si>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</si>
  <si>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</si>
  <si>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</si>
  <si>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</si>
  <si>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</si>
  <si>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</si>
  <si>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</si>
  <si>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</si>
  <si>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</si>
  <si>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</si>
  <si>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</si>
  <si>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</si>
  <si>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</si>
  <si>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</si>
  <si>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</si>
  <si>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</si>
  <si>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</si>
  <si>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</si>
  <si>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</si>
  <si>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</si>
  <si>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</si>
  <si>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</si>
  <si>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</si>
  <si>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</si>
  <si>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</si>
  <si>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</si>
  <si>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</si>
  <si>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</si>
  <si>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</si>
  <si>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</si>
  <si>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</si>
  <si>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</si>
  <si>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</si>
  <si>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</si>
  <si>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</si>
  <si>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</si>
  <si>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</si>
  <si>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</si>
  <si>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</si>
  <si>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</si>
  <si>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</si>
  <si>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</si>
  <si>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</si>
  <si>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</si>
  <si>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</si>
  <si>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</si>
  <si>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</si>
  <si>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</si>
  <si>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</si>
  <si>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</si>
  <si>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</si>
  <si>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</si>
  <si>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</si>
  <si>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</si>
  <si>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</si>
  <si>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</si>
  <si>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</si>
  <si>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</si>
  <si>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</si>
  <si>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</si>
  <si>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</si>
  <si>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</si>
  <si>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</si>
  <si>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</si>
  <si>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</si>
  <si>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</si>
  <si>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</si>
  <si>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</si>
  <si>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</si>
  <si>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</si>
  <si>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</si>
  <si>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</si>
  <si>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</si>
  <si>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</si>
  <si>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</si>
  <si>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</si>
  <si>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</si>
  <si>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</si>
  <si>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</si>
  <si>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</si>
  <si>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</si>
  <si>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</si>
  <si>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</si>
  <si>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</si>
  <si>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</si>
  <si>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</si>
  <si>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</si>
  <si>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</si>
  <si>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</si>
  <si>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</si>
  <si>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</si>
  <si>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</si>
  <si>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</si>
  <si>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</si>
  <si>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</si>
  <si>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</si>
  <si>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</si>
  <si>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</si>
  <si>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</si>
  <si>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</si>
  <si>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</si>
  <si>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</si>
  <si>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</si>
  <si>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</si>
  <si>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</si>
  <si>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</si>
  <si>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</si>
  <si>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</si>
  <si>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</si>
  <si>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</si>
  <si>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</si>
  <si>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</si>
  <si>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</si>
  <si>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</si>
  <si>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</si>
  <si>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</si>
  <si>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</si>
  <si>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</si>
  <si>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</si>
  <si>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</si>
  <si>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</si>
  <si>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</si>
  <si>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</si>
  <si>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</si>
  <si>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</si>
  <si>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</si>
  <si>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</si>
  <si>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</si>
  <si>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</si>
  <si>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</si>
  <si>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</si>
  <si>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</si>
  <si>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</si>
  <si>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</si>
  <si>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</si>
  <si>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</si>
  <si>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</si>
  <si>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</si>
  <si>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</si>
  <si>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</si>
  <si>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</si>
  <si>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</si>
  <si>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</si>
  <si>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</si>
  <si>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</si>
  <si>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</si>
  <si>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</si>
  <si>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</si>
  <si>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</si>
  <si>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</si>
  <si>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</si>
  <si>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</si>
  <si>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</si>
  <si>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</si>
  <si>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</si>
  <si>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</si>
  <si>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</si>
  <si>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</si>
  <si>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</si>
  <si>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</si>
  <si>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</si>
  <si>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</si>
  <si>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</si>
  <si>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</si>
  <si>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</si>
  <si>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</si>
  <si>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</si>
  <si>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</si>
  <si>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</si>
  <si>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</si>
  <si>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</si>
  <si>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</si>
  <si>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</si>
  <si>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</si>
  <si>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</si>
  <si>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</si>
  <si>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</si>
  <si>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</si>
  <si>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</si>
  <si>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</si>
  <si>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</si>
  <si>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</si>
  <si>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</si>
  <si>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</si>
  <si>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</si>
  <si>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</si>
  <si>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</si>
  <si>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</si>
  <si>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</si>
  <si>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</si>
  <si>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</si>
  <si>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</si>
  <si>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</si>
  <si>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</si>
  <si>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</si>
  <si>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</si>
  <si>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</si>
  <si>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</si>
  <si>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</si>
  <si>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</si>
  <si>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</si>
  <si>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</si>
  <si>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</si>
  <si>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</si>
  <si>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</si>
  <si>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</si>
  <si>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</si>
  <si>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</si>
  <si>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</si>
  <si>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</si>
  <si>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</si>
  <si>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</si>
  <si>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</si>
  <si>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</si>
  <si>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</si>
  <si>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</si>
  <si>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A</t>
    <phoneticPr fontId="140" type="noConversion"/>
  </si>
  <si>
    <t>C</t>
    <phoneticPr fontId="140" type="noConversion"/>
  </si>
  <si>
    <t>B</t>
    <phoneticPr fontId="140" type="noConversion"/>
  </si>
  <si>
    <t>房地产抵押价值</t>
  </si>
  <si>
    <t>抵押</t>
  </si>
  <si>
    <t>其他：</t>
  </si>
  <si>
    <t>企业</t>
  </si>
  <si>
    <t>出让</t>
  </si>
  <si>
    <t>地上</t>
  </si>
  <si>
    <t>地块名称</t>
  </si>
  <si>
    <t>城市</t>
  </si>
  <si>
    <t>用地性质</t>
  </si>
  <si>
    <t>建设用地面积(㎡)</t>
  </si>
  <si>
    <t>规划建筑面积(㎡)</t>
  </si>
  <si>
    <t>容积率</t>
  </si>
  <si>
    <t>出让方式</t>
  </si>
  <si>
    <t>详细规划</t>
  </si>
  <si>
    <t>集中供地</t>
  </si>
  <si>
    <t>成交日期</t>
  </si>
  <si>
    <t>受让单位</t>
  </si>
  <si>
    <t>起始价(万元)</t>
  </si>
  <si>
    <t>成交价(万元)</t>
  </si>
  <si>
    <t>成交楼面价(元/㎡)</t>
  </si>
  <si>
    <t>溢价率</t>
  </si>
  <si>
    <t>土地星级</t>
  </si>
  <si>
    <t>张店区和平路以南、淄博张店区马尚供销社有限公司以西、山东汇美置业有限公司以北、已批国有土地以东</t>
  </si>
  <si>
    <t>淄博市</t>
  </si>
  <si>
    <t>商业/办公用地</t>
  </si>
  <si>
    <t>大于或等于1.2并且小于或等于3.5</t>
  </si>
  <si>
    <t>挂牌</t>
  </si>
  <si>
    <t>零售商业用地</t>
  </si>
  <si>
    <t>2020-12-24</t>
  </si>
  <si>
    <t>淄博旭泰鑫置业有限公司</t>
  </si>
  <si>
    <t>4星</t>
  </si>
  <si>
    <t>张店区山东宏程建设有限公司以东、淄博侨商房地产开发有限公司以西、金街以南、国网山东省电力公司淄博供电公司以北</t>
  </si>
  <si>
    <t>大于或等于1.2并且小于或等于3</t>
  </si>
  <si>
    <t>餐饮用地</t>
  </si>
  <si>
    <t>2020-12-21</t>
  </si>
  <si>
    <t>淄博市公共资源投资管理服务有限公司</t>
  </si>
  <si>
    <t>5星</t>
  </si>
  <si>
    <t>张店区心环东路以东、国网山东省电力公司淄博供电公司以西、齐盛路以南、淄博市中级人民法院以北</t>
  </si>
  <si>
    <t>张店区积贤路以南,盛湖路以北,香港路以东,上海路以西</t>
  </si>
  <si>
    <t>2020-12-18</t>
  </si>
  <si>
    <t>淄博星晖置业有限公司</t>
  </si>
  <si>
    <t>大于或等于1.2并且小于或等于2.5</t>
  </si>
  <si>
    <t>2020-12-14</t>
  </si>
  <si>
    <t>山东民泰实业集团淄博房地产开发有限公司、王廷金</t>
  </si>
  <si>
    <t>淄博市保障房投资建设有限公司以东、张店区天津路以西、汇英路以南、华光路以北</t>
  </si>
  <si>
    <t>商务金融用地</t>
  </si>
  <si>
    <t>淄博市基础设施和保障房投资建设有限公司</t>
  </si>
  <si>
    <t>张店区心环西路以东、心环东路以西、齐盛路以南、联通路以北</t>
  </si>
  <si>
    <t>大于或等于1.2并且小于或等于2.4</t>
  </si>
  <si>
    <t>2020-11-11</t>
  </si>
  <si>
    <t>淄博新区人民路以北、钱裕路以东</t>
  </si>
  <si>
    <t>小于或等于2.375</t>
  </si>
  <si>
    <t>其他商服用地</t>
  </si>
  <si>
    <t>2020-07-03</t>
  </si>
  <si>
    <t>山东汇美置业有限公司</t>
  </si>
  <si>
    <t>小于或等于1.676</t>
  </si>
  <si>
    <t>环湖东路以东、萌山纵一路以西</t>
  </si>
  <si>
    <t>≥1.2且≤1.3</t>
  </si>
  <si>
    <t>餐饮用地、公园与绿地</t>
  </si>
  <si>
    <t>2020-01-20</t>
  </si>
  <si>
    <t>山东永瑞置业有限公司</t>
  </si>
  <si>
    <t>张店区盛湖路以北、鲁泰大道以南、香港路以西、天津路以东</t>
  </si>
  <si>
    <t>大于或等于1.2并且小于或等于3.13</t>
  </si>
  <si>
    <t>2019-12-27</t>
  </si>
  <si>
    <t>山东宏程建设有限公司、淄博宏程商业运营管理有限公司</t>
  </si>
  <si>
    <t>3星</t>
  </si>
  <si>
    <t>盛湖路以北,鲁泰大道以南,香港路以西,天津路以东</t>
  </si>
  <si>
    <t>大于或等于1.2并且小于或等于3.72</t>
  </si>
  <si>
    <t>大于或等于1.2并且小于或等于1.5</t>
  </si>
  <si>
    <t>2019-09-02</t>
  </si>
  <si>
    <t>山东世茂鲁坤置业有限公司</t>
  </si>
  <si>
    <t>张店区北京路以西,南北向规划道路以东,东西向规划道路以北、以南</t>
  </si>
  <si>
    <t>大于或等于1.2并且小于或等于7</t>
  </si>
  <si>
    <t>张店区香港路以东、淄博市基础设施和保障房投资建设有限公司以西、规划汇英路以南、华光路以北</t>
  </si>
  <si>
    <t>大于或等于1.2并且小于或等于2.7</t>
  </si>
  <si>
    <t>2019-06-27</t>
  </si>
  <si>
    <t>张店区天津路以东、香港路以西、已批国有建设用地以南、规划汇英路以北</t>
  </si>
  <si>
    <t>大于或等于1.2并且小于或等于2</t>
  </si>
  <si>
    <t>张店区天津路以东、香港路以西、规划汇英路以南、华光路以北</t>
  </si>
  <si>
    <t>≥1.2,≤2.5</t>
  </si>
  <si>
    <t>张店区香港路以东、上海路以西、华光路以南、汇文路以北</t>
  </si>
  <si>
    <t>大于或等于1.2并且小于或等于4</t>
  </si>
  <si>
    <t>山东国际旅行社有限公司、牛彦钧*(淄博假日置业发展有限公司)</t>
  </si>
  <si>
    <t>张店区重庆路以东、淄博市张店区房镇镇天乙村村民委员会用地以西、山东电力集团公司淄博供电公司以南、公园路以北</t>
  </si>
  <si>
    <t>批发零售、住宿餐饮</t>
  </si>
  <si>
    <t>2019-02-25</t>
  </si>
  <si>
    <t>淄博通济房地产开发有限责任公司</t>
  </si>
  <si>
    <t>地面价</t>
    <phoneticPr fontId="140" type="noConversion"/>
  </si>
  <si>
    <t>正常</t>
    <phoneticPr fontId="31" type="noConversion"/>
  </si>
  <si>
    <t>单位面积地价</t>
  </si>
  <si>
    <t>是</t>
  </si>
  <si>
    <t>A</t>
    <phoneticPr fontId="7" type="noConversion"/>
  </si>
  <si>
    <t>建筑面积</t>
    <phoneticPr fontId="140" type="noConversion"/>
  </si>
  <si>
    <t>土地面积</t>
    <phoneticPr fontId="140" type="noConversion"/>
  </si>
  <si>
    <t>分摊土地面积</t>
    <phoneticPr fontId="140" type="noConversion"/>
  </si>
  <si>
    <t>容积率</t>
    <phoneticPr fontId="140" type="noConversion"/>
  </si>
  <si>
    <t>小计</t>
    <phoneticPr fontId="140" type="noConversion"/>
  </si>
  <si>
    <t>利息：取LPR加浮动点数</t>
  </si>
  <si>
    <t>成新度</t>
  </si>
  <si>
    <t>收益法</t>
  </si>
  <si>
    <t>押一</t>
  </si>
  <si>
    <t>按租金收入计税</t>
  </si>
  <si>
    <t>非生产用房</t>
  </si>
  <si>
    <t>钢混</t>
  </si>
  <si>
    <t>未包含在土地购买价格中</t>
  </si>
  <si>
    <t>部分缴纳</t>
  </si>
  <si>
    <t>已包含在土地取得成本中</t>
  </si>
  <si>
    <t>A</t>
    <phoneticPr fontId="3" type="noConversion"/>
  </si>
  <si>
    <t>B</t>
    <phoneticPr fontId="3" type="noConversion"/>
  </si>
  <si>
    <t>B</t>
    <phoneticPr fontId="7" type="noConversion"/>
  </si>
  <si>
    <t>成本法</t>
    <phoneticPr fontId="140" type="noConversion"/>
  </si>
  <si>
    <t>A</t>
    <phoneticPr fontId="140" type="noConversion"/>
  </si>
  <si>
    <t>B</t>
    <phoneticPr fontId="140" type="noConversion"/>
  </si>
  <si>
    <r>
      <t>C</t>
    </r>
    <r>
      <rPr>
        <sz val="11"/>
        <color theme="1"/>
        <rFont val="宋体"/>
        <family val="3"/>
        <charset val="134"/>
        <scheme val="minor"/>
      </rPr>
      <t>1</t>
    </r>
    <phoneticPr fontId="140" type="noConversion"/>
  </si>
  <si>
    <t>C2</t>
    <phoneticPr fontId="140" type="noConversion"/>
  </si>
  <si>
    <t>成本法单价</t>
    <phoneticPr fontId="140" type="noConversion"/>
  </si>
  <si>
    <t>文化中心ABC组团及配套项目资金支付情况统计表  单位：万元</t>
  </si>
  <si>
    <t>序号</t>
  </si>
  <si>
    <t>支付单位名称</t>
  </si>
  <si>
    <t>资金用途</t>
  </si>
  <si>
    <t>项目投资情况</t>
  </si>
  <si>
    <t>资金支付情况</t>
  </si>
  <si>
    <t>预算投资</t>
  </si>
  <si>
    <t>实际完成投资</t>
  </si>
  <si>
    <t>应支付</t>
  </si>
  <si>
    <t>约定
比例</t>
  </si>
  <si>
    <t>实际支付</t>
  </si>
  <si>
    <t>文化中心A组团（演艺中心）小计</t>
  </si>
  <si>
    <t>文化中心B组团（艺术品交易中心）小计</t>
  </si>
  <si>
    <t>文化中心C组团（陶瓷博物馆）小计</t>
  </si>
  <si>
    <t>文化中心段金带小计</t>
  </si>
  <si>
    <t>土地费用小计</t>
  </si>
  <si>
    <t>一</t>
  </si>
  <si>
    <t>文化中心A组团（演艺中心）</t>
  </si>
  <si>
    <t>（一）</t>
  </si>
  <si>
    <t>工程费用</t>
  </si>
  <si>
    <t>中国建筑第八工程局有限公司</t>
  </si>
  <si>
    <t>A组团工程款</t>
  </si>
  <si>
    <t>山东鑫国基础工程有限公司</t>
  </si>
  <si>
    <t>A组团基坑开挖及桩基工程</t>
  </si>
  <si>
    <t>淄博国顺工程建设有限公司</t>
  </si>
  <si>
    <t>A组团供电工程款</t>
  </si>
  <si>
    <t>浙江大丰实业股份有限公司</t>
  </si>
  <si>
    <t>舞台机械</t>
  </si>
  <si>
    <t>太极计算机股份有限公司</t>
  </si>
  <si>
    <t>智能化工程一标段</t>
  </si>
  <si>
    <t>中建电子工程有限公司</t>
  </si>
  <si>
    <t>智能化工程二标段</t>
  </si>
  <si>
    <t>深圳市广宁股份有限公司</t>
  </si>
  <si>
    <t>智能化工程三标段</t>
  </si>
  <si>
    <t>北京中电兴发科技有限公司</t>
  </si>
  <si>
    <t>智能化四标段</t>
  </si>
  <si>
    <t>广州市东亚技术有限公司</t>
  </si>
  <si>
    <t>LED系统</t>
  </si>
  <si>
    <t>音响</t>
  </si>
  <si>
    <t>青岛妙海韵好美乐文化交流有限公司</t>
  </si>
  <si>
    <t>乐器</t>
  </si>
  <si>
    <t>宁波智汇门道系统控制技术有限公司</t>
  </si>
  <si>
    <t>不銹钢地弹簧门、平衡门</t>
  </si>
  <si>
    <t>浙江华誉照明科技有限公司</t>
  </si>
  <si>
    <t>亮化</t>
  </si>
  <si>
    <t>扬州逸尚标识系统工程有限公司</t>
  </si>
  <si>
    <t>标识</t>
  </si>
  <si>
    <t>广州市河东电子有限公司</t>
  </si>
  <si>
    <t>灯光</t>
  </si>
  <si>
    <t>山东联能电力设计有限公司</t>
  </si>
  <si>
    <t>A组团临时用电</t>
  </si>
  <si>
    <t>座椅</t>
  </si>
  <si>
    <t>中成国泰石业有限公司</t>
  </si>
  <si>
    <t>石材</t>
  </si>
  <si>
    <t>中山市思柏照明有限公司</t>
  </si>
  <si>
    <t>艺术吊灯</t>
  </si>
  <si>
    <t>山东鸿翔动力设备有限公司</t>
  </si>
  <si>
    <t>热量表设备</t>
  </si>
  <si>
    <t>物品配备</t>
  </si>
  <si>
    <t>深圳市利丰舞台设备有限公司</t>
  </si>
  <si>
    <t>物资采购</t>
  </si>
  <si>
    <t>江西省星辉文化发展有限公司</t>
  </si>
  <si>
    <t>影城设备</t>
  </si>
  <si>
    <t>苏州金螳螂建筑装饰股份有限公司</t>
  </si>
  <si>
    <t>影城装修</t>
  </si>
  <si>
    <t>常州象和标识设计有限公司</t>
  </si>
  <si>
    <t>影城标识</t>
  </si>
  <si>
    <t>山东翰扬建筑工程有限公司</t>
  </si>
  <si>
    <t>影厅防火卷帘</t>
  </si>
  <si>
    <t>山东恒德润建筑装饰工程有限公司</t>
  </si>
  <si>
    <t>A组团看台栏杆</t>
  </si>
  <si>
    <t>临电EPC项目</t>
  </si>
  <si>
    <t>文化中心围挡</t>
  </si>
  <si>
    <t>工程其他费用</t>
  </si>
  <si>
    <t>浙江江南工程管理股份有限公司</t>
  </si>
  <si>
    <t>A组团监理</t>
  </si>
  <si>
    <t>保利（北京）剧院建设工程咨询有限公司</t>
  </si>
  <si>
    <t>大剧院咨询费</t>
  </si>
  <si>
    <t>山东泉舜工程设计监理有限公司</t>
  </si>
  <si>
    <t>供电监理费</t>
  </si>
  <si>
    <t>北京市建筑设计研究院有限公司</t>
  </si>
  <si>
    <t>文化中心设计</t>
  </si>
  <si>
    <t>淄博市建筑设计研究院</t>
  </si>
  <si>
    <t>淄博市规划设计研究院</t>
  </si>
  <si>
    <t>淄博市勘察测绘研究院有限公司</t>
  </si>
  <si>
    <t>A组团工程勘察</t>
  </si>
  <si>
    <t>华东建筑设计研究院有限公司</t>
  </si>
  <si>
    <t>声学咨询检测费</t>
  </si>
  <si>
    <t>深圳市建艺装饰集团股份有限公司</t>
  </si>
  <si>
    <t>精装修设计</t>
  </si>
  <si>
    <t>淄博市环保供热有限公司</t>
  </si>
  <si>
    <t>开口费</t>
  </si>
  <si>
    <t>国网淄博电力公司张店分公司</t>
  </si>
  <si>
    <t>A组团电业局接电押金</t>
  </si>
  <si>
    <t>淄博市工程咨询院</t>
  </si>
  <si>
    <t>A组团可研报告编制费</t>
  </si>
  <si>
    <t>淄博恒正工程检测有限公司</t>
  </si>
  <si>
    <t>工程桩检测</t>
  </si>
  <si>
    <t>试桩检测</t>
  </si>
  <si>
    <t>基坑变形检测</t>
  </si>
  <si>
    <t>淄博金典水环境技术评价中心</t>
  </si>
  <si>
    <t>水保方案编制</t>
  </si>
  <si>
    <t>舞台机械专家评审费</t>
  </si>
  <si>
    <t>舞台机械
专家评审</t>
  </si>
  <si>
    <t>规划放线</t>
  </si>
  <si>
    <t>绿色建筑设计</t>
  </si>
  <si>
    <t>幕墙设计</t>
  </si>
  <si>
    <t>淄博市水利与渔业局</t>
  </si>
  <si>
    <t>水土保持补偿费</t>
  </si>
  <si>
    <t>智能化深化设计</t>
  </si>
  <si>
    <t>工程咨询费</t>
  </si>
  <si>
    <t>基坑及主体
沉降观测</t>
  </si>
  <si>
    <t>基坑支护设计</t>
  </si>
  <si>
    <t>山东省地震工程研究院</t>
  </si>
  <si>
    <t>地震安全评估</t>
  </si>
  <si>
    <t>淄博东宇电气科技有限公司</t>
  </si>
  <si>
    <t>施工用箱变租赁</t>
  </si>
  <si>
    <t>配电箱租赁费</t>
  </si>
  <si>
    <t>张店和正图文经营部</t>
  </si>
  <si>
    <t>展示牌</t>
  </si>
  <si>
    <t>淄博四季园林有限公司</t>
  </si>
  <si>
    <t>入口苗木移植费</t>
  </si>
  <si>
    <t>淄博正兴市政工程有限公司</t>
  </si>
  <si>
    <t>入口人行道恢复费</t>
  </si>
  <si>
    <t>淄博新城区开发建设办公室</t>
  </si>
  <si>
    <t>初步设计评审费</t>
  </si>
  <si>
    <t>淄博市供电公司</t>
  </si>
  <si>
    <t>临时接电押金</t>
  </si>
  <si>
    <t>山东在美文化传播有限公司</t>
  </si>
  <si>
    <t>方案设计</t>
  </si>
  <si>
    <t>淄博市建筑企业养老保障金管理办公室</t>
  </si>
  <si>
    <t>养老保障金</t>
  </si>
  <si>
    <t>江苏泓远防雷检测有限公司山东分公司</t>
  </si>
  <si>
    <t>防雷检测</t>
  </si>
  <si>
    <t>淄博市社会劳动保险事业处</t>
  </si>
  <si>
    <t>工伤保险</t>
  </si>
  <si>
    <t>山东天方工程检测有限公司</t>
  </si>
  <si>
    <t>墙体节能检测</t>
  </si>
  <si>
    <t>淄博建衡检测研究中心</t>
  </si>
  <si>
    <t>空气环境检测</t>
  </si>
  <si>
    <t>山东安平消防科技有限公司</t>
  </si>
  <si>
    <t>消防检测费</t>
  </si>
  <si>
    <t>淄博市人民防空办公室</t>
  </si>
  <si>
    <t>人防费</t>
  </si>
  <si>
    <t>中国艺术科技研究所</t>
  </si>
  <si>
    <t>舞台机械检测费</t>
  </si>
  <si>
    <t>淄博圆通环境检测有限公司</t>
  </si>
  <si>
    <t>空调系统空气检测费</t>
  </si>
  <si>
    <t>淄博烨通环境检测有限公司</t>
  </si>
  <si>
    <t>影城空调通风卫生检测</t>
  </si>
  <si>
    <t>淄博市鲁中勘察设计审查咨询中心</t>
  </si>
  <si>
    <t>消防审图</t>
  </si>
  <si>
    <t>淄博建衡工程检测研究中心</t>
  </si>
  <si>
    <t>影城室内环境检测</t>
  </si>
  <si>
    <t>山东安平消防科技有限公司淄博分公司</t>
  </si>
  <si>
    <t>影城消防检测</t>
  </si>
  <si>
    <t>A组团影厅消防设计</t>
  </si>
  <si>
    <t>山东天泰恒信工程造价咨询有限公司</t>
  </si>
  <si>
    <t>投资控制费</t>
  </si>
  <si>
    <t>二</t>
  </si>
  <si>
    <t>文化中心B组团（艺术品交易中心）</t>
  </si>
  <si>
    <t>B组团工程款</t>
  </si>
  <si>
    <t>B组团基坑开挖及桩基工程</t>
  </si>
  <si>
    <t>B组团供电工程款</t>
  </si>
  <si>
    <t>中建八局第一建设有限公司</t>
  </si>
  <si>
    <t>室外配套一标段</t>
  </si>
  <si>
    <t>智能化工程四标段</t>
  </si>
  <si>
    <t>临时用电</t>
  </si>
  <si>
    <t>（二）</t>
  </si>
  <si>
    <t>B组团监理</t>
  </si>
  <si>
    <t>电业局接电押金</t>
  </si>
  <si>
    <t>工程勘察</t>
  </si>
  <si>
    <t>可研报告编制费</t>
  </si>
  <si>
    <t>基坑及主体沉降观测</t>
  </si>
  <si>
    <t>广东省集美设计工程有限公司</t>
  </si>
  <si>
    <t>山东新博泰工程造价咨询有限公司</t>
  </si>
  <si>
    <t>三</t>
  </si>
  <si>
    <t>文化中心C组团（陶瓷博物馆）</t>
  </si>
  <si>
    <t>山东天齐置业集团股份有限公司</t>
  </si>
  <si>
    <t>C组团工程款</t>
  </si>
  <si>
    <t>C组团基坑开挖及桩基工程</t>
  </si>
  <si>
    <t>室外配套二标段</t>
  </si>
  <si>
    <t>C组团供电工程款</t>
  </si>
  <si>
    <t>苏州和氏设计营造股份有限公司</t>
  </si>
  <si>
    <t>非遗展厅展陈设计施工一体化</t>
  </si>
  <si>
    <t>中成国泰石业有限公司、江苏恒龙装饰工程有限公司</t>
  </si>
  <si>
    <t>浮雕制作</t>
  </si>
  <si>
    <t>琉璃展陈</t>
  </si>
  <si>
    <t>中山市一利办公家具有限公司</t>
  </si>
  <si>
    <t>办公家具采购</t>
  </si>
  <si>
    <t>上海太弘威视安防设备有限公司</t>
  </si>
  <si>
    <t>安检设备</t>
  </si>
  <si>
    <t>郑州枫华实业股份有限公司</t>
  </si>
  <si>
    <t>库房设备</t>
  </si>
  <si>
    <t>周村慧成家具厂</t>
  </si>
  <si>
    <t>陶琉馆家具</t>
  </si>
  <si>
    <t>山东福美木业有限公司</t>
  </si>
  <si>
    <t>北京星际元会展有限公司</t>
  </si>
  <si>
    <t>科技馆布展设计施工一体化（标段一）</t>
  </si>
  <si>
    <t>广州市广美电子科技有限公司</t>
  </si>
  <si>
    <t>科技馆布展设计施工一体化（标段二）</t>
  </si>
  <si>
    <t>山东福尔波装饰工程有限公司</t>
  </si>
  <si>
    <t>橡胶地板</t>
  </si>
  <si>
    <t>浏阳市科技模型厂有限公司</t>
  </si>
  <si>
    <t>科技馆展品、展项深化设计及制作标段一</t>
  </si>
  <si>
    <t>合肥磐石自动化科技有限公司</t>
  </si>
  <si>
    <t>科技馆展品、展项深化设计及制作标段二</t>
  </si>
  <si>
    <t>唐山东南科技展示工程有限公司</t>
  </si>
  <si>
    <t>科技馆展品、展项深化设计及制作标段三</t>
  </si>
  <si>
    <t>自贡市挚诚自动化设备有限公司</t>
  </si>
  <si>
    <t>科技馆展品、展项深化设计及制作标段四</t>
  </si>
  <si>
    <t>上海超澜数码科技有限公司</t>
  </si>
  <si>
    <t>科技馆展品、展项深化设计及制作标段五</t>
  </si>
  <si>
    <t>科技馆展品、展项深化设计及制作标段六</t>
  </si>
  <si>
    <t>科技馆展品、展项深化设计及制作标段七</t>
  </si>
  <si>
    <t>西安航美工程技术开发有限公司</t>
  </si>
  <si>
    <t>科技馆展品、展项深化设计及制作标段八</t>
  </si>
  <si>
    <t>科技馆展品、展项深化设计及制作标段九</t>
  </si>
  <si>
    <t>科技馆展品、展项深化设计及制作标段十</t>
  </si>
  <si>
    <t>合肥安达创展科技股份有限公司</t>
  </si>
  <si>
    <t>科技馆展品、展项深化设计及制作标段十一</t>
  </si>
  <si>
    <t>科技馆展品、展项深化设计及制作标段十二</t>
  </si>
  <si>
    <t>宁波新文三维股份有限公司</t>
  </si>
  <si>
    <t>科技馆展品、展项深化设计及制作标段十三</t>
  </si>
  <si>
    <t>深圳市南天门网络信息有限公司</t>
  </si>
  <si>
    <t>科技馆展品、展项深化设计及制作标段十四</t>
  </si>
  <si>
    <t>塔米智能科技（北京）有限公司</t>
  </si>
  <si>
    <t>科技馆展品、展项深化设计及制作标段十五</t>
  </si>
  <si>
    <t>杭州安誉科技有限公司</t>
  </si>
  <si>
    <t>科学工作室标段一</t>
  </si>
  <si>
    <t>西安斯派克数字科技有限公司</t>
  </si>
  <si>
    <t>科学工作室标段二</t>
  </si>
  <si>
    <t>杭州致知科教用品有限公司</t>
  </si>
  <si>
    <t>科学工作室标段三</t>
  </si>
  <si>
    <t>山东卓信科技有限公司</t>
  </si>
  <si>
    <t>科学工作室标段四</t>
  </si>
  <si>
    <t>科学工作室标段五</t>
  </si>
  <si>
    <t>科普报告厅</t>
  </si>
  <si>
    <t>标志性展项标段一</t>
  </si>
  <si>
    <t>标志性展项标段二</t>
  </si>
  <si>
    <t>北京夏商科技有限公司</t>
  </si>
  <si>
    <t>标志性展项标段三</t>
  </si>
  <si>
    <t>银江股份有限公司</t>
  </si>
  <si>
    <t>智能化标段一</t>
  </si>
  <si>
    <t>天津恒达文博科技股份有限公司</t>
  </si>
  <si>
    <t>智能化标段二</t>
  </si>
  <si>
    <t>机科发展科技股份有限公司</t>
  </si>
  <si>
    <t>智能化标段三</t>
  </si>
  <si>
    <t>4D影院</t>
  </si>
  <si>
    <t>山东德力创工程技术有限公司</t>
  </si>
  <si>
    <t>科技馆电力改造</t>
  </si>
  <si>
    <t>陶瓷展陈</t>
  </si>
  <si>
    <t>山东同力建设项目管理有限公司</t>
  </si>
  <si>
    <t>C组团监理</t>
  </si>
  <si>
    <t>深圳瑞和建筑装饰股份有限公司</t>
  </si>
  <si>
    <t>展陈监理</t>
  </si>
  <si>
    <t>淄博市科学技术馆</t>
  </si>
  <si>
    <t>科技馆内容建设方案征集</t>
  </si>
  <si>
    <t>广州宏达工程顾问有限公司</t>
  </si>
  <si>
    <t>科技馆展教工程项目管理（含监理）</t>
  </si>
  <si>
    <t>按季度每次支付合同款15%</t>
  </si>
  <si>
    <t>建设单位管理费</t>
  </si>
  <si>
    <t>淄博市文化广电新闻出版局</t>
  </si>
  <si>
    <t>陶琉馆启动经费</t>
  </si>
  <si>
    <t>山东省电子信息产品检验院</t>
  </si>
  <si>
    <t>智能化系统检测</t>
  </si>
  <si>
    <t>非遗展厅展陈方案征集</t>
  </si>
  <si>
    <t>非遗展厅展陈监理费</t>
  </si>
  <si>
    <t>青岛安泰科技工程有限公司</t>
  </si>
  <si>
    <t>科技馆消防检测</t>
  </si>
  <si>
    <t>四</t>
  </si>
  <si>
    <t>文化中心段金带</t>
  </si>
  <si>
    <t>山东金城建设有限公司</t>
  </si>
  <si>
    <t>金带工程款</t>
  </si>
  <si>
    <t>金带基坑开挖及桩基工程</t>
  </si>
  <si>
    <t>室外配套三标段</t>
  </si>
  <si>
    <t>金带供电工程款</t>
  </si>
  <si>
    <t>外网工程款</t>
  </si>
  <si>
    <t>地下停车场配套设施</t>
  </si>
  <si>
    <t>苏州金螳螂园林绿化景观有限公司</t>
  </si>
  <si>
    <t>景观工程款</t>
  </si>
  <si>
    <t>广州市一土雕塑工程有限公司</t>
  </si>
  <si>
    <t>雕塑小品</t>
  </si>
  <si>
    <t>淄博塞奥玻璃科技有限公司</t>
  </si>
  <si>
    <t>玻璃小品</t>
  </si>
  <si>
    <t>山东鲁飞环保科技有限公司</t>
  </si>
  <si>
    <t>升降桩设备</t>
  </si>
  <si>
    <t>D组团车库划线标识</t>
  </si>
  <si>
    <t>山东一诺威聚氨酯股份有限公司</t>
  </si>
  <si>
    <t>健身步道施工</t>
  </si>
  <si>
    <t>山东奥荣工程项目管理有限公司</t>
  </si>
  <si>
    <t>金带监理</t>
  </si>
  <si>
    <t>室外配套及景观监理</t>
  </si>
  <si>
    <t>国网山东省电力公司淄博供电公司</t>
  </si>
  <si>
    <t>供电费</t>
  </si>
  <si>
    <t>淄博市自来水公司</t>
  </si>
  <si>
    <t>自来水开口下翻工程</t>
  </si>
  <si>
    <t>自来水正式水施工费（华光路段）</t>
  </si>
  <si>
    <t>淄博润诚工程设计有限公司</t>
  </si>
  <si>
    <t>自来水开口设计</t>
  </si>
  <si>
    <t>联通路开口设计费</t>
  </si>
  <si>
    <t>淄博市建筑企业养老保障金管理
办公室</t>
  </si>
  <si>
    <t>山东航宇数字勘测有限公司</t>
  </si>
  <si>
    <t>地下管线测量费</t>
  </si>
  <si>
    <t>山东普洛赛斯检测科技有限公司</t>
  </si>
  <si>
    <t>环境验收报告费</t>
  </si>
  <si>
    <t>自来水正式水施工费（联通路段）</t>
  </si>
  <si>
    <t>山东源泰电力设计工程有限公司</t>
  </si>
  <si>
    <t>强电设计费</t>
  </si>
  <si>
    <t>淄博勤政园林科技有限公司</t>
  </si>
  <si>
    <t>金带雕塑预留摆花</t>
  </si>
  <si>
    <t>淄博市引黄供水有限公司</t>
  </si>
  <si>
    <t>文化中心水系补水费</t>
  </si>
  <si>
    <t>五</t>
  </si>
  <si>
    <t>土地费用</t>
  </si>
  <si>
    <t>A组团</t>
  </si>
  <si>
    <t>B组团</t>
  </si>
  <si>
    <t>C组团</t>
  </si>
  <si>
    <t>金带</t>
  </si>
  <si>
    <t>收益法-B</t>
  </si>
  <si>
    <t>收益法-B</t>
    <phoneticPr fontId="16" type="noConversion"/>
  </si>
  <si>
    <t>成本法-B</t>
  </si>
  <si>
    <t>成本法-B</t>
    <phoneticPr fontId="16" type="noConversion"/>
  </si>
  <si>
    <t>成本法</t>
  </si>
  <si>
    <t>估价对象1（本表）A</t>
    <phoneticPr fontId="140" type="noConversion"/>
  </si>
  <si>
    <t>估价对象2-B</t>
    <phoneticPr fontId="140" type="noConversion"/>
  </si>
  <si>
    <t>估价对象3-C1</t>
    <phoneticPr fontId="140" type="noConversion"/>
  </si>
  <si>
    <t>估价对象4-C2</t>
    <phoneticPr fontId="140" type="noConversion"/>
  </si>
  <si>
    <t>总价</t>
  </si>
  <si>
    <t>成本比率</t>
  </si>
  <si>
    <t>收益法</t>
    <phoneticPr fontId="140" type="noConversion"/>
  </si>
  <si>
    <t>收益法单价</t>
    <phoneticPr fontId="140" type="noConversion"/>
  </si>
  <si>
    <t>总价</t>
    <phoneticPr fontId="140" type="noConversion"/>
  </si>
  <si>
    <t>单价</t>
    <phoneticPr fontId="140" type="noConversion"/>
  </si>
  <si>
    <t>吴薇</t>
  </si>
  <si>
    <t>郑燚</t>
  </si>
  <si>
    <t>文体娱乐</t>
    <phoneticPr fontId="31" type="noConversion"/>
  </si>
  <si>
    <t>商业</t>
    <phoneticPr fontId="31" type="noConversion"/>
  </si>
  <si>
    <t>张店区中润大道以南、丰悦路以东、龙凤北巷以北、淄博市职业病防治院以西</t>
    <phoneticPr fontId="140" type="noConversion"/>
  </si>
  <si>
    <t>淄博新区人民路以北、钱裕路以东</t>
    <phoneticPr fontId="140" type="noConversion"/>
  </si>
  <si>
    <t>张店区华光路以南、人民路以北、心环西路以东</t>
    <phoneticPr fontId="140" type="noConversion"/>
  </si>
  <si>
    <t>五通</t>
    <phoneticPr fontId="31" type="noConversion"/>
  </si>
  <si>
    <t>三通</t>
    <phoneticPr fontId="31" type="noConversion"/>
  </si>
  <si>
    <t>五通</t>
    <phoneticPr fontId="31" type="noConversion"/>
  </si>
  <si>
    <t>四通</t>
    <phoneticPr fontId="31" type="noConversion"/>
  </si>
  <si>
    <t>淄博市人民政府办公室关于印发淄博市城市基础设施配套费征收使用管理办法的通知</t>
    <phoneticPr fontId="3" type="noConversion"/>
  </si>
  <si>
    <t>淄政办发〔２０１９〕１４号</t>
    <phoneticPr fontId="3" type="noConversion"/>
  </si>
  <si>
    <t>A</t>
    <phoneticPr fontId="140" type="noConversion"/>
  </si>
  <si>
    <t>B</t>
    <phoneticPr fontId="140" type="noConversion"/>
  </si>
  <si>
    <r>
      <t>C</t>
    </r>
    <r>
      <rPr>
        <sz val="11"/>
        <color theme="1"/>
        <rFont val="宋体"/>
        <family val="3"/>
        <charset val="134"/>
        <scheme val="minor"/>
      </rPr>
      <t>1</t>
    </r>
    <phoneticPr fontId="140" type="noConversion"/>
  </si>
  <si>
    <t>C2</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</si>
</sst>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b/>
      <sz val="14"/>
      <name val="华文中宋"/>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20">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xf numFmtId="0" fontId="37" fillId="0" borderId="0"/>
    <xf numFmtId="0" fontId="37" fillId="0" borderId="0"/>
  </cellStyleXfs>
  <cellXfs count="354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49" fillId="6" borderId="35"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5" fillId="0" borderId="0" xfId="17"/>
    <xf numFmtId="0" fontId="55" fillId="8" borderId="0" xfId="17" applyFill="1"/>
    <xf numFmtId="0" fontId="0" fillId="8" borderId="0" xfId="0" applyFill="1">
      <alignment vertical="center"/>
    </xf>
    <xf numFmtId="0" fontId="19" fillId="0" borderId="0" xfId="17" applyFont="1"/>
    <xf numFmtId="0" fontId="55" fillId="9" borderId="0" xfId="17" applyFill="1"/>
    <xf numFmtId="0" fontId="0" fillId="9" borderId="0" xfId="0" applyFill="1">
      <alignment vertical="center"/>
    </xf>
    <xf numFmtId="49" fontId="134" fillId="2" borderId="26" xfId="0" applyNumberFormat="1" applyFont="1" applyFill="1" applyBorder="1" applyAlignment="1" applyProtection="1">
      <alignment horizontal="center" vertical="center" wrapText="1"/>
      <protection locked="0"/>
    </xf>
    <xf numFmtId="0" fontId="0" fillId="0" borderId="1" xfId="0" applyBorder="1">
      <alignment vertical="center"/>
    </xf>
    <xf numFmtId="0" fontId="98" fillId="0" borderId="1" xfId="0" applyFont="1" applyBorder="1">
      <alignment vertical="center"/>
    </xf>
    <xf numFmtId="0" fontId="0" fillId="0" borderId="1" xfId="0" applyBorder="1" applyAlignment="1">
      <alignment horizontal="center" vertical="center"/>
    </xf>
    <xf numFmtId="0" fontId="134" fillId="13" borderId="0" xfId="0" applyFont="1" applyFill="1" applyAlignment="1" applyProtection="1">
      <alignment horizontal="center" vertical="center"/>
      <protection locked="0"/>
    </xf>
    <xf numFmtId="179" fontId="134" fillId="13" borderId="0" xfId="0" applyNumberFormat="1" applyFont="1" applyFill="1" applyAlignment="1" applyProtection="1">
      <alignment horizontal="center" vertical="center" wrapText="1"/>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98" fillId="0" borderId="0" xfId="0" applyFont="1">
      <alignment vertical="center"/>
    </xf>
    <xf numFmtId="0" fontId="0" fillId="0" borderId="0" xfId="0" applyFont="1" applyAlignment="1">
      <alignment vertical="center"/>
    </xf>
    <xf numFmtId="0" fontId="19" fillId="0" borderId="0" xfId="0" applyFont="1" applyFill="1" applyAlignment="1">
      <alignment vertical="center"/>
    </xf>
    <xf numFmtId="1" fontId="19" fillId="0" borderId="0" xfId="0" applyNumberFormat="1" applyFont="1" applyFill="1" applyAlignment="1">
      <alignment vertical="center"/>
    </xf>
    <xf numFmtId="1" fontId="0" fillId="5" borderId="0" xfId="0" applyNumberFormat="1" applyFont="1" applyFill="1" applyAlignment="1">
      <alignment vertical="center"/>
    </xf>
    <xf numFmtId="1" fontId="0" fillId="0" borderId="0" xfId="0" applyNumberFormat="1" applyFont="1" applyFill="1" applyAlignment="1">
      <alignment vertical="center"/>
    </xf>
    <xf numFmtId="0" fontId="0" fillId="0" borderId="0" xfId="0" applyFont="1" applyFill="1" applyAlignment="1">
      <alignment vertical="center"/>
    </xf>
    <xf numFmtId="1" fontId="19" fillId="0" borderId="1" xfId="0" applyNumberFormat="1" applyFont="1" applyFill="1" applyBorder="1" applyAlignment="1">
      <alignment horizontal="center" vertical="center" wrapText="1"/>
    </xf>
    <xf numFmtId="1" fontId="19" fillId="5" borderId="1" xfId="0" applyNumberFormat="1" applyFont="1" applyFill="1" applyBorder="1" applyAlignment="1">
      <alignment horizontal="center" vertical="center" wrapText="1"/>
    </xf>
    <xf numFmtId="1" fontId="19" fillId="0" borderId="1" xfId="0" applyNumberFormat="1" applyFont="1" applyFill="1" applyBorder="1" applyAlignment="1">
      <alignment horizontal="center" vertical="center"/>
    </xf>
    <xf numFmtId="0" fontId="19" fillId="0" borderId="1" xfId="0" applyFont="1" applyFill="1" applyBorder="1" applyAlignment="1">
      <alignment horizontal="center" vertical="center" wrapText="1"/>
    </xf>
    <xf numFmtId="1" fontId="19" fillId="0" borderId="5" xfId="0" applyNumberFormat="1" applyFont="1" applyFill="1" applyBorder="1" applyAlignment="1">
      <alignment horizontal="center" vertical="center" wrapText="1"/>
    </xf>
    <xf numFmtId="1" fontId="83" fillId="0" borderId="13" xfId="0" applyNumberFormat="1" applyFont="1" applyFill="1" applyBorder="1" applyAlignment="1">
      <alignment horizontal="center" vertical="center" wrapText="1"/>
    </xf>
    <xf numFmtId="1" fontId="83" fillId="5" borderId="13" xfId="0" applyNumberFormat="1" applyFont="1" applyFill="1" applyBorder="1" applyAlignment="1">
      <alignment horizontal="center" vertical="center" wrapText="1"/>
    </xf>
    <xf numFmtId="0" fontId="83" fillId="0" borderId="0" xfId="0" applyFont="1" applyAlignment="1">
      <alignment vertical="center"/>
    </xf>
    <xf numFmtId="1" fontId="19" fillId="0" borderId="0" xfId="0" applyNumberFormat="1" applyFont="1" applyAlignment="1">
      <alignment vertical="center"/>
    </xf>
    <xf numFmtId="0" fontId="19" fillId="0" borderId="0" xfId="0" applyFont="1" applyAlignment="1">
      <alignment vertical="center"/>
    </xf>
    <xf numFmtId="9" fontId="83" fillId="0" borderId="1" xfId="0" applyNumberFormat="1" applyFont="1" applyFill="1" applyBorder="1" applyAlignment="1">
      <alignment horizontal="center" vertical="center" wrapText="1"/>
    </xf>
    <xf numFmtId="9" fontId="19" fillId="0" borderId="1" xfId="18" applyNumberFormat="1" applyFont="1" applyFill="1" applyBorder="1" applyAlignment="1" applyProtection="1">
      <alignment horizontal="center" vertical="center" wrapText="1"/>
    </xf>
    <xf numFmtId="0" fontId="83" fillId="0" borderId="0" xfId="0" applyFont="1" applyFill="1" applyAlignment="1">
      <alignment vertical="center"/>
    </xf>
    <xf numFmtId="179" fontId="83" fillId="0" borderId="0" xfId="0" applyNumberFormat="1" applyFont="1" applyFill="1" applyAlignment="1">
      <alignment vertical="center"/>
    </xf>
    <xf numFmtId="179" fontId="83" fillId="0" borderId="1" xfId="0" applyNumberFormat="1" applyFont="1" applyFill="1" applyBorder="1" applyAlignment="1">
      <alignment horizontal="center" vertical="center" wrapText="1"/>
    </xf>
    <xf numFmtId="179" fontId="19" fillId="0" borderId="0" xfId="0" applyNumberFormat="1" applyFont="1" applyFill="1" applyAlignment="1">
      <alignment vertical="center"/>
    </xf>
    <xf numFmtId="0" fontId="19" fillId="0" borderId="1" xfId="18" applyFont="1" applyFill="1" applyBorder="1" applyAlignment="1" applyProtection="1">
      <alignment horizontal="center" vertical="center" wrapText="1"/>
    </xf>
    <xf numFmtId="1" fontId="83" fillId="0" borderId="1" xfId="0" applyNumberFormat="1" applyFont="1" applyFill="1" applyBorder="1" applyAlignment="1">
      <alignment horizontal="center" vertical="center" wrapText="1"/>
    </xf>
    <xf numFmtId="1" fontId="83" fillId="5" borderId="1" xfId="0" applyNumberFormat="1" applyFont="1" applyFill="1" applyBorder="1" applyAlignment="1">
      <alignment horizontal="center" vertical="center" wrapText="1"/>
    </xf>
    <xf numFmtId="1" fontId="19" fillId="0" borderId="1" xfId="18" applyNumberFormat="1" applyFont="1" applyFill="1" applyBorder="1" applyAlignment="1" applyProtection="1">
      <alignment horizontal="center" vertical="center" wrapText="1"/>
      <protection locked="0"/>
    </xf>
    <xf numFmtId="1" fontId="19" fillId="5" borderId="1" xfId="18" applyNumberFormat="1" applyFont="1" applyFill="1" applyBorder="1" applyAlignment="1" applyProtection="1">
      <alignment horizontal="center" vertical="center" wrapText="1"/>
      <protection locked="0"/>
    </xf>
    <xf numFmtId="9" fontId="19" fillId="0" borderId="1" xfId="18" applyNumberFormat="1" applyFont="1" applyFill="1" applyBorder="1" applyAlignment="1" applyProtection="1">
      <alignment horizontal="center" vertical="center" wrapText="1"/>
      <protection locked="0"/>
    </xf>
    <xf numFmtId="2" fontId="19" fillId="0" borderId="1" xfId="18" applyNumberFormat="1" applyFont="1" applyFill="1" applyBorder="1" applyAlignment="1" applyProtection="1">
      <alignment horizontal="center" vertical="center" wrapText="1"/>
      <protection locked="0"/>
    </xf>
    <xf numFmtId="2" fontId="19" fillId="5" borderId="1" xfId="18" applyNumberFormat="1" applyFont="1" applyFill="1" applyBorder="1" applyAlignment="1" applyProtection="1">
      <alignment horizontal="center" vertical="center" wrapText="1"/>
      <protection locked="0"/>
    </xf>
    <xf numFmtId="1" fontId="19" fillId="0" borderId="13" xfId="18" applyNumberFormat="1" applyFont="1" applyFill="1" applyBorder="1" applyAlignment="1" applyProtection="1">
      <alignment horizontal="center" vertical="center" wrapText="1"/>
      <protection locked="0"/>
    </xf>
    <xf numFmtId="1" fontId="19" fillId="5" borderId="13" xfId="18" applyNumberFormat="1"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wrapText="1"/>
    </xf>
    <xf numFmtId="179" fontId="19" fillId="0" borderId="1" xfId="18" applyNumberFormat="1" applyFont="1" applyFill="1" applyBorder="1" applyAlignment="1" applyProtection="1">
      <alignment horizontal="center" vertical="center" wrapText="1"/>
      <protection locked="0"/>
    </xf>
    <xf numFmtId="0" fontId="19" fillId="0" borderId="2" xfId="0" applyFont="1" applyFill="1" applyBorder="1" applyAlignment="1" applyProtection="1">
      <alignment horizontal="center" vertical="center" wrapText="1"/>
    </xf>
    <xf numFmtId="179" fontId="19" fillId="0" borderId="13" xfId="18" applyNumberFormat="1" applyFont="1" applyFill="1" applyBorder="1" applyAlignment="1" applyProtection="1">
      <alignment horizontal="center" vertical="center" wrapText="1"/>
      <protection locked="0"/>
    </xf>
    <xf numFmtId="176" fontId="19" fillId="0" borderId="2" xfId="0" applyNumberFormat="1" applyFont="1" applyFill="1" applyBorder="1" applyAlignment="1" applyProtection="1">
      <alignment horizontal="center" vertical="center" wrapText="1"/>
    </xf>
    <xf numFmtId="0" fontId="19" fillId="0" borderId="7" xfId="0" applyFont="1" applyFill="1" applyBorder="1" applyAlignment="1" applyProtection="1">
      <alignment horizontal="center" vertical="center" wrapText="1"/>
    </xf>
    <xf numFmtId="176" fontId="19" fillId="0" borderId="15" xfId="0" applyNumberFormat="1" applyFont="1" applyFill="1" applyBorder="1" applyAlignment="1" applyProtection="1">
      <alignment horizontal="center" vertical="center" wrapText="1"/>
    </xf>
    <xf numFmtId="0" fontId="141" fillId="0" borderId="1" xfId="0" applyFont="1" applyFill="1" applyBorder="1" applyAlignment="1">
      <alignment horizontal="center" vertical="center"/>
    </xf>
    <xf numFmtId="0" fontId="19" fillId="0" borderId="5" xfId="18" applyFont="1" applyFill="1" applyBorder="1" applyAlignment="1" applyProtection="1">
      <alignment horizontal="center" vertical="center" wrapText="1"/>
    </xf>
    <xf numFmtId="0" fontId="19" fillId="0" borderId="3" xfId="18" applyFont="1" applyFill="1" applyBorder="1" applyAlignment="1" applyProtection="1">
      <alignment horizontal="center" vertical="center" wrapText="1"/>
    </xf>
    <xf numFmtId="2" fontId="19" fillId="0" borderId="1" xfId="18" applyNumberFormat="1" applyFont="1" applyFill="1" applyBorder="1" applyAlignment="1" applyProtection="1">
      <alignment horizontal="center" vertical="center" wrapText="1"/>
    </xf>
    <xf numFmtId="2" fontId="19" fillId="5" borderId="1" xfId="18" applyNumberFormat="1" applyFont="1" applyFill="1" applyBorder="1" applyAlignment="1" applyProtection="1">
      <alignment horizontal="center" vertical="center" wrapText="1"/>
    </xf>
    <xf numFmtId="0" fontId="141" fillId="0" borderId="0" xfId="0" applyFont="1" applyAlignment="1">
      <alignment vertical="center"/>
    </xf>
    <xf numFmtId="0" fontId="197" fillId="0" borderId="1" xfId="0" applyFont="1" applyFill="1" applyBorder="1" applyAlignment="1">
      <alignment horizontal="center" vertical="center"/>
    </xf>
    <xf numFmtId="2" fontId="197" fillId="0" borderId="1" xfId="19" applyNumberFormat="1" applyFont="1" applyFill="1" applyBorder="1" applyAlignment="1" applyProtection="1">
      <alignment horizontal="center" vertical="center" wrapText="1"/>
      <protection locked="0"/>
    </xf>
    <xf numFmtId="2" fontId="197" fillId="5" borderId="1" xfId="19" applyNumberFormat="1" applyFont="1" applyFill="1" applyBorder="1" applyAlignment="1" applyProtection="1">
      <alignment horizontal="center" vertical="center" wrapText="1"/>
      <protection locked="0"/>
    </xf>
    <xf numFmtId="9" fontId="197" fillId="0" borderId="1" xfId="19" applyNumberFormat="1" applyFont="1" applyFill="1" applyBorder="1" applyAlignment="1" applyProtection="1">
      <alignment horizontal="center" vertical="center" wrapText="1"/>
      <protection locked="0"/>
    </xf>
    <xf numFmtId="0" fontId="97" fillId="0" borderId="1" xfId="0" applyFont="1" applyFill="1" applyBorder="1" applyAlignment="1">
      <alignment horizontal="center" vertical="center"/>
    </xf>
    <xf numFmtId="0" fontId="97" fillId="0" borderId="5" xfId="18" applyFont="1" applyFill="1" applyBorder="1" applyAlignment="1" applyProtection="1">
      <alignment horizontal="center" vertical="center" wrapText="1"/>
    </xf>
    <xf numFmtId="0" fontId="97" fillId="0" borderId="1" xfId="18" applyFont="1" applyFill="1" applyBorder="1" applyAlignment="1" applyProtection="1">
      <alignment horizontal="center" vertical="center" wrapText="1"/>
    </xf>
    <xf numFmtId="2" fontId="97" fillId="0" borderId="1" xfId="18" applyNumberFormat="1" applyFont="1" applyFill="1" applyBorder="1" applyAlignment="1" applyProtection="1">
      <alignment horizontal="center" vertical="center" wrapText="1"/>
    </xf>
    <xf numFmtId="2" fontId="97" fillId="5" borderId="1" xfId="18" applyNumberFormat="1" applyFont="1" applyFill="1" applyBorder="1" applyAlignment="1" applyProtection="1">
      <alignment horizontal="center" vertical="center" wrapText="1"/>
    </xf>
    <xf numFmtId="9" fontId="97" fillId="0" borderId="1" xfId="18" applyNumberFormat="1" applyFont="1" applyFill="1" applyBorder="1" applyAlignment="1" applyProtection="1">
      <alignment horizontal="center" vertical="center" wrapText="1"/>
    </xf>
    <xf numFmtId="2" fontId="0" fillId="0" borderId="0" xfId="0" applyNumberFormat="1" applyFont="1" applyFill="1" applyAlignment="1">
      <alignment vertical="center"/>
    </xf>
    <xf numFmtId="2" fontId="0" fillId="5" borderId="0" xfId="0" applyNumberFormat="1" applyFont="1" applyFill="1" applyAlignment="1">
      <alignment vertical="center"/>
    </xf>
    <xf numFmtId="0" fontId="19" fillId="0" borderId="3" xfId="0" applyFont="1" applyFill="1" applyBorder="1" applyAlignment="1">
      <alignment horizontal="center" vertical="center" wrapText="1"/>
    </xf>
    <xf numFmtId="0" fontId="134" fillId="2"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9" fillId="9" borderId="0" xfId="17" applyFont="1" applyFill="1"/>
    <xf numFmtId="9" fontId="134" fillId="2" borderId="37"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0" fillId="0" borderId="0" xfId="0" applyAlignment="1">
      <alignment horizontal="center" vertical="center"/>
    </xf>
    <xf numFmtId="0" fontId="0" fillId="0" borderId="1" xfId="0" applyBorder="1" applyAlignment="1">
      <alignment horizontal="center"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97" fillId="0" borderId="1" xfId="19" applyFont="1" applyFill="1" applyBorder="1" applyAlignment="1" applyProtection="1">
      <alignment horizontal="center" vertical="center" wrapText="1"/>
      <protection locked="0"/>
    </xf>
    <xf numFmtId="0" fontId="83" fillId="0" borderId="1" xfId="0" applyFont="1" applyFill="1" applyBorder="1" applyAlignment="1">
      <alignment horizontal="center" vertical="center" wrapText="1"/>
    </xf>
    <xf numFmtId="0" fontId="83" fillId="0" borderId="1" xfId="18" applyFont="1" applyFill="1" applyBorder="1" applyAlignment="1" applyProtection="1">
      <alignment horizontal="center" vertical="center" wrapText="1"/>
      <protection locked="0"/>
    </xf>
    <xf numFmtId="0" fontId="83" fillId="0" borderId="5" xfId="18" applyFont="1" applyFill="1" applyBorder="1" applyAlignment="1" applyProtection="1">
      <alignment horizontal="center" vertical="center" wrapText="1"/>
      <protection locked="0"/>
    </xf>
    <xf numFmtId="0" fontId="83" fillId="0" borderId="3" xfId="18" applyFont="1" applyFill="1" applyBorder="1" applyAlignment="1" applyProtection="1">
      <alignment horizontal="center" vertical="center" wrapText="1"/>
      <protection locked="0"/>
    </xf>
    <xf numFmtId="0" fontId="83" fillId="0" borderId="5" xfId="0" applyFont="1" applyFill="1" applyBorder="1" applyAlignment="1">
      <alignment horizontal="center" vertical="center" wrapText="1"/>
    </xf>
    <xf numFmtId="0" fontId="83" fillId="0" borderId="3" xfId="0" applyFont="1" applyFill="1" applyBorder="1" applyAlignment="1">
      <alignment horizontal="center" vertical="center" wrapText="1"/>
    </xf>
    <xf numFmtId="0" fontId="254" fillId="0" borderId="0" xfId="0" applyFont="1" applyAlignment="1">
      <alignment horizontal="center" vertical="center"/>
    </xf>
    <xf numFmtId="1" fontId="254" fillId="0" borderId="0" xfId="0" applyNumberFormat="1" applyFont="1" applyAlignment="1">
      <alignment horizontal="center" vertical="center"/>
    </xf>
    <xf numFmtId="1" fontId="254" fillId="5" borderId="0" xfId="0" applyNumberFormat="1" applyFont="1" applyFill="1" applyAlignment="1">
      <alignment horizontal="center" vertical="center"/>
    </xf>
    <xf numFmtId="0" fontId="0" fillId="0" borderId="0" xfId="0" applyFont="1" applyAlignment="1">
      <alignment horizontal="center" vertical="center"/>
    </xf>
    <xf numFmtId="1" fontId="0" fillId="0" borderId="0" xfId="0" applyNumberFormat="1" applyFont="1" applyAlignment="1">
      <alignment horizontal="center" vertical="center"/>
    </xf>
    <xf numFmtId="1" fontId="0" fillId="5" borderId="0" xfId="0" applyNumberFormat="1" applyFont="1" applyFill="1" applyAlignment="1">
      <alignment horizontal="center" vertical="center"/>
    </xf>
    <xf numFmtId="1" fontId="19" fillId="0" borderId="1" xfId="0" applyNumberFormat="1" applyFont="1" applyFill="1" applyBorder="1" applyAlignment="1">
      <alignment horizontal="center" vertical="center"/>
    </xf>
    <xf numFmtId="1" fontId="19" fillId="5" borderId="1" xfId="0" applyNumberFormat="1" applyFont="1" applyFill="1" applyBorder="1" applyAlignment="1">
      <alignment horizontal="center" vertical="center"/>
    </xf>
    <xf numFmtId="1" fontId="19" fillId="0" borderId="46" xfId="0" applyNumberFormat="1" applyFont="1" applyFill="1" applyBorder="1" applyAlignment="1">
      <alignment horizontal="center" vertical="center"/>
    </xf>
    <xf numFmtId="0" fontId="19" fillId="0" borderId="36" xfId="0" applyFont="1" applyFill="1" applyBorder="1" applyAlignment="1">
      <alignment horizontal="center" vertical="center"/>
    </xf>
    <xf numFmtId="1" fontId="19" fillId="0" borderId="36" xfId="0" applyNumberFormat="1" applyFont="1" applyFill="1" applyBorder="1" applyAlignment="1">
      <alignment horizontal="center" vertical="center"/>
    </xf>
    <xf numFmtId="177" fontId="49" fillId="20" borderId="1" xfId="1" applyNumberFormat="1" applyFont="1" applyFill="1" applyBorder="1" applyAlignment="1" applyProtection="1">
      <alignment horizontal="center" vertical="center"/>
      <protection locked="0"/>
    </xf>
    <xf numFmtId="10" fontId="46" fillId="20" borderId="1" xfId="0" applyNumberFormat="1" applyFont="1" applyFill="1" applyBorder="1" applyAlignment="1" applyProtection="1">
      <alignment horizontal="center" vertical="center"/>
      <protection locked="0"/>
    </xf>
    <xf numFmtId="183" fontId="46" fillId="20" borderId="1" xfId="0" applyNumberFormat="1" applyFont="1" applyFill="1" applyBorder="1" applyAlignment="1" applyProtection="1">
      <alignment horizontal="center" vertical="center"/>
      <protection locked="0"/>
    </xf>
    <xf numFmtId="176" fontId="46" fillId="20" borderId="24" xfId="1" applyNumberFormat="1" applyFont="1" applyFill="1" applyBorder="1" applyAlignment="1" applyProtection="1">
      <alignment horizontal="center" vertical="center"/>
      <protection locked="0"/>
    </xf>
    <xf numFmtId="0" fontId="52" fillId="20" borderId="40" xfId="0" applyFont="1" applyFill="1" applyBorder="1" applyAlignment="1" applyProtection="1">
      <alignment vertical="center" wrapText="1"/>
    </xf>
    <xf numFmtId="0" fontId="46" fillId="20" borderId="28" xfId="0" applyFont="1" applyFill="1" applyBorder="1" applyAlignment="1" applyProtection="1">
      <alignment horizontal="center" vertical="center" wrapText="1"/>
    </xf>
    <xf numFmtId="0" fontId="46" fillId="20" borderId="13" xfId="0" applyFont="1" applyFill="1" applyBorder="1" applyAlignment="1" applyProtection="1">
      <alignment horizontal="center" vertical="center"/>
      <protection locked="0"/>
    </xf>
    <xf numFmtId="0" fontId="46" fillId="20" borderId="1" xfId="0" applyFont="1" applyFill="1" applyBorder="1" applyAlignment="1" applyProtection="1">
      <alignment horizontal="center" vertical="center"/>
      <protection locked="0"/>
    </xf>
    <xf numFmtId="0" fontId="46" fillId="20" borderId="15" xfId="0" applyFont="1" applyFill="1" applyBorder="1" applyAlignment="1" applyProtection="1">
      <alignment horizontal="center" vertical="center"/>
      <protection locked="0"/>
    </xf>
    <xf numFmtId="0" fontId="46" fillId="20" borderId="2" xfId="0" applyFont="1" applyFill="1" applyBorder="1" applyAlignment="1" applyProtection="1">
      <alignment horizontal="center" vertical="center"/>
      <protection locked="0"/>
    </xf>
    <xf numFmtId="0" fontId="55" fillId="20" borderId="0" xfId="0" applyFont="1" applyFill="1" applyBorder="1" applyAlignment="1" applyProtection="1">
      <alignment horizontal="center" vertical="center"/>
      <protection locked="0"/>
    </xf>
    <xf numFmtId="0" fontId="46" fillId="20" borderId="5" xfId="0" applyFont="1" applyFill="1" applyBorder="1" applyAlignment="1" applyProtection="1">
      <alignment horizontal="center" vertical="center" wrapText="1"/>
    </xf>
    <xf numFmtId="177" fontId="56" fillId="3" borderId="0" xfId="0" applyNumberFormat="1" applyFont="1" applyFill="1" applyAlignment="1" applyProtection="1">
      <alignment vertical="center"/>
      <protection locked="0"/>
    </xf>
    <xf numFmtId="0" fontId="46" fillId="9" borderId="23" xfId="0" applyNumberFormat="1" applyFont="1" applyFill="1" applyBorder="1" applyAlignment="1" applyProtection="1">
      <alignment horizontal="center" vertical="center" wrapText="1"/>
      <protection locked="0"/>
    </xf>
  </cellXfs>
  <cellStyles count="20">
    <cellStyle name="百分比 2" xfId="14" xr:uid="{00000000-0005-0000-0000-000000000000}"/>
    <cellStyle name="常规" xfId="0" builtinId="0"/>
    <cellStyle name="常规 10" xfId="17" xr:uid="{00000000-0005-0000-0000-00000200000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 name="常规_Sheet1" xfId="19" xr:uid="{00000000-0005-0000-0000-000012000000}"/>
    <cellStyle name="常规_资金申请表" xfId="18" xr:uid="{00000000-0005-0000-0000-000013000000}"/>
  </cellStyles>
  <dxfs count="24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20</xdr:row>
      <xdr:rowOff>57150</xdr:rowOff>
    </xdr:from>
    <xdr:to>
      <xdr:col>12</xdr:col>
      <xdr:colOff>665378</xdr:colOff>
      <xdr:row>56</xdr:row>
      <xdr:rowOff>56379</xdr:rowOff>
    </xdr:to>
    <xdr:pic>
      <xdr:nvPicPr>
        <xdr:cNvPr id="2" name="图片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xfrm>
          <a:off x="95250" y="3486150"/>
          <a:ext cx="10980953" cy="6171429"/>
        </a:xfrm>
        <a:prstGeom prst="rect">
          <a:avLst/>
        </a:prstGeom>
      </xdr:spPr>
    </xdr:pic>
    <xdr:clientData/>
  </xdr:twoCellAnchor>
  <xdr:twoCellAnchor editAs="oneCell">
    <xdr:from>
      <xdr:col>5</xdr:col>
      <xdr:colOff>0</xdr:colOff>
      <xdr:row>57</xdr:row>
      <xdr:rowOff>0</xdr:rowOff>
    </xdr:from>
    <xdr:to>
      <xdr:col>13</xdr:col>
      <xdr:colOff>665655</xdr:colOff>
      <xdr:row>100</xdr:row>
      <xdr:rowOff>37174</xdr:rowOff>
    </xdr:to>
    <xdr:pic>
      <xdr:nvPicPr>
        <xdr:cNvPr id="3" name="图片 2">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2"/>
        <a:stretch>
          <a:fillRect/>
        </a:stretch>
      </xdr:blipFill>
      <xdr:spPr>
        <a:xfrm>
          <a:off x="3000375" y="9772650"/>
          <a:ext cx="8761905" cy="7409524"/>
        </a:xfrm>
        <a:prstGeom prst="rect">
          <a:avLst/>
        </a:prstGeom>
      </xdr:spPr>
    </xdr:pic>
    <xdr:clientData/>
  </xdr:twoCellAnchor>
  <xdr:twoCellAnchor editAs="oneCell">
    <xdr:from>
      <xdr:col>5</xdr:col>
      <xdr:colOff>0</xdr:colOff>
      <xdr:row>100</xdr:row>
      <xdr:rowOff>0</xdr:rowOff>
    </xdr:from>
    <xdr:to>
      <xdr:col>13</xdr:col>
      <xdr:colOff>560893</xdr:colOff>
      <xdr:row>143</xdr:row>
      <xdr:rowOff>84793</xdr:rowOff>
    </xdr:to>
    <xdr:pic>
      <xdr:nvPicPr>
        <xdr:cNvPr id="4" name="图片 3">
          <a:extLst>
            <a:ext uri="{FF2B5EF4-FFF2-40B4-BE49-F238E27FC236}">
              <a16:creationId xmlns:a16="http://schemas.microsoft.com/office/drawing/2014/main" id="{00000000-0008-0000-3000-000004000000}"/>
            </a:ext>
          </a:extLst>
        </xdr:cNvPr>
        <xdr:cNvPicPr>
          <a:picLocks noChangeAspect="1"/>
        </xdr:cNvPicPr>
      </xdr:nvPicPr>
      <xdr:blipFill>
        <a:blip xmlns:r="http://schemas.openxmlformats.org/officeDocument/2006/relationships" r:embed="rId3"/>
        <a:stretch>
          <a:fillRect/>
        </a:stretch>
      </xdr:blipFill>
      <xdr:spPr>
        <a:xfrm>
          <a:off x="3000375" y="17145000"/>
          <a:ext cx="8657143" cy="7457143"/>
        </a:xfrm>
        <a:prstGeom prst="rect">
          <a:avLst/>
        </a:prstGeom>
      </xdr:spPr>
    </xdr:pic>
    <xdr:clientData/>
  </xdr:twoCellAnchor>
  <xdr:twoCellAnchor editAs="oneCell">
    <xdr:from>
      <xdr:col>4</xdr:col>
      <xdr:colOff>676275</xdr:colOff>
      <xdr:row>143</xdr:row>
      <xdr:rowOff>47625</xdr:rowOff>
    </xdr:from>
    <xdr:to>
      <xdr:col>14</xdr:col>
      <xdr:colOff>436997</xdr:colOff>
      <xdr:row>186</xdr:row>
      <xdr:rowOff>84799</xdr:rowOff>
    </xdr:to>
    <xdr:pic>
      <xdr:nvPicPr>
        <xdr:cNvPr id="5" name="图片 4">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4"/>
        <a:stretch>
          <a:fillRect/>
        </a:stretch>
      </xdr:blipFill>
      <xdr:spPr>
        <a:xfrm>
          <a:off x="2990850" y="24564975"/>
          <a:ext cx="9228572" cy="74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152400</xdr:colOff>
      <xdr:row>9</xdr:row>
      <xdr:rowOff>285750</xdr:rowOff>
    </xdr:from>
    <xdr:to>
      <xdr:col>15</xdr:col>
      <xdr:colOff>456502</xdr:colOff>
      <xdr:row>17</xdr:row>
      <xdr:rowOff>104384</xdr:rowOff>
    </xdr:to>
    <xdr:pic>
      <xdr:nvPicPr>
        <xdr:cNvPr id="2" name="图片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xfrm>
          <a:off x="5753100" y="3743325"/>
          <a:ext cx="5590477" cy="3133334"/>
        </a:xfrm>
        <a:prstGeom prst="rect">
          <a:avLst/>
        </a:prstGeom>
      </xdr:spPr>
    </xdr:pic>
    <xdr:clientData/>
  </xdr:twoCellAnchor>
  <xdr:twoCellAnchor editAs="oneCell">
    <xdr:from>
      <xdr:col>7</xdr:col>
      <xdr:colOff>695325</xdr:colOff>
      <xdr:row>17</xdr:row>
      <xdr:rowOff>257175</xdr:rowOff>
    </xdr:from>
    <xdr:to>
      <xdr:col>19</xdr:col>
      <xdr:colOff>141849</xdr:colOff>
      <xdr:row>27</xdr:row>
      <xdr:rowOff>275675</xdr:rowOff>
    </xdr:to>
    <xdr:pic>
      <xdr:nvPicPr>
        <xdr:cNvPr id="3" name="图片 2">
          <a:extLst>
            <a:ext uri="{FF2B5EF4-FFF2-40B4-BE49-F238E27FC236}">
              <a16:creationId xmlns:a16="http://schemas.microsoft.com/office/drawing/2014/main" id="{00000000-0008-0000-3100-000003000000}"/>
            </a:ext>
          </a:extLst>
        </xdr:cNvPr>
        <xdr:cNvPicPr>
          <a:picLocks noChangeAspect="1"/>
        </xdr:cNvPicPr>
      </xdr:nvPicPr>
      <xdr:blipFill>
        <a:blip xmlns:r="http://schemas.openxmlformats.org/officeDocument/2006/relationships" r:embed="rId2"/>
        <a:stretch>
          <a:fillRect/>
        </a:stretch>
      </xdr:blipFill>
      <xdr:spPr>
        <a:xfrm>
          <a:off x="5562600" y="7029450"/>
          <a:ext cx="8209524" cy="44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1&#28100;&#21338;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结果表-C2"/>
      <sheetName val="成本法-C2"/>
      <sheetName val="收益法-C2"/>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8">
          <cell r="L18">
            <v>37495.14</v>
          </cell>
        </row>
        <row r="19">
          <cell r="D19">
            <v>12088</v>
          </cell>
          <cell r="L19">
            <v>84875.29</v>
          </cell>
        </row>
        <row r="104">
          <cell r="C104">
            <v>79964</v>
          </cell>
        </row>
        <row r="118">
          <cell r="B118">
            <v>37495.14</v>
          </cell>
          <cell r="C118">
            <v>84875.29</v>
          </cell>
          <cell r="D118">
            <v>28867</v>
          </cell>
          <cell r="E118">
            <v>7698</v>
          </cell>
          <cell r="F118">
            <v>51097</v>
          </cell>
          <cell r="G118">
            <v>13628</v>
          </cell>
          <cell r="H118">
            <v>79964</v>
          </cell>
          <cell r="I118">
            <v>21326</v>
          </cell>
        </row>
      </sheetData>
      <sheetData sheetId="19">
        <row r="2">
          <cell r="B2">
            <v>116512</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18">
          <cell r="L18">
            <v>21299.25</v>
          </cell>
        </row>
        <row r="19">
          <cell r="D19">
            <v>6876</v>
          </cell>
          <cell r="L19">
            <v>48213.71</v>
          </cell>
        </row>
        <row r="104">
          <cell r="C104">
            <v>45428</v>
          </cell>
        </row>
        <row r="118">
          <cell r="B118">
            <v>21299.25</v>
          </cell>
          <cell r="C118">
            <v>48213.71</v>
          </cell>
          <cell r="D118">
            <v>16400</v>
          </cell>
          <cell r="E118">
            <v>7699</v>
          </cell>
          <cell r="F118">
            <v>29028</v>
          </cell>
          <cell r="G118">
            <v>13629</v>
          </cell>
          <cell r="H118">
            <v>45428</v>
          </cell>
          <cell r="I118">
            <v>21328</v>
          </cell>
        </row>
      </sheetData>
      <sheetData sheetId="46">
        <row r="2">
          <cell r="B2">
            <v>66186</v>
          </cell>
        </row>
      </sheetData>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房地产抵押价值预评估</v>
      </c>
    </row>
    <row r="3" spans="1:2" s="1365" customFormat="1">
      <c r="A3" s="1363" t="s">
        <v>1188</v>
      </c>
      <c r="B3" s="1364">
        <f>'预评函-封皮'!B40</f>
        <v>0</v>
      </c>
    </row>
    <row r="4" spans="1:2" s="1365" customFormat="1">
      <c r="A4" s="1363" t="s">
        <v>1189</v>
      </c>
      <c r="B4" s="1364" t="str">
        <f ca="1">'预评函-封皮'!B46</f>
        <v>吴薇（注册号：1419970001)、郑燚（注册号：1120070131)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受贵公司委托，我公司对房地产抵押价值进行了预评估。</v>
      </c>
    </row>
    <row r="7" spans="1:2" s="1365" customFormat="1">
      <c r="A7" s="1363" t="s">
        <v>1231</v>
      </c>
      <c r="B7" s="1364" t="str">
        <f>'预评函-1'!A7</f>
        <v>估价对象为房地产，为所有。根据《国有土地使用证》[]，估价对象（分摊）出让国有建设用地使用权面积为131807平方米，建筑面积为93605.4平方米。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估价对象为房地产,属开发建设的，该项目尚在开发建设中。根据《国有土地使用证》[]，估价对象（分摊）出让国有建设用地使用权面积为131807平方米，规划建筑面积为93605.4平方米。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2021年12月25日</v>
      </c>
    </row>
    <row r="13" spans="1:2" s="1365" customFormat="1">
      <c r="A13" s="1363" t="s">
        <v>1194</v>
      </c>
      <c r="B13" s="1364" t="str">
        <f>'预评函-1'!A18</f>
        <v>本次估价的“房地产价值”是指在正常市场情况下，在价值时点2021年12月25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103329</v>
      </c>
    </row>
    <row r="21" spans="1:2" s="1365" customFormat="1">
      <c r="A21" s="1363" t="s">
        <v>1202</v>
      </c>
      <c r="B21" s="1364">
        <f ca="1">'预评函-2'!D7</f>
        <v>22882</v>
      </c>
    </row>
    <row r="22" spans="1:2" s="1365" customFormat="1">
      <c r="A22" s="1363" t="s">
        <v>1203</v>
      </c>
      <c r="B22" s="1364" t="str">
        <f ca="1">'预评函-2'!D6</f>
        <v>壹拾亿叁仟叁佰贰拾玖万元整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103329</v>
      </c>
    </row>
    <row r="31" spans="1:2" s="1365" customFormat="1">
      <c r="A31" s="1363" t="s">
        <v>1241</v>
      </c>
      <c r="B31" s="1364">
        <f ca="1">'预评函-2'!D15</f>
        <v>11039</v>
      </c>
    </row>
    <row r="32" spans="1:2" s="1365" customFormat="1">
      <c r="A32" s="1363" t="s">
        <v>1208</v>
      </c>
      <c r="B32" s="1364" t="str">
        <f ca="1">'预评函-2'!D14</f>
        <v>壹拾亿叁仟叁佰贰拾玖万元整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房地产</v>
      </c>
    </row>
    <row r="42" spans="1:2" s="1365" customFormat="1">
      <c r="A42" s="1363" t="s">
        <v>1255</v>
      </c>
      <c r="B42" s="1364" t="str">
        <f>'预评函-3'!B2</f>
        <v>建筑面积</v>
      </c>
    </row>
    <row r="43" spans="1:2" s="1365" customFormat="1">
      <c r="A43" s="1363" t="s">
        <v>1256</v>
      </c>
      <c r="B43" s="1364">
        <f>'预评函-3'!B4</f>
        <v>93605.4</v>
      </c>
    </row>
    <row r="44" spans="1:2" s="1365" customFormat="1">
      <c r="A44" s="1363" t="s">
        <v>1240</v>
      </c>
      <c r="B44" s="1364" t="str">
        <f>'预评函-3'!C2</f>
        <v>(分摊)土地面积</v>
      </c>
    </row>
    <row r="45" spans="1:2" s="1365" customFormat="1">
      <c r="A45" s="1363" t="s">
        <v>1212</v>
      </c>
      <c r="B45" s="1364">
        <f>'预评函-3'!C4</f>
        <v>131807</v>
      </c>
    </row>
    <row r="46" spans="1:2" s="1365" customFormat="1">
      <c r="A46" s="1363" t="s">
        <v>1238</v>
      </c>
      <c r="B46" s="1364" t="str">
        <f>'预评函-3'!D2</f>
        <v>出让国有建设用地使用权价值</v>
      </c>
    </row>
    <row r="47" spans="1:2" s="1365" customFormat="1">
      <c r="A47" s="1363" t="s">
        <v>1213</v>
      </c>
      <c r="B47" s="1364">
        <f ca="1">'预评函-3'!D4</f>
        <v>21802</v>
      </c>
    </row>
    <row r="48" spans="1:2" s="1365" customFormat="1">
      <c r="A48" s="1363" t="s">
        <v>1214</v>
      </c>
      <c r="B48" s="1364">
        <f ca="1">'预评函-3'!E4</f>
        <v>4828</v>
      </c>
    </row>
    <row r="49" spans="1:2" s="1365" customFormat="1">
      <c r="A49" s="1363" t="s">
        <v>1215</v>
      </c>
      <c r="B49" s="1364" t="str">
        <f ca="1">'预评函-3'!D5</f>
        <v>贰亿壹仟捌佰零贰万元整</v>
      </c>
    </row>
    <row r="50" spans="1:2" s="1365" customFormat="1">
      <c r="A50" s="1363" t="s">
        <v>1239</v>
      </c>
      <c r="B50" s="1364" t="str">
        <f>'预评函-3'!F2</f>
        <v>在建建筑物价值</v>
      </c>
    </row>
    <row r="51" spans="1:2" s="1365" customFormat="1">
      <c r="A51" s="1363" t="s">
        <v>1216</v>
      </c>
      <c r="B51" s="1364">
        <f ca="1">'预评函-3'!F4</f>
        <v>81527</v>
      </c>
    </row>
    <row r="52" spans="1:2" s="1365" customFormat="1">
      <c r="A52" s="1363" t="s">
        <v>1217</v>
      </c>
      <c r="B52" s="1364">
        <f ca="1">'预评函-3'!G4</f>
        <v>18054</v>
      </c>
    </row>
    <row r="53" spans="1:2" s="1365" customFormat="1">
      <c r="A53" s="1363" t="s">
        <v>1245</v>
      </c>
      <c r="B53" s="1364" t="str">
        <f ca="1">'预评函-3'!F5</f>
        <v>捌亿壹仟伍佰贰拾柒万元整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吴薇</v>
      </c>
    </row>
    <row r="71" spans="1:2">
      <c r="A71" s="1363" t="s">
        <v>1228</v>
      </c>
      <c r="B71" s="1364">
        <f ca="1">'预评函-4'!B4</f>
        <v>1419970001</v>
      </c>
    </row>
    <row r="72" spans="1:2">
      <c r="A72" s="1363" t="s">
        <v>1229</v>
      </c>
      <c r="B72" s="1372" t="str">
        <f>'预评函-4'!A5</f>
        <v>郑燚</v>
      </c>
    </row>
    <row r="73" spans="1:2" s="1359" customFormat="1" ht="15" thickBot="1">
      <c r="A73" s="1366" t="s">
        <v>1230</v>
      </c>
      <c r="B73" s="1367">
        <f ca="1">'预评函-4'!B5</f>
        <v>1120070131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29" sqref="H29"/>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1651</v>
      </c>
      <c r="C1" s="1726" t="s">
        <v>759</v>
      </c>
      <c r="D1" s="1727" t="s">
        <v>1652</v>
      </c>
      <c r="E1" s="1727" t="s">
        <v>1653</v>
      </c>
      <c r="F1" s="1727" t="s">
        <v>1654</v>
      </c>
      <c r="G1" s="1727" t="s">
        <v>1655</v>
      </c>
      <c r="H1" s="1727" t="s">
        <v>1656</v>
      </c>
      <c r="I1" s="1727" t="s">
        <v>1657</v>
      </c>
      <c r="J1" s="1727" t="s">
        <v>1658</v>
      </c>
      <c r="K1" s="1727" t="s">
        <v>1659</v>
      </c>
      <c r="L1" s="1727" t="s">
        <v>1660</v>
      </c>
      <c r="M1" s="1727" t="s">
        <v>1661</v>
      </c>
      <c r="N1" s="1727" t="s">
        <v>1662</v>
      </c>
      <c r="O1" s="1727" t="s">
        <v>1663</v>
      </c>
      <c r="P1" s="1728" t="s">
        <v>753</v>
      </c>
      <c r="Q1" s="1728" t="s">
        <v>1112</v>
      </c>
      <c r="R1" s="1727" t="s">
        <v>1106</v>
      </c>
      <c r="S1" s="1727" t="s">
        <v>1664</v>
      </c>
      <c r="T1" s="1729" t="s">
        <v>1665</v>
      </c>
      <c r="U1" s="1727" t="s">
        <v>1666</v>
      </c>
      <c r="V1" s="1727" t="s">
        <v>1667</v>
      </c>
      <c r="W1" s="1727" t="s">
        <v>755</v>
      </c>
    </row>
    <row r="2" spans="1:23">
      <c r="A2" s="1731" t="s">
        <v>22</v>
      </c>
      <c r="B2" s="1731" t="s">
        <v>1668</v>
      </c>
      <c r="C2" s="1732" t="s">
        <v>760</v>
      </c>
      <c r="D2" s="1733" t="s">
        <v>1669</v>
      </c>
      <c r="E2" s="1733" t="s">
        <v>1670</v>
      </c>
      <c r="F2" s="1733" t="s">
        <v>1671</v>
      </c>
      <c r="G2" s="1733">
        <v>40</v>
      </c>
      <c r="H2" s="1733" t="s">
        <v>1671</v>
      </c>
      <c r="I2" s="1733" t="s">
        <v>1672</v>
      </c>
      <c r="J2" s="1733" t="s">
        <v>1673</v>
      </c>
      <c r="K2" s="1733" t="s">
        <v>1674</v>
      </c>
      <c r="L2" s="1733" t="s">
        <v>1674</v>
      </c>
      <c r="M2" s="1733" t="s">
        <v>1674</v>
      </c>
      <c r="N2" s="1733" t="s">
        <v>1674</v>
      </c>
      <c r="O2" s="1733" t="s">
        <v>1674</v>
      </c>
      <c r="P2" s="1733" t="s">
        <v>1674</v>
      </c>
      <c r="Q2" s="1733" t="s">
        <v>1674</v>
      </c>
      <c r="R2" s="1733" t="s">
        <v>1108</v>
      </c>
      <c r="S2" s="1733" t="s">
        <v>1674</v>
      </c>
      <c r="T2" s="1733" t="s">
        <v>1675</v>
      </c>
      <c r="U2" s="1733" t="s">
        <v>1674</v>
      </c>
      <c r="V2" s="1733" t="s">
        <v>1676</v>
      </c>
      <c r="W2" s="1733" t="s">
        <v>1674</v>
      </c>
    </row>
    <row r="3" spans="1:23">
      <c r="A3" s="1731" t="s">
        <v>1677</v>
      </c>
      <c r="B3" s="1734" t="s">
        <v>1113</v>
      </c>
      <c r="C3" s="1735" t="s">
        <v>761</v>
      </c>
      <c r="D3" s="1733" t="s">
        <v>1678</v>
      </c>
      <c r="E3" s="1733" t="s">
        <v>16</v>
      </c>
      <c r="F3" s="1733" t="s">
        <v>1679</v>
      </c>
      <c r="G3" s="1733">
        <v>50</v>
      </c>
      <c r="H3" s="1733" t="s">
        <v>1679</v>
      </c>
      <c r="I3" s="1733" t="s">
        <v>1680</v>
      </c>
      <c r="J3" s="1733" t="s">
        <v>1681</v>
      </c>
      <c r="K3" s="1733" t="s">
        <v>1682</v>
      </c>
      <c r="L3" s="1733" t="s">
        <v>1682</v>
      </c>
      <c r="M3" s="1733" t="s">
        <v>1682</v>
      </c>
      <c r="N3" s="1733" t="s">
        <v>1682</v>
      </c>
      <c r="O3" s="1733" t="s">
        <v>1682</v>
      </c>
      <c r="P3" s="1733" t="s">
        <v>1682</v>
      </c>
      <c r="Q3" s="1733" t="s">
        <v>1682</v>
      </c>
      <c r="R3" s="1733" t="s">
        <v>1107</v>
      </c>
      <c r="S3" s="1733" t="s">
        <v>1682</v>
      </c>
      <c r="T3" s="1733" t="s">
        <v>1683</v>
      </c>
      <c r="U3" s="1733" t="s">
        <v>1682</v>
      </c>
      <c r="V3" s="1733" t="s">
        <v>1684</v>
      </c>
      <c r="W3" s="1733" t="s">
        <v>1682</v>
      </c>
    </row>
    <row r="4" spans="1:23">
      <c r="A4" s="1731" t="s">
        <v>1685</v>
      </c>
      <c r="B4" s="1731" t="s">
        <v>1686</v>
      </c>
      <c r="C4" s="1732" t="s">
        <v>762</v>
      </c>
      <c r="D4" s="1733" t="s">
        <v>836</v>
      </c>
      <c r="E4" s="1733" t="s">
        <v>1687</v>
      </c>
      <c r="F4" s="1733" t="s">
        <v>1688</v>
      </c>
      <c r="G4" s="1733">
        <v>70</v>
      </c>
      <c r="H4" s="1733" t="s">
        <v>1688</v>
      </c>
      <c r="I4" s="1733" t="s">
        <v>1689</v>
      </c>
      <c r="K4" s="1733" t="s">
        <v>1690</v>
      </c>
      <c r="L4" s="1733" t="s">
        <v>1690</v>
      </c>
      <c r="M4" s="1733" t="s">
        <v>1690</v>
      </c>
      <c r="N4" s="1733" t="s">
        <v>1690</v>
      </c>
      <c r="O4" s="1733" t="s">
        <v>1690</v>
      </c>
      <c r="P4" s="1733" t="s">
        <v>1690</v>
      </c>
      <c r="Q4" s="1733" t="s">
        <v>1690</v>
      </c>
      <c r="R4" s="1733" t="s">
        <v>1109</v>
      </c>
      <c r="S4" s="1733" t="s">
        <v>1690</v>
      </c>
      <c r="T4" s="1733" t="s">
        <v>1691</v>
      </c>
      <c r="U4" s="1733" t="s">
        <v>1690</v>
      </c>
      <c r="W4" s="1733" t="s">
        <v>1690</v>
      </c>
    </row>
    <row r="5" spans="1:23">
      <c r="A5" s="1731" t="s">
        <v>1692</v>
      </c>
      <c r="B5" s="1731" t="s">
        <v>1693</v>
      </c>
      <c r="C5" s="1732" t="s">
        <v>763</v>
      </c>
      <c r="F5" s="1733" t="s">
        <v>1694</v>
      </c>
      <c r="H5" s="1733" t="s">
        <v>1695</v>
      </c>
      <c r="I5" s="1733" t="s">
        <v>1696</v>
      </c>
      <c r="K5" s="1733" t="s">
        <v>1697</v>
      </c>
      <c r="L5" s="1733" t="s">
        <v>1697</v>
      </c>
      <c r="M5" s="1733" t="s">
        <v>1697</v>
      </c>
      <c r="N5" s="1733" t="s">
        <v>1697</v>
      </c>
      <c r="O5" s="1733" t="s">
        <v>1697</v>
      </c>
      <c r="P5" s="1733" t="s">
        <v>1697</v>
      </c>
      <c r="Q5" s="1733" t="s">
        <v>1697</v>
      </c>
      <c r="R5" s="1733" t="s">
        <v>1110</v>
      </c>
      <c r="S5" s="1733" t="s">
        <v>1697</v>
      </c>
      <c r="T5" s="1733" t="s">
        <v>1698</v>
      </c>
      <c r="U5" s="1733" t="s">
        <v>1697</v>
      </c>
      <c r="W5" s="1733" t="s">
        <v>1697</v>
      </c>
    </row>
    <row r="6" spans="1:23">
      <c r="A6" s="1731" t="s">
        <v>1699</v>
      </c>
      <c r="B6" s="1734" t="s">
        <v>1114</v>
      </c>
      <c r="C6" s="1737" t="s">
        <v>30</v>
      </c>
      <c r="F6" s="1733" t="s">
        <v>1695</v>
      </c>
      <c r="H6" s="1733" t="s">
        <v>1700</v>
      </c>
      <c r="I6" s="1733" t="s">
        <v>1701</v>
      </c>
      <c r="K6" s="1733" t="s">
        <v>1702</v>
      </c>
      <c r="L6" s="1733" t="s">
        <v>1702</v>
      </c>
      <c r="M6" s="1733" t="s">
        <v>1702</v>
      </c>
      <c r="N6" s="1733" t="s">
        <v>1702</v>
      </c>
      <c r="O6" s="1733" t="s">
        <v>1702</v>
      </c>
      <c r="P6" s="1733" t="s">
        <v>1702</v>
      </c>
      <c r="Q6" s="1733" t="s">
        <v>1702</v>
      </c>
      <c r="R6" s="1733" t="s">
        <v>1111</v>
      </c>
      <c r="S6" s="1733" t="s">
        <v>1702</v>
      </c>
      <c r="T6" s="1733"/>
      <c r="U6" s="1733" t="s">
        <v>1702</v>
      </c>
      <c r="W6" s="1733" t="s">
        <v>1702</v>
      </c>
    </row>
    <row r="7" spans="1:23">
      <c r="A7" s="1731" t="s">
        <v>1703</v>
      </c>
      <c r="B7" s="1734" t="s">
        <v>1115</v>
      </c>
      <c r="C7" s="1732" t="s">
        <v>31</v>
      </c>
      <c r="F7" s="1733" t="s">
        <v>1704</v>
      </c>
      <c r="H7" s="1733" t="s">
        <v>1705</v>
      </c>
      <c r="I7" s="1733" t="s">
        <v>1706</v>
      </c>
    </row>
    <row r="8" spans="1:23">
      <c r="A8" s="1731" t="s">
        <v>1707</v>
      </c>
      <c r="B8" s="1731" t="s">
        <v>1708</v>
      </c>
      <c r="C8" s="1732" t="s">
        <v>764</v>
      </c>
      <c r="F8" s="1733" t="s">
        <v>1709</v>
      </c>
      <c r="H8" s="1733"/>
      <c r="I8" s="1733" t="s">
        <v>1710</v>
      </c>
    </row>
    <row r="9" spans="1:23">
      <c r="A9" s="1731" t="s">
        <v>1711</v>
      </c>
      <c r="B9" s="1731" t="s">
        <v>1712</v>
      </c>
      <c r="C9" s="1732" t="s">
        <v>765</v>
      </c>
      <c r="F9" s="1733" t="s">
        <v>1713</v>
      </c>
      <c r="H9" s="1733"/>
    </row>
    <row r="10" spans="1:23">
      <c r="A10" s="1731" t="s">
        <v>1714</v>
      </c>
      <c r="B10" s="1731" t="s">
        <v>1715</v>
      </c>
      <c r="C10" s="1732" t="s">
        <v>766</v>
      </c>
      <c r="F10" s="1733" t="s">
        <v>16</v>
      </c>
    </row>
    <row r="11" spans="1:23">
      <c r="A11" s="1731" t="s">
        <v>1716</v>
      </c>
      <c r="B11" s="1731" t="s">
        <v>1717</v>
      </c>
      <c r="C11" s="1732" t="s">
        <v>767</v>
      </c>
    </row>
    <row r="12" spans="1:23">
      <c r="A12" s="1731" t="s">
        <v>1718</v>
      </c>
      <c r="B12" s="1731" t="s">
        <v>1719</v>
      </c>
      <c r="C12" s="1732" t="s">
        <v>768</v>
      </c>
    </row>
    <row r="13" spans="1:23">
      <c r="A13" s="1731" t="s">
        <v>1720</v>
      </c>
      <c r="B13" s="1731" t="s">
        <v>1721</v>
      </c>
      <c r="C13" s="1732" t="s">
        <v>769</v>
      </c>
    </row>
    <row r="14" spans="1:23">
      <c r="A14" s="1731" t="s">
        <v>1722</v>
      </c>
      <c r="B14" s="1731" t="s">
        <v>1723</v>
      </c>
      <c r="C14" s="1733" t="s">
        <v>16</v>
      </c>
    </row>
    <row r="15" spans="1:23">
      <c r="A15" s="1731" t="s">
        <v>1724</v>
      </c>
      <c r="B15" s="1731" t="s">
        <v>1725</v>
      </c>
      <c r="C15" s="1732"/>
    </row>
    <row r="16" spans="1:23">
      <c r="A16" s="1731" t="s">
        <v>1726</v>
      </c>
      <c r="B16" s="1731" t="s">
        <v>756</v>
      </c>
      <c r="C16" s="1732"/>
    </row>
    <row r="17" spans="1:3">
      <c r="A17" s="1731" t="s">
        <v>1727</v>
      </c>
      <c r="B17" s="1731" t="s">
        <v>3035</v>
      </c>
      <c r="C17" s="1732"/>
    </row>
    <row r="18" spans="1:3">
      <c r="A18" s="1731" t="s">
        <v>1728</v>
      </c>
      <c r="B18" s="1731" t="s">
        <v>3500</v>
      </c>
      <c r="C18" s="1732"/>
    </row>
    <row r="19" spans="1:3">
      <c r="A19" s="1731" t="s">
        <v>1729</v>
      </c>
      <c r="B19" s="1731" t="s">
        <v>3502</v>
      </c>
      <c r="C19" s="1732"/>
    </row>
    <row r="20" spans="1:3">
      <c r="A20" s="1731" t="s">
        <v>1730</v>
      </c>
      <c r="B20" s="1731" t="s">
        <v>757</v>
      </c>
      <c r="C20" s="1732"/>
    </row>
    <row r="21" spans="1:3">
      <c r="A21" s="1731" t="s">
        <v>1731</v>
      </c>
      <c r="B21" s="1731" t="s">
        <v>757</v>
      </c>
      <c r="C21" s="1732"/>
    </row>
    <row r="22" spans="1:3">
      <c r="A22" s="1731" t="s">
        <v>1732</v>
      </c>
      <c r="B22" s="1731" t="s">
        <v>757</v>
      </c>
      <c r="C22" s="1732"/>
    </row>
    <row r="23" spans="1:3">
      <c r="A23" s="1731" t="s">
        <v>1733</v>
      </c>
      <c r="B23" s="1731" t="s">
        <v>757</v>
      </c>
      <c r="C23" s="1732"/>
    </row>
    <row r="24" spans="1:3">
      <c r="A24" s="1731" t="s">
        <v>1734</v>
      </c>
      <c r="B24" s="1731" t="s">
        <v>757</v>
      </c>
      <c r="C24" s="1732"/>
    </row>
    <row r="25" spans="1:3">
      <c r="A25" s="1731" t="s">
        <v>1735</v>
      </c>
      <c r="B25" s="1731" t="s">
        <v>757</v>
      </c>
      <c r="C25" s="1732"/>
    </row>
    <row r="26" spans="1:3">
      <c r="A26" s="1731" t="s">
        <v>1736</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210"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0"/>
      <c r="B54" s="1739" t="s">
        <v>832</v>
      </c>
      <c r="C54" s="1736" t="s">
        <v>1248</v>
      </c>
    </row>
    <row r="55" spans="1:4">
      <c r="A55" s="3210"/>
      <c r="B55" s="1739" t="s">
        <v>833</v>
      </c>
      <c r="C55" s="1736" t="s">
        <v>1249</v>
      </c>
    </row>
    <row r="56" spans="1:4">
      <c r="A56" s="3210"/>
      <c r="B56" s="1739" t="s">
        <v>834</v>
      </c>
      <c r="C56" s="1736" t="s">
        <v>1253</v>
      </c>
    </row>
    <row r="57" spans="1:4">
      <c r="A57" s="3210"/>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90" zoomScaleNormal="100" zoomScaleSheetLayoutView="90" workbookViewId="0">
      <selection activeCell="E29" sqref="E29"/>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2910</v>
      </c>
      <c r="B1" s="3219" t="str">
        <f>IF(B10="北京市","北京市",C10)&amp;F10&amp;IF(结果表!G1="在建","出让国有建设用地使用权及在建建筑物",IF(结果表!G1="土地","出让国有建设用地使用权",))&amp;B9&amp;"预评估"</f>
        <v>房地产抵押价值预评估</v>
      </c>
      <c r="C1" s="3220"/>
      <c r="D1" s="3220"/>
      <c r="E1" s="3220"/>
      <c r="F1" s="3220"/>
      <c r="G1" s="3220"/>
      <c r="H1" s="3220"/>
      <c r="I1" s="3221"/>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房地产抵押价值</v>
      </c>
      <c r="T1" s="1931"/>
      <c r="U1" s="1931"/>
      <c r="V1" s="1931"/>
      <c r="W1" s="1931"/>
      <c r="X1" s="1931"/>
      <c r="Y1" s="1931"/>
      <c r="Z1" s="1931"/>
      <c r="AA1" s="1931"/>
      <c r="AB1" s="1931"/>
    </row>
    <row r="2" spans="1:28">
      <c r="A2" s="2591" t="s">
        <v>2911</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房地产</v>
      </c>
      <c r="T2" s="1931"/>
      <c r="U2" s="1931"/>
      <c r="V2" s="1931"/>
      <c r="W2" s="1931"/>
      <c r="X2" s="1931"/>
      <c r="Y2" s="1931"/>
      <c r="Z2" s="1931"/>
      <c r="AA2" s="1931"/>
      <c r="AB2" s="1931"/>
    </row>
    <row r="3" spans="1:28">
      <c r="A3" s="308" t="s">
        <v>2912</v>
      </c>
      <c r="B3" s="2597"/>
      <c r="C3" s="2598" t="s">
        <v>2913</v>
      </c>
      <c r="D3" s="2597">
        <v>44555</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50" t="s">
        <v>2914</v>
      </c>
      <c r="B4" s="2599" t="s">
        <v>3514</v>
      </c>
      <c r="C4" s="2600">
        <f ca="1">SUMIF(注册房地产估价师,B4,估价师及机构信息!B3:B24)</f>
        <v>1419970001</v>
      </c>
      <c r="D4" s="2599" t="s">
        <v>3515</v>
      </c>
      <c r="E4" s="2601">
        <f ca="1">SUMIF(注册房地产估价师,D4,估价师及机构信息!B3:B24)</f>
        <v>1120070131</v>
      </c>
      <c r="F4" s="2599"/>
      <c r="G4" s="2601">
        <f>SUMIF(注册房地产估价师,F4,估价师及机构信息!B3:B24)</f>
        <v>0</v>
      </c>
      <c r="H4" s="2599"/>
      <c r="I4" s="2601">
        <f>SUMIF(注册房地产估价师,H4,估价师及机构信息!B3:B24)</f>
        <v>0</v>
      </c>
      <c r="J4" s="2665"/>
      <c r="K4" s="2602" t="str">
        <f ca="1">CONCATENATE(B4,"（注册号：",C4,")、",D4,"（注册号：",E4,")")</f>
        <v>吴薇（注册号：1419970001)、郑燚（注册号：1120070131)</v>
      </c>
      <c r="L4" s="2593"/>
      <c r="M4" s="2593"/>
      <c r="N4" s="2594"/>
      <c r="O4" s="1761"/>
      <c r="P4" s="2594"/>
      <c r="Q4" s="2594"/>
      <c r="R4" s="2594"/>
      <c r="S4" s="1868"/>
      <c r="T4" s="1931"/>
      <c r="U4" s="1931"/>
      <c r="V4" s="1931"/>
      <c r="W4" s="1931"/>
      <c r="X4" s="1931"/>
      <c r="Y4" s="1931"/>
      <c r="Z4" s="1931"/>
      <c r="AA4" s="1931"/>
      <c r="AB4" s="1931"/>
    </row>
    <row r="5" spans="1:28" ht="13.5" thickTop="1">
      <c r="A5" s="2603" t="s">
        <v>2915</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2916</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2917</v>
      </c>
      <c r="B7" s="2611"/>
      <c r="C7" s="2609"/>
      <c r="D7" s="2610"/>
      <c r="E7" s="2889"/>
      <c r="F7" s="2891"/>
      <c r="G7" s="2891"/>
      <c r="H7" s="2891"/>
      <c r="I7" s="2891"/>
      <c r="J7" s="2665"/>
      <c r="K7" s="2842"/>
      <c r="L7" s="2839"/>
      <c r="M7" s="2839"/>
      <c r="N7" s="2665"/>
      <c r="O7" s="2676"/>
      <c r="P7" s="2665"/>
      <c r="Q7" s="2665"/>
      <c r="R7" s="2665"/>
    </row>
    <row r="8" spans="1:28">
      <c r="A8" s="2612" t="s">
        <v>2918</v>
      </c>
      <c r="B8" s="2613" t="s">
        <v>3065</v>
      </c>
      <c r="C8" s="2614"/>
      <c r="D8" s="3222" t="s">
        <v>2919</v>
      </c>
      <c r="E8" s="2615" t="s">
        <v>3064</v>
      </c>
      <c r="F8" s="2616"/>
      <c r="G8" s="2890"/>
      <c r="H8" s="2890"/>
      <c r="I8" s="2890"/>
      <c r="J8" s="2665"/>
      <c r="K8" s="2840"/>
      <c r="L8" s="2839"/>
      <c r="M8" s="2839"/>
      <c r="N8" s="2665"/>
      <c r="O8" s="2676"/>
      <c r="P8" s="2665"/>
      <c r="Q8" s="2665"/>
      <c r="R8" s="2665"/>
    </row>
    <row r="9" spans="1:28" ht="13.5" thickBot="1">
      <c r="A9" s="2617" t="s">
        <v>2920</v>
      </c>
      <c r="B9" s="2618" t="s">
        <v>3064</v>
      </c>
      <c r="C9" s="2619"/>
      <c r="D9" s="3223"/>
      <c r="E9" s="2618"/>
      <c r="F9" s="2620"/>
      <c r="G9" s="2892"/>
      <c r="H9" s="2892"/>
      <c r="I9" s="2892"/>
      <c r="J9" s="2665"/>
      <c r="K9" s="2842"/>
      <c r="L9" s="2839"/>
      <c r="M9" s="2839"/>
      <c r="N9" s="2665"/>
      <c r="O9" s="2676"/>
      <c r="P9" s="2665"/>
      <c r="Q9" s="2665"/>
      <c r="R9" s="2665"/>
    </row>
    <row r="10" spans="1:28" ht="13.5" thickTop="1">
      <c r="A10" s="2621" t="s">
        <v>2921</v>
      </c>
      <c r="B10" s="2622" t="s">
        <v>3066</v>
      </c>
      <c r="C10" s="2623"/>
      <c r="D10" s="2606"/>
      <c r="E10" s="2624" t="s">
        <v>2922</v>
      </c>
      <c r="F10" s="2893"/>
      <c r="G10" s="2894"/>
      <c r="H10" s="2895"/>
      <c r="I10" s="2896"/>
      <c r="J10" s="2665"/>
      <c r="K10" s="2842"/>
      <c r="L10" s="2839"/>
      <c r="M10" s="2839"/>
      <c r="N10" s="2665"/>
      <c r="O10" s="2676"/>
      <c r="P10" s="2665"/>
      <c r="Q10" s="2665"/>
      <c r="R10" s="2665"/>
    </row>
    <row r="11" spans="1:28">
      <c r="A11" s="2625" t="s">
        <v>2923</v>
      </c>
      <c r="B11" s="2626" t="s">
        <v>3067</v>
      </c>
      <c r="C11" s="2627"/>
      <c r="D11" s="2628"/>
      <c r="E11" s="2594"/>
      <c r="F11" s="2594"/>
      <c r="G11" s="2594"/>
      <c r="H11" s="2594"/>
      <c r="I11" s="2594"/>
      <c r="J11" s="2665"/>
      <c r="K11" s="2842"/>
      <c r="L11" s="2839"/>
      <c r="M11" s="2839"/>
      <c r="N11" s="2665"/>
      <c r="O11" s="2676"/>
      <c r="P11" s="2665"/>
      <c r="Q11" s="2665"/>
      <c r="R11" s="2665"/>
    </row>
    <row r="12" spans="1:28">
      <c r="A12" s="2629" t="s">
        <v>2924</v>
      </c>
      <c r="B12" s="2626" t="s">
        <v>3068</v>
      </c>
      <c r="C12" s="329" t="s">
        <v>2925</v>
      </c>
      <c r="D12" s="2630" t="s">
        <v>2926</v>
      </c>
      <c r="E12" s="2630" t="s">
        <v>2927</v>
      </c>
      <c r="F12" s="2630" t="s">
        <v>2928</v>
      </c>
      <c r="G12" s="2630" t="s">
        <v>2929</v>
      </c>
      <c r="H12" s="2630" t="s">
        <v>2930</v>
      </c>
      <c r="I12" s="2630" t="s">
        <v>2931</v>
      </c>
      <c r="J12" s="2665"/>
      <c r="K12" s="2842"/>
      <c r="L12" s="2839"/>
      <c r="M12" s="2839"/>
      <c r="N12" s="2665"/>
      <c r="O12" s="2676"/>
      <c r="P12" s="2665"/>
      <c r="Q12" s="2665"/>
      <c r="R12" s="2665"/>
    </row>
    <row r="13" spans="1:28">
      <c r="A13" s="1241"/>
      <c r="B13" s="2631"/>
      <c r="C13" s="2632" t="s">
        <v>2932</v>
      </c>
      <c r="D13" s="965"/>
      <c r="E13" s="965">
        <v>59916</v>
      </c>
      <c r="F13" s="965"/>
      <c r="G13" s="965"/>
      <c r="H13" s="965"/>
      <c r="I13" s="965"/>
      <c r="J13" s="2665"/>
      <c r="K13" s="2842"/>
      <c r="L13" s="2839"/>
      <c r="M13" s="2839"/>
      <c r="N13" s="2665"/>
      <c r="O13" s="2676"/>
      <c r="P13" s="2665"/>
      <c r="Q13" s="2665"/>
      <c r="R13" s="2665"/>
    </row>
    <row r="14" spans="1:28">
      <c r="A14" s="1241"/>
      <c r="B14" s="2631"/>
      <c r="C14" s="2632" t="s">
        <v>2933</v>
      </c>
      <c r="D14" s="2633"/>
      <c r="E14" s="2633">
        <v>50</v>
      </c>
      <c r="F14" s="2633"/>
      <c r="G14" s="2633"/>
      <c r="H14" s="2633"/>
      <c r="I14" s="2633"/>
      <c r="J14" s="2665"/>
      <c r="K14" s="2843"/>
      <c r="L14" s="2839"/>
      <c r="M14" s="2839"/>
      <c r="N14" s="2665"/>
      <c r="O14" s="2676"/>
      <c r="P14" s="2665"/>
      <c r="Q14" s="2665"/>
      <c r="R14" s="2665"/>
    </row>
    <row r="15" spans="1:28">
      <c r="A15" s="326"/>
      <c r="B15" s="2634"/>
      <c r="C15" s="2635" t="s">
        <v>2934</v>
      </c>
      <c r="D15" s="2636" t="str">
        <f>IF(B12="出让",IF(D13="","",ROUNDDOWN(MIN((D13-$D$3)/365,D14),2)),D14)</f>
        <v/>
      </c>
      <c r="E15" s="2636">
        <f>IF(B12="出让",IF(E13="","",ROUNDDOWN(MIN((E13-$D$3)/365,E14),2)),E14)</f>
        <v>42.08</v>
      </c>
      <c r="F15" s="2636" t="str">
        <f>IF(B12="出让",IF(F13="","",ROUNDDOWN(MIN((F13-$D$3)/365,F14),2)),F14)</f>
        <v/>
      </c>
      <c r="G15" s="2636" t="str">
        <f>IF(B12="出让",IF(G13="","",ROUNDDOWN(MIN((G13-$D$3)/365,G14),2)),G14)</f>
        <v/>
      </c>
      <c r="H15" s="2636" t="str">
        <f>IF(B12="出让",IF(H13="","",ROUNDDOWN(MIN((H13-$D$3)/365,H14),2)),H14)</f>
        <v/>
      </c>
      <c r="I15" s="2636" t="str">
        <f>IF(B12="出让",IF(I13="","",ROUNDDOWN(MIN((I13-$D$3)/365,I14),2)),I14)</f>
        <v/>
      </c>
      <c r="J15" s="2665"/>
      <c r="K15" s="2844"/>
      <c r="L15" s="2677"/>
      <c r="M15" s="2677"/>
      <c r="N15" s="2735"/>
      <c r="O15" s="2677"/>
      <c r="P15" s="2735"/>
      <c r="Q15" s="2665"/>
      <c r="R15" s="2665"/>
    </row>
    <row r="16" spans="1:28">
      <c r="A16" s="2624" t="s">
        <v>2935</v>
      </c>
      <c r="B16" s="3229"/>
      <c r="C16" s="3230"/>
      <c r="D16" s="3231"/>
      <c r="E16" s="2639" t="s">
        <v>2936</v>
      </c>
      <c r="F16" s="3232"/>
      <c r="G16" s="3233"/>
      <c r="H16" s="3233"/>
      <c r="I16" s="3234"/>
      <c r="J16" s="2665"/>
      <c r="K16" s="2844"/>
      <c r="L16" s="2677"/>
      <c r="M16" s="2677"/>
      <c r="N16" s="2735"/>
      <c r="O16" s="2677"/>
      <c r="P16" s="2735"/>
      <c r="Q16" s="2665"/>
      <c r="R16" s="2665"/>
    </row>
    <row r="17" spans="1:28">
      <c r="A17" s="319" t="s">
        <v>2937</v>
      </c>
      <c r="B17" s="308" t="s">
        <v>2938</v>
      </c>
      <c r="C17" s="11">
        <f>'数据-汇总表'!E3</f>
        <v>93605.4</v>
      </c>
      <c r="D17" s="2545" t="s">
        <v>2939</v>
      </c>
      <c r="E17" s="3235" t="s">
        <v>2940</v>
      </c>
      <c r="F17" s="3236"/>
      <c r="G17" s="3236"/>
      <c r="H17" s="3236"/>
      <c r="I17" s="3237"/>
      <c r="J17" s="2665"/>
      <c r="K17" s="2845"/>
      <c r="L17" s="2677"/>
      <c r="M17" s="2677"/>
      <c r="N17" s="2735"/>
      <c r="O17" s="2677"/>
      <c r="P17" s="2735"/>
      <c r="Q17" s="2665"/>
      <c r="R17" s="2665"/>
      <c r="S17" s="2665"/>
      <c r="T17" s="2665"/>
      <c r="U17" s="2665"/>
      <c r="V17" s="2665"/>
    </row>
    <row r="18" spans="1:28" ht="24.75" thickBot="1">
      <c r="A18" s="2640" t="s">
        <v>2941</v>
      </c>
      <c r="B18" s="1250" t="s">
        <v>2942</v>
      </c>
      <c r="C18" s="2641">
        <f>'数据-汇总表'!D3</f>
        <v>131807</v>
      </c>
      <c r="D18" s="1252" t="s">
        <v>2943</v>
      </c>
      <c r="E18" s="3238" t="s">
        <v>2944</v>
      </c>
      <c r="F18" s="3239"/>
      <c r="G18" s="3239"/>
      <c r="H18" s="3239"/>
      <c r="I18" s="3240"/>
      <c r="J18" s="2665"/>
      <c r="K18" s="2845"/>
      <c r="L18" s="2677"/>
      <c r="M18" s="2677"/>
      <c r="N18" s="2735"/>
      <c r="O18" s="2677"/>
      <c r="P18" s="2735"/>
      <c r="Q18" s="2665"/>
      <c r="R18" s="2665"/>
      <c r="S18" s="2665"/>
      <c r="T18" s="2665"/>
      <c r="U18" s="2665"/>
      <c r="V18" s="2665"/>
    </row>
    <row r="19" spans="1:28" ht="37.5" thickTop="1" thickBot="1">
      <c r="A19" s="333" t="s">
        <v>1737</v>
      </c>
      <c r="B19" s="313" t="s">
        <v>2945</v>
      </c>
      <c r="C19" s="1748"/>
      <c r="D19" s="1749" t="s">
        <v>2946</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2947</v>
      </c>
      <c r="B20" s="3225" t="s">
        <v>2948</v>
      </c>
      <c r="C20" s="3226"/>
      <c r="D20" s="3227" t="s">
        <v>2949</v>
      </c>
      <c r="E20" s="3228"/>
      <c r="F20" s="2874" t="s">
        <v>1738</v>
      </c>
      <c r="G20" s="2891"/>
      <c r="H20" s="2891"/>
      <c r="I20" s="2891"/>
      <c r="J20" s="2665"/>
      <c r="K20" s="3224" t="s">
        <v>2950</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2951</v>
      </c>
      <c r="C21" s="2861" t="s">
        <v>1739</v>
      </c>
      <c r="D21" s="1753" t="s">
        <v>2952</v>
      </c>
      <c r="E21" s="2862" t="s">
        <v>1739</v>
      </c>
      <c r="F21" s="2875"/>
      <c r="G21" s="2891"/>
      <c r="H21" s="2891"/>
      <c r="I21" s="2891"/>
      <c r="J21" s="2665"/>
      <c r="K21" s="322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2953</v>
      </c>
      <c r="C22" s="2861" t="s">
        <v>1740</v>
      </c>
      <c r="D22" s="2890"/>
      <c r="E22" s="2890"/>
      <c r="F22" s="2890"/>
      <c r="G22" s="2891"/>
      <c r="H22" s="2891"/>
      <c r="I22" s="2891"/>
      <c r="J22" s="2665"/>
      <c r="K22" s="322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2954</v>
      </c>
      <c r="B23" s="2728" t="s">
        <v>2955</v>
      </c>
      <c r="C23" s="2865"/>
      <c r="D23" s="2866" t="s">
        <v>2955</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1741</v>
      </c>
      <c r="C24" s="2868"/>
      <c r="D24" s="2864" t="s">
        <v>1741</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1742</v>
      </c>
      <c r="C25" s="2868"/>
      <c r="D25" s="2864" t="s">
        <v>1742</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1743</v>
      </c>
      <c r="C26" s="2872"/>
      <c r="D26" s="2870" t="s">
        <v>1743</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212" t="s">
        <v>2956</v>
      </c>
      <c r="B27" s="326" t="s">
        <v>2957</v>
      </c>
      <c r="C27" s="2642"/>
      <c r="D27" s="2643"/>
      <c r="E27" s="2891"/>
      <c r="F27" s="2891"/>
      <c r="G27" s="2891"/>
      <c r="H27" s="2891"/>
      <c r="I27" s="2891"/>
      <c r="J27" s="2665"/>
      <c r="K27" s="2844"/>
      <c r="L27" s="2677"/>
      <c r="M27" s="2677"/>
      <c r="N27" s="2735"/>
      <c r="O27" s="2677"/>
      <c r="P27" s="2735"/>
      <c r="Q27" s="2665"/>
      <c r="R27" s="2665"/>
      <c r="S27" s="2665"/>
      <c r="T27" s="2665"/>
      <c r="U27" s="2665"/>
      <c r="V27" s="2665"/>
    </row>
    <row r="28" spans="1:28">
      <c r="A28" s="3212"/>
      <c r="B28" s="308" t="s">
        <v>2958</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212"/>
      <c r="B29" s="308" t="s">
        <v>2959</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213"/>
      <c r="B30" s="308" t="s">
        <v>2960</v>
      </c>
      <c r="C30" s="3214"/>
      <c r="D30" s="3215"/>
      <c r="E30" s="2891"/>
      <c r="F30" s="2891"/>
      <c r="G30" s="2891"/>
      <c r="H30" s="2891"/>
      <c r="I30" s="2891"/>
      <c r="J30" s="2665"/>
      <c r="K30" s="2842"/>
      <c r="L30" s="2839"/>
      <c r="M30" s="2839"/>
      <c r="N30" s="2665"/>
      <c r="O30" s="2676"/>
      <c r="P30" s="2665"/>
      <c r="Q30" s="2665"/>
      <c r="R30" s="2665"/>
      <c r="S30" s="2665"/>
      <c r="T30" s="2665"/>
      <c r="U30" s="2665"/>
      <c r="V30" s="2665"/>
    </row>
    <row r="31" spans="1:28">
      <c r="A31" s="3216" t="s">
        <v>2961</v>
      </c>
      <c r="B31" s="2648"/>
      <c r="C31" s="2546" t="str">
        <f>IF(B31="现房","成新及维护状况正常否",IF(B31="在建","工程状态是否正常",IF(B31="土地","是否闲置","-")))</f>
        <v>-</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217"/>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217"/>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8" t="s">
        <v>2962</v>
      </c>
      <c r="B34" s="2214"/>
      <c r="C34" s="2214"/>
      <c r="D34" s="2214"/>
      <c r="E34" s="2214"/>
      <c r="F34" s="2214"/>
      <c r="G34" s="2214"/>
      <c r="H34" s="2214"/>
      <c r="I34" s="2891"/>
      <c r="J34" s="2665"/>
      <c r="K34" s="2653">
        <f>COUNTIF(B34:H34,"——")</f>
        <v>0</v>
      </c>
      <c r="L34" s="329" t="s">
        <v>2963</v>
      </c>
      <c r="M34" s="329" t="s">
        <v>2964</v>
      </c>
      <c r="N34" s="329" t="s">
        <v>2965</v>
      </c>
      <c r="O34" s="329" t="s">
        <v>2966</v>
      </c>
      <c r="P34" s="329" t="s">
        <v>2967</v>
      </c>
      <c r="Q34" s="329" t="s">
        <v>2968</v>
      </c>
      <c r="R34" s="329" t="s">
        <v>2969</v>
      </c>
      <c r="S34" s="3211" t="s">
        <v>2970</v>
      </c>
      <c r="T34" s="2654" t="str">
        <f>NUMBERSTRING(7-K34,1)&amp;"通"</f>
        <v>七通</v>
      </c>
      <c r="U34" s="2665"/>
      <c r="V34" s="2665"/>
    </row>
    <row r="35" spans="1:30">
      <c r="A35" s="2655"/>
      <c r="B35" s="3218" t="s">
        <v>2971</v>
      </c>
      <c r="C35" s="3218"/>
      <c r="D35" s="3218"/>
      <c r="E35" s="3218"/>
      <c r="F35" s="673">
        <f>C10</f>
        <v>0</v>
      </c>
      <c r="G35" s="2891"/>
      <c r="H35" s="2891"/>
      <c r="I35" s="2891"/>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11"/>
      <c r="T35" s="335" t="str">
        <f>IF(T34="一通",L35,IF(T34="二通",M35,IF(T34="三通",N35,IF(T34="四通",O35,IF(T34="五通",P35,IF(T34="六通",Q35,R35))))))</f>
        <v>、、、、、、</v>
      </c>
      <c r="U35" s="2665"/>
      <c r="V35" s="2665"/>
    </row>
    <row r="36" spans="1:30">
      <c r="A36" s="2656"/>
      <c r="B36" s="673" t="s">
        <v>2927</v>
      </c>
      <c r="C36" s="673" t="s">
        <v>2928</v>
      </c>
      <c r="D36" s="673" t="s">
        <v>2926</v>
      </c>
      <c r="E36" s="673" t="s">
        <v>2931</v>
      </c>
      <c r="F36" s="2897"/>
      <c r="G36" s="2891"/>
      <c r="H36" s="2891"/>
      <c r="I36" s="2891"/>
      <c r="J36" s="2665"/>
      <c r="K36" s="2842"/>
      <c r="L36" s="2839"/>
      <c r="M36" s="2839"/>
      <c r="N36" s="2665"/>
      <c r="O36" s="2676"/>
      <c r="P36" s="2665"/>
      <c r="Q36" s="2665"/>
      <c r="R36" s="2665"/>
      <c r="S36" s="2665"/>
      <c r="T36" s="2665"/>
      <c r="U36" s="2665"/>
      <c r="V36" s="2665"/>
    </row>
    <row r="37" spans="1:30">
      <c r="A37" s="2857" t="s">
        <v>2972</v>
      </c>
      <c r="B37" s="2657"/>
      <c r="C37" s="2657"/>
      <c r="D37" s="2657"/>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2973</v>
      </c>
      <c r="B38" s="2658"/>
      <c r="C38" s="2658"/>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2974</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2975</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9" t="s">
        <v>2976</v>
      </c>
      <c r="B42" s="11" t="s">
        <v>2977</v>
      </c>
      <c r="C42" s="11" t="s">
        <v>2978</v>
      </c>
      <c r="D42" s="11" t="s">
        <v>2979</v>
      </c>
      <c r="E42" s="11" t="s">
        <v>2980</v>
      </c>
      <c r="F42" s="11" t="s">
        <v>2981</v>
      </c>
      <c r="G42" s="11" t="s">
        <v>2982</v>
      </c>
      <c r="H42" s="11" t="s">
        <v>2983</v>
      </c>
      <c r="I42" s="11" t="s">
        <v>2984</v>
      </c>
      <c r="J42" s="2853" t="s">
        <v>2985</v>
      </c>
      <c r="K42" s="2854" t="s">
        <v>2986</v>
      </c>
      <c r="L42" s="2854" t="s">
        <v>2987</v>
      </c>
      <c r="M42" s="2854" t="s">
        <v>2988</v>
      </c>
      <c r="N42" s="2847" t="s">
        <v>2989</v>
      </c>
      <c r="O42" s="2847" t="s">
        <v>2990</v>
      </c>
      <c r="P42" s="2847" t="s">
        <v>2991</v>
      </c>
      <c r="Q42" s="2848" t="s">
        <v>2992</v>
      </c>
      <c r="R42" s="2848" t="s">
        <v>2993</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1744</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1745</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1746</v>
      </c>
      <c r="B2" s="11" t="s">
        <v>1747</v>
      </c>
      <c r="C2" s="11" t="s">
        <v>1748</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1749</v>
      </c>
      <c r="AZ2" s="1180" t="s">
        <v>1750</v>
      </c>
      <c r="BA2" s="11" t="s">
        <v>1751</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f>面积!C6</f>
        <v>131807</v>
      </c>
      <c r="B3" s="14">
        <f>IF(C3="否",G5-AT5,G5)</f>
        <v>93605.4</v>
      </c>
      <c r="C3" s="1765" t="s">
        <v>1752</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1753</v>
      </c>
      <c r="B5" s="1531"/>
      <c r="C5" s="1531"/>
      <c r="D5" s="1533"/>
      <c r="E5" s="16" t="s">
        <v>1</v>
      </c>
      <c r="F5" s="16">
        <f>SUM(F13:F587)</f>
        <v>0</v>
      </c>
      <c r="G5" s="16">
        <f>SUM(G13:G587)</f>
        <v>93605.4</v>
      </c>
      <c r="H5" s="16">
        <f t="shared" ref="H5:AT5" si="0">SUM(H13:H656)</f>
        <v>93605.4</v>
      </c>
      <c r="I5" s="16">
        <f t="shared" si="0"/>
        <v>93605.4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1753</v>
      </c>
      <c r="AW5" s="1531"/>
      <c r="AX5" s="1531"/>
      <c r="AY5" s="17" t="s">
        <v>3</v>
      </c>
      <c r="AZ5" s="18">
        <f t="shared" ref="AZ5:BT5" si="1">SUM(AZ13:AZ656)</f>
        <v>93605.4</v>
      </c>
      <c r="BA5" s="18">
        <f t="shared" si="1"/>
        <v>93605.4</v>
      </c>
      <c r="BB5" s="18">
        <f t="shared" si="1"/>
        <v>93605.4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1754</v>
      </c>
      <c r="B6" s="1771"/>
      <c r="C6" s="1771"/>
      <c r="D6" s="1772"/>
      <c r="E6" s="16">
        <f>H6+AC6+AT6</f>
        <v>131807</v>
      </c>
      <c r="F6" s="16" t="s">
        <v>1</v>
      </c>
      <c r="G6" s="16" t="s">
        <v>2</v>
      </c>
      <c r="H6" s="20">
        <f>SUMIF(I$12:AB$12,"总值",I6:AB6)</f>
        <v>131807</v>
      </c>
      <c r="I6" s="16">
        <f t="shared" ref="I6:AB6" si="2">ROUND($A$3*I5/$B$3,2)</f>
        <v>131807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1754</v>
      </c>
      <c r="AW6" s="1771"/>
      <c r="AX6" s="1771"/>
      <c r="AY6" s="21">
        <f>IF(AY3&gt;0,AY3,ROUND($A$3*AZ5/$B$3,2))</f>
        <v>131807</v>
      </c>
      <c r="AZ6" s="16" t="s">
        <v>3</v>
      </c>
      <c r="BA6" s="16">
        <f>ROUND($AY$6*BA5/$AZ$5,2)</f>
        <v>131807</v>
      </c>
      <c r="BB6" s="16">
        <f>ROUND($AY$6*BB5/$AZ$5,2)</f>
        <v>131807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1755</v>
      </c>
      <c r="B7" s="1754" t="s">
        <v>1756</v>
      </c>
      <c r="C7" s="1754" t="s">
        <v>1757</v>
      </c>
      <c r="D7" s="1754" t="s">
        <v>1758</v>
      </c>
      <c r="E7" s="1754" t="s">
        <v>1759</v>
      </c>
      <c r="F7" s="1754" t="s">
        <v>1760</v>
      </c>
      <c r="G7" s="1775" t="s">
        <v>1761</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1762</v>
      </c>
      <c r="AV7" s="23" t="s">
        <v>1763</v>
      </c>
      <c r="AW7" s="1763" t="s">
        <v>1764</v>
      </c>
      <c r="AX7" s="23" t="s">
        <v>1757</v>
      </c>
      <c r="AY7" s="1531" t="s">
        <v>1765</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1766</v>
      </c>
      <c r="H8" s="1781" t="s">
        <v>1767</v>
      </c>
      <c r="I8" s="1782"/>
      <c r="J8" s="1544"/>
      <c r="K8" s="1544"/>
      <c r="L8" s="1544"/>
      <c r="M8" s="1544"/>
      <c r="N8" s="1544"/>
      <c r="O8" s="1544"/>
      <c r="P8" s="1544"/>
      <c r="Q8" s="1544"/>
      <c r="R8" s="1544"/>
      <c r="S8" s="1544"/>
      <c r="T8" s="1544"/>
      <c r="U8" s="1544"/>
      <c r="V8" s="1783"/>
      <c r="W8" s="1544"/>
      <c r="X8" s="1544"/>
      <c r="Y8" s="1544"/>
      <c r="Z8" s="1544"/>
      <c r="AA8" s="1783"/>
      <c r="AB8" s="1784"/>
      <c r="AC8" s="918" t="s">
        <v>1768</v>
      </c>
      <c r="AD8" s="1785"/>
      <c r="AE8" s="1777"/>
      <c r="AF8" s="1544"/>
      <c r="AG8" s="1544"/>
      <c r="AH8" s="1544"/>
      <c r="AI8" s="1544"/>
      <c r="AJ8" s="1544"/>
      <c r="AK8" s="1544"/>
      <c r="AL8" s="1544"/>
      <c r="AM8" s="1544"/>
      <c r="AN8" s="1544"/>
      <c r="AO8" s="1544"/>
      <c r="AP8" s="1544"/>
      <c r="AQ8" s="1544"/>
      <c r="AR8" s="1544"/>
      <c r="AS8" s="1544"/>
      <c r="AT8" s="1202" t="s">
        <v>1769</v>
      </c>
      <c r="AU8" s="1779" t="s">
        <v>1770</v>
      </c>
      <c r="AV8" s="1202"/>
      <c r="AW8" s="1762"/>
      <c r="AX8" s="1202"/>
      <c r="AY8" s="1763" t="s">
        <v>1771</v>
      </c>
      <c r="AZ8" s="1543" t="s">
        <v>1772</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1773</v>
      </c>
      <c r="I9" s="1788" t="s">
        <v>3069</v>
      </c>
      <c r="J9" s="918"/>
      <c r="K9" s="1788"/>
      <c r="L9" s="918"/>
      <c r="M9" s="1788"/>
      <c r="N9" s="918"/>
      <c r="O9" s="1788"/>
      <c r="P9" s="918"/>
      <c r="Q9" s="1788"/>
      <c r="R9" s="918"/>
      <c r="S9" s="1788"/>
      <c r="T9" s="918"/>
      <c r="U9" s="1788"/>
      <c r="V9" s="918"/>
      <c r="W9" s="1788"/>
      <c r="X9" s="1789"/>
      <c r="Y9" s="1788"/>
      <c r="Z9" s="918"/>
      <c r="AA9" s="1788"/>
      <c r="AB9" s="918"/>
      <c r="AC9" s="1780" t="s">
        <v>1773</v>
      </c>
      <c r="AD9" s="15" t="s">
        <v>1774</v>
      </c>
      <c r="AE9" s="1208"/>
      <c r="AF9" s="15" t="s">
        <v>1775</v>
      </c>
      <c r="AG9" s="1208"/>
      <c r="AH9" s="15" t="s">
        <v>1774</v>
      </c>
      <c r="AI9" s="1208"/>
      <c r="AJ9" s="15" t="s">
        <v>1775</v>
      </c>
      <c r="AK9" s="1208"/>
      <c r="AL9" s="15" t="s">
        <v>1774</v>
      </c>
      <c r="AM9" s="1208"/>
      <c r="AN9" s="15" t="s">
        <v>1775</v>
      </c>
      <c r="AO9" s="1208"/>
      <c r="AP9" s="15" t="s">
        <v>1774</v>
      </c>
      <c r="AQ9" s="1208"/>
      <c r="AR9" s="15" t="s">
        <v>1775</v>
      </c>
      <c r="AS9" s="1790"/>
      <c r="AT9" s="1779"/>
      <c r="AU9" s="1779" t="s">
        <v>1776</v>
      </c>
      <c r="AV9" s="1202"/>
      <c r="AW9" s="1762"/>
      <c r="AX9" s="1202"/>
      <c r="AY9" s="28"/>
      <c r="AZ9" s="28" t="s">
        <v>1766</v>
      </c>
      <c r="BA9" s="1791" t="s">
        <v>1777</v>
      </c>
      <c r="BB9" s="1792"/>
      <c r="BC9" s="1248"/>
      <c r="BD9" s="1248"/>
      <c r="BE9" s="1248"/>
      <c r="BF9" s="1248"/>
      <c r="BG9" s="1248"/>
      <c r="BH9" s="1248"/>
      <c r="BI9" s="1248"/>
      <c r="BJ9" s="1248"/>
      <c r="BK9" s="1793"/>
      <c r="BL9" s="15" t="s">
        <v>1778</v>
      </c>
      <c r="BM9" s="1544"/>
      <c r="BN9" s="1782"/>
      <c r="BO9" s="1544"/>
      <c r="BP9" s="1544"/>
      <c r="BQ9" s="1544"/>
      <c r="BR9" s="1544"/>
      <c r="BS9" s="1544"/>
      <c r="BT9" s="26"/>
    </row>
    <row r="10" spans="1:72" s="1786" customFormat="1" ht="12.75">
      <c r="A10" s="1779"/>
      <c r="B10" s="1779"/>
      <c r="C10" s="1779"/>
      <c r="D10" s="1779"/>
      <c r="E10" s="1779"/>
      <c r="F10" s="1779"/>
      <c r="G10" s="1202"/>
      <c r="H10" s="28"/>
      <c r="I10" s="1788" t="s">
        <v>1339</v>
      </c>
      <c r="J10" s="918"/>
      <c r="K10" s="1794"/>
      <c r="L10" s="918"/>
      <c r="M10" s="1794"/>
      <c r="N10" s="918"/>
      <c r="O10" s="1794"/>
      <c r="P10" s="918"/>
      <c r="Q10" s="1794"/>
      <c r="R10" s="918"/>
      <c r="S10" s="1794"/>
      <c r="T10" s="918"/>
      <c r="U10" s="1794"/>
      <c r="V10" s="918"/>
      <c r="W10" s="1794"/>
      <c r="X10" s="918"/>
      <c r="Y10" s="1794"/>
      <c r="Z10" s="918"/>
      <c r="AA10" s="1794"/>
      <c r="AB10" s="918"/>
      <c r="AC10" s="1202"/>
      <c r="AD10" s="15" t="s">
        <v>1779</v>
      </c>
      <c r="AE10" s="1795"/>
      <c r="AF10" s="15" t="s">
        <v>1779</v>
      </c>
      <c r="AG10" s="1795"/>
      <c r="AH10" s="15" t="s">
        <v>1780</v>
      </c>
      <c r="AI10" s="1795"/>
      <c r="AJ10" s="15" t="s">
        <v>1780</v>
      </c>
      <c r="AK10" s="1795"/>
      <c r="AL10" s="15" t="s">
        <v>1781</v>
      </c>
      <c r="AM10" s="1208"/>
      <c r="AN10" s="15" t="s">
        <v>1781</v>
      </c>
      <c r="AO10" s="1208"/>
      <c r="AP10" s="15" t="s">
        <v>1782</v>
      </c>
      <c r="AQ10" s="1208"/>
      <c r="AR10" s="15" t="s">
        <v>1782</v>
      </c>
      <c r="AS10" s="1208"/>
      <c r="AT10" s="1779"/>
      <c r="AU10" s="1779"/>
      <c r="AV10" s="1202"/>
      <c r="AW10" s="1762"/>
      <c r="AX10" s="1202"/>
      <c r="AY10" s="28"/>
      <c r="AZ10" s="28"/>
      <c r="BA10" s="1796" t="s">
        <v>1773</v>
      </c>
      <c r="BB10" s="1797" t="str">
        <f>I9</f>
        <v>地上</v>
      </c>
      <c r="BC10" s="29">
        <f>K9</f>
        <v>0</v>
      </c>
      <c r="BD10" s="29">
        <f>M9</f>
        <v>0</v>
      </c>
      <c r="BE10" s="29">
        <f>O9</f>
        <v>0</v>
      </c>
      <c r="BF10" s="29">
        <f>Q9</f>
        <v>0</v>
      </c>
      <c r="BG10" s="29">
        <f>S9</f>
        <v>0</v>
      </c>
      <c r="BH10" s="29">
        <f>U9</f>
        <v>0</v>
      </c>
      <c r="BI10" s="29">
        <f>W9</f>
        <v>0</v>
      </c>
      <c r="BJ10" s="29">
        <f>Y9</f>
        <v>0</v>
      </c>
      <c r="BK10" s="29">
        <f>AA9</f>
        <v>0</v>
      </c>
      <c r="BL10" s="25" t="s">
        <v>1773</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1783</v>
      </c>
      <c r="AE11" s="1545"/>
      <c r="AF11" s="1801" t="s">
        <v>1783</v>
      </c>
      <c r="AG11" s="1545"/>
      <c r="AH11" s="1801" t="s">
        <v>1784</v>
      </c>
      <c r="AI11" s="1802"/>
      <c r="AJ11" s="1801" t="s">
        <v>1784</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1785</v>
      </c>
      <c r="J12" s="11" t="s">
        <v>1786</v>
      </c>
      <c r="K12" s="11" t="s">
        <v>1785</v>
      </c>
      <c r="L12" s="11" t="s">
        <v>1786</v>
      </c>
      <c r="M12" s="11" t="s">
        <v>1785</v>
      </c>
      <c r="N12" s="11" t="s">
        <v>1786</v>
      </c>
      <c r="O12" s="11" t="s">
        <v>1785</v>
      </c>
      <c r="P12" s="11" t="s">
        <v>1786</v>
      </c>
      <c r="Q12" s="11" t="s">
        <v>1785</v>
      </c>
      <c r="R12" s="11" t="s">
        <v>1786</v>
      </c>
      <c r="S12" s="11" t="s">
        <v>1785</v>
      </c>
      <c r="T12" s="11" t="s">
        <v>1786</v>
      </c>
      <c r="U12" s="11" t="s">
        <v>1785</v>
      </c>
      <c r="V12" s="1530" t="s">
        <v>1786</v>
      </c>
      <c r="W12" s="11" t="s">
        <v>1785</v>
      </c>
      <c r="X12" s="11" t="s">
        <v>1786</v>
      </c>
      <c r="Y12" s="11" t="s">
        <v>1785</v>
      </c>
      <c r="Z12" s="11" t="s">
        <v>1786</v>
      </c>
      <c r="AA12" s="11" t="s">
        <v>1785</v>
      </c>
      <c r="AB12" s="11" t="s">
        <v>1786</v>
      </c>
      <c r="AC12" s="1806"/>
      <c r="AD12" s="1533" t="s">
        <v>1785</v>
      </c>
      <c r="AE12" s="11" t="s">
        <v>1786</v>
      </c>
      <c r="AF12" s="11" t="s">
        <v>1785</v>
      </c>
      <c r="AG12" s="11" t="s">
        <v>1786</v>
      </c>
      <c r="AH12" s="11" t="s">
        <v>1785</v>
      </c>
      <c r="AI12" s="11" t="s">
        <v>1786</v>
      </c>
      <c r="AJ12" s="11" t="s">
        <v>1785</v>
      </c>
      <c r="AK12" s="11" t="s">
        <v>1786</v>
      </c>
      <c r="AL12" s="11" t="s">
        <v>1785</v>
      </c>
      <c r="AM12" s="11" t="s">
        <v>1786</v>
      </c>
      <c r="AN12" s="11" t="s">
        <v>1785</v>
      </c>
      <c r="AO12" s="11" t="s">
        <v>1786</v>
      </c>
      <c r="AP12" s="11" t="s">
        <v>1785</v>
      </c>
      <c r="AQ12" s="11" t="s">
        <v>1786</v>
      </c>
      <c r="AR12" s="30" t="s">
        <v>1785</v>
      </c>
      <c r="AS12" s="1804" t="s">
        <v>1786</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t="s">
        <v>3171</v>
      </c>
      <c r="D13" s="1810" t="s">
        <v>3154</v>
      </c>
      <c r="E13" s="16">
        <f>IF($C$3="是",ROUND($A$3*G13/$B$3,2),ROUND($A$3*(G13-AT13)/$B$3,2))</f>
        <v>63585.59</v>
      </c>
      <c r="F13" s="32"/>
      <c r="G13" s="33">
        <f>H13+AC13+AT13</f>
        <v>45156.59</v>
      </c>
      <c r="H13" s="20">
        <f>SUMIF(I$12:AB$12,"总值",I13:AB13)</f>
        <v>45156.59</v>
      </c>
      <c r="I13" s="1811">
        <f>面积!D6</f>
        <v>45156.59</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t="str">
        <f t="shared" si="6"/>
        <v>A</v>
      </c>
      <c r="AY13" s="1533">
        <f>ROUND($AY$6*AZ13/$AZ$5,2)</f>
        <v>63585.59</v>
      </c>
      <c r="AZ13" s="16">
        <f>BA13+BL13</f>
        <v>45156.59</v>
      </c>
      <c r="BA13" s="16">
        <f>SUM(BB13:BK13)</f>
        <v>45156.59</v>
      </c>
      <c r="BB13" s="16">
        <f>IF($D13="是",I13-J13,0)</f>
        <v>45156.59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t="s">
        <v>3172</v>
      </c>
      <c r="D14" s="1810" t="s">
        <v>3154</v>
      </c>
      <c r="E14" s="16">
        <f>IF($C$3="是",ROUND($A$3*G14/$B$3,2),ROUND($A$3*(G14-AT14)/$B$3,2))</f>
        <v>68221.41</v>
      </c>
      <c r="F14" s="32"/>
      <c r="G14" s="33">
        <f>H14+AC14+AT14</f>
        <v>48448.81</v>
      </c>
      <c r="H14" s="20">
        <f>SUMIF(I$12:AB$12,"总值",I14:AB14)</f>
        <v>48448.81</v>
      </c>
      <c r="I14" s="1811">
        <f>面积!D7</f>
        <v>48448.81</v>
      </c>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t="str">
        <f t="shared" si="6"/>
        <v>B</v>
      </c>
      <c r="AY14" s="1533">
        <f>ROUND($AY$6*AZ14/$AZ$5,2)</f>
        <v>68221.41</v>
      </c>
      <c r="AZ14" s="16">
        <f>BA14+BL14</f>
        <v>48448.81</v>
      </c>
      <c r="BA14" s="16">
        <f>SUM(BB14:BK14)</f>
        <v>48448.81</v>
      </c>
      <c r="BB14" s="16">
        <f>IF($D14="是",I14-J14,0)</f>
        <v>48448.81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41" t="s">
        <v>0</v>
      </c>
      <c r="B1" s="3241" t="s">
        <v>4</v>
      </c>
      <c r="C1" s="3241" t="s">
        <v>5</v>
      </c>
      <c r="D1" s="3242" t="s">
        <v>53</v>
      </c>
      <c r="E1" s="3242" t="s">
        <v>54</v>
      </c>
      <c r="F1" s="3242"/>
      <c r="G1" s="3242"/>
      <c r="H1" s="3242"/>
      <c r="I1" s="3242"/>
      <c r="J1" s="3242"/>
      <c r="K1" s="3242"/>
      <c r="L1" s="3242"/>
      <c r="M1" s="3242"/>
    </row>
    <row r="2" spans="1:13" ht="27" customHeight="1">
      <c r="A2" s="3241"/>
      <c r="B2" s="3241"/>
      <c r="C2" s="3241"/>
      <c r="D2" s="3242"/>
      <c r="E2" s="3242" t="s">
        <v>37</v>
      </c>
      <c r="F2" s="3242" t="s">
        <v>38</v>
      </c>
      <c r="G2" s="3242"/>
      <c r="H2" s="3242"/>
      <c r="I2" s="3242"/>
      <c r="J2" s="3242" t="s">
        <v>39</v>
      </c>
      <c r="K2" s="3242"/>
      <c r="L2" s="3242"/>
      <c r="M2" s="3242"/>
    </row>
    <row r="3" spans="1:13" ht="28.5">
      <c r="A3" s="3241"/>
      <c r="B3" s="3241"/>
      <c r="C3" s="3241"/>
      <c r="D3" s="3242"/>
      <c r="E3" s="324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42" t="s">
        <v>55</v>
      </c>
      <c r="B9" s="3242"/>
      <c r="C9" s="32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3:R28"/>
  <sheetViews>
    <sheetView workbookViewId="0">
      <selection activeCell="E8" sqref="E8"/>
    </sheetView>
  </sheetViews>
  <sheetFormatPr defaultRowHeight="13.5"/>
  <cols>
    <col min="3" max="4" width="15.25" bestFit="1" customWidth="1"/>
    <col min="5" max="5" width="12.75" bestFit="1" customWidth="1"/>
    <col min="6" max="6" width="13" bestFit="1" customWidth="1"/>
    <col min="10" max="10" width="9.375" customWidth="1"/>
    <col min="11" max="11" width="10.625" customWidth="1"/>
    <col min="13" max="13" width="10.375" customWidth="1"/>
  </cols>
  <sheetData>
    <row r="3" spans="2:18">
      <c r="J3">
        <v>0.6</v>
      </c>
      <c r="L3">
        <f>1-J3</f>
        <v>0.4</v>
      </c>
    </row>
    <row r="4" spans="2:18">
      <c r="J4" s="3104" t="s">
        <v>3174</v>
      </c>
      <c r="K4" s="3104" t="s">
        <v>3179</v>
      </c>
      <c r="L4" s="3104" t="s">
        <v>3510</v>
      </c>
      <c r="M4" s="3104" t="s">
        <v>3511</v>
      </c>
      <c r="N4" s="3104" t="s">
        <v>3512</v>
      </c>
      <c r="O4" s="3104" t="s">
        <v>3513</v>
      </c>
    </row>
    <row r="5" spans="2:18">
      <c r="B5" s="3086"/>
      <c r="C5" s="3087" t="s">
        <v>3157</v>
      </c>
      <c r="D5" s="3087" t="s">
        <v>3156</v>
      </c>
      <c r="E5" s="3087" t="s">
        <v>3159</v>
      </c>
      <c r="F5" s="3087" t="s">
        <v>3158</v>
      </c>
      <c r="I5" s="3104" t="s">
        <v>3175</v>
      </c>
      <c r="J5">
        <f ca="1">成本法!B2</f>
        <v>151110</v>
      </c>
      <c r="K5">
        <f ca="1">ROUND(J5/D6*10000,0)</f>
        <v>33464</v>
      </c>
      <c r="L5">
        <f ca="1">结果表!D19</f>
        <v>14593</v>
      </c>
      <c r="M5">
        <f ca="1">ROUND(L5/D6*10000,0)</f>
        <v>3232</v>
      </c>
      <c r="N5">
        <f ca="1">ROUND(J5*$J$3+L5*$L$3,0)</f>
        <v>96503</v>
      </c>
      <c r="O5">
        <f ca="1">ROUND(N5/D6*10000,0)</f>
        <v>21371</v>
      </c>
      <c r="Q5">
        <v>100000</v>
      </c>
      <c r="R5">
        <f t="shared" ref="R5:R7" ca="1" si="0">N5-Q5</f>
        <v>-3497</v>
      </c>
    </row>
    <row r="6" spans="2:18">
      <c r="B6" s="3087" t="s">
        <v>3061</v>
      </c>
      <c r="C6" s="3244">
        <v>131807</v>
      </c>
      <c r="D6" s="3086">
        <v>45156.59</v>
      </c>
      <c r="E6" s="3244">
        <f>D8/C6</f>
        <v>0.71017017305605923</v>
      </c>
      <c r="F6" s="3086">
        <f>ROUND(D6/D8*C6,2)</f>
        <v>63585.59</v>
      </c>
      <c r="I6" s="3104" t="s">
        <v>3176</v>
      </c>
      <c r="J6">
        <f ca="1">'成本法-B'!B2</f>
        <v>105134</v>
      </c>
      <c r="K6">
        <f t="shared" ref="K6" ca="1" si="1">ROUND(J6/D7*10000,0)</f>
        <v>21700</v>
      </c>
      <c r="L6">
        <f ca="1">'结果表-B'!D19</f>
        <v>15255</v>
      </c>
      <c r="M6">
        <f t="shared" ref="M6" ca="1" si="2">ROUND(L6/D7*10000,0)</f>
        <v>3149</v>
      </c>
      <c r="N6">
        <f t="shared" ref="N6:N8" ca="1" si="3">ROUND(J6*$J$3+L6*$L$3,0)</f>
        <v>69182</v>
      </c>
      <c r="O6">
        <f t="shared" ref="O6" ca="1" si="4">ROUND(N6/D7*10000,0)</f>
        <v>14279</v>
      </c>
      <c r="Q6">
        <v>75000</v>
      </c>
      <c r="R6">
        <f t="shared" ca="1" si="0"/>
        <v>-5818</v>
      </c>
    </row>
    <row r="7" spans="2:18">
      <c r="B7" s="3087" t="s">
        <v>3063</v>
      </c>
      <c r="C7" s="3244"/>
      <c r="D7" s="3086">
        <v>48448.81</v>
      </c>
      <c r="E7" s="3244"/>
      <c r="F7" s="3086">
        <f>ROUND(D7/D8*C6,2)</f>
        <v>68221.41</v>
      </c>
      <c r="I7" s="3104" t="s">
        <v>3177</v>
      </c>
      <c r="J7">
        <f>[1]成本法!$B$2</f>
        <v>116512</v>
      </c>
      <c r="K7">
        <f>ROUND(J7/D9*10000,0)</f>
        <v>31074</v>
      </c>
      <c r="L7">
        <f>[1]结果表!$D$19</f>
        <v>12088</v>
      </c>
      <c r="M7">
        <f>ROUND(L7/D9*10000,0)</f>
        <v>3224</v>
      </c>
      <c r="N7">
        <f t="shared" si="3"/>
        <v>74742</v>
      </c>
      <c r="O7">
        <f>ROUND(N7/D9*10000,0)</f>
        <v>19934</v>
      </c>
      <c r="Q7">
        <v>80000</v>
      </c>
      <c r="R7">
        <f t="shared" si="0"/>
        <v>-5258</v>
      </c>
    </row>
    <row r="8" spans="2:18">
      <c r="B8" s="3087" t="s">
        <v>3160</v>
      </c>
      <c r="C8" s="3088"/>
      <c r="D8" s="3086">
        <f>SUM(D6:D7)</f>
        <v>93605.4</v>
      </c>
      <c r="E8" s="3086"/>
      <c r="F8" s="3086"/>
      <c r="I8" s="3104" t="s">
        <v>3178</v>
      </c>
      <c r="J8">
        <f>'[1]成本法-C2'!$B$2</f>
        <v>66186</v>
      </c>
      <c r="K8">
        <f>ROUND(J8/D10*10000,0)</f>
        <v>31074</v>
      </c>
      <c r="L8">
        <f>'[1]结果表-C2'!$D$19</f>
        <v>6876</v>
      </c>
      <c r="M8">
        <f>ROUND(L8/D10*10000,0)</f>
        <v>3228</v>
      </c>
      <c r="N8">
        <f t="shared" si="3"/>
        <v>42462</v>
      </c>
      <c r="O8">
        <f>ROUND(N8/D10*10000,0)</f>
        <v>19936</v>
      </c>
      <c r="Q8">
        <v>45000</v>
      </c>
      <c r="R8">
        <f>N8-Q8</f>
        <v>-2538</v>
      </c>
    </row>
    <row r="9" spans="2:18">
      <c r="B9" s="3087" t="s">
        <v>3062</v>
      </c>
      <c r="C9" s="3244">
        <v>133089</v>
      </c>
      <c r="D9" s="3086">
        <v>37495.14</v>
      </c>
      <c r="E9" s="3244">
        <f>D11/C9</f>
        <v>0.44176746387755561</v>
      </c>
      <c r="F9" s="3086">
        <f>ROUND(D9/D11*C9,2)</f>
        <v>84875.29</v>
      </c>
      <c r="J9">
        <f ca="1">SUM(J5:J8)</f>
        <v>438942</v>
      </c>
      <c r="L9">
        <f ca="1">SUM(L5:L8)</f>
        <v>48812</v>
      </c>
      <c r="N9">
        <f ca="1">SUM(N5:N8)</f>
        <v>282889</v>
      </c>
      <c r="Q9">
        <f>SUM(Q5:Q8)</f>
        <v>300000</v>
      </c>
    </row>
    <row r="10" spans="2:18">
      <c r="B10" s="3087" t="s">
        <v>3062</v>
      </c>
      <c r="C10" s="3244"/>
      <c r="D10" s="3086">
        <v>21299.25</v>
      </c>
      <c r="E10" s="3244"/>
      <c r="F10" s="3086">
        <f t="shared" ref="F10" si="5">ROUND(D10/D11*C9,2)</f>
        <v>48213.71</v>
      </c>
    </row>
    <row r="11" spans="2:18">
      <c r="B11" s="3087" t="s">
        <v>3160</v>
      </c>
      <c r="C11" s="3086"/>
      <c r="D11" s="3086">
        <f>SUM(D9:D10)</f>
        <v>58794.39</v>
      </c>
      <c r="E11" s="3086"/>
      <c r="F11" s="3086"/>
    </row>
    <row r="12" spans="2:18">
      <c r="C12">
        <f>SUM(C6:C11)</f>
        <v>264896</v>
      </c>
      <c r="D12">
        <f>SUM(D11,D8)</f>
        <v>152399.78999999998</v>
      </c>
      <c r="F12">
        <f>SUM(F6:F11)</f>
        <v>264896</v>
      </c>
    </row>
    <row r="17" spans="2:11">
      <c r="I17">
        <v>12400</v>
      </c>
      <c r="J17">
        <v>1000000</v>
      </c>
      <c r="K17">
        <f>J17/I17/365</f>
        <v>0.22094564737074679</v>
      </c>
    </row>
    <row r="22" spans="2:11">
      <c r="C22" s="3243" t="str">
        <f>结果表!B116</f>
        <v>(规划)建筑面积</v>
      </c>
      <c r="D22" s="3243" t="str">
        <f>结果表!C116</f>
        <v>(分摊)土地面积</v>
      </c>
      <c r="E22" s="3243" t="str">
        <f>结果表!D116</f>
        <v>出让国有建设用地使用权价值</v>
      </c>
      <c r="F22" s="3243"/>
      <c r="G22" s="3243" t="str">
        <f>结果表!F116</f>
        <v>在建建筑物价值</v>
      </c>
      <c r="H22" s="3243"/>
      <c r="I22" s="3243" t="str">
        <f>结果表!H116</f>
        <v>房地产价值</v>
      </c>
      <c r="J22" s="3243"/>
    </row>
    <row r="23" spans="2:11">
      <c r="C23" s="3243"/>
      <c r="D23" s="3243"/>
      <c r="E23" t="str">
        <f>结果表!D117</f>
        <v>总 价</v>
      </c>
      <c r="F23" t="str">
        <f>结果表!E117</f>
        <v>楼面单价</v>
      </c>
      <c r="G23" t="str">
        <f>结果表!F117</f>
        <v>总 价</v>
      </c>
      <c r="H23" t="str">
        <f>结果表!G117</f>
        <v>楼面单价</v>
      </c>
      <c r="I23" t="str">
        <f>结果表!H117</f>
        <v>总 价</v>
      </c>
      <c r="J23" t="str">
        <f>结果表!I117</f>
        <v>楼面单价</v>
      </c>
    </row>
    <row r="24" spans="2:11">
      <c r="B24" s="3104" t="s">
        <v>3527</v>
      </c>
      <c r="C24">
        <f>结果表!B118</f>
        <v>45156.59</v>
      </c>
      <c r="D24">
        <f>结果表!C118</f>
        <v>63585.59</v>
      </c>
      <c r="E24">
        <f ca="1">结果表!D118</f>
        <v>21802</v>
      </c>
      <c r="F24">
        <f ca="1">结果表!E118</f>
        <v>4828</v>
      </c>
      <c r="G24">
        <f ca="1">结果表!F118</f>
        <v>81527</v>
      </c>
      <c r="H24">
        <f ca="1">结果表!G118</f>
        <v>18054</v>
      </c>
      <c r="I24">
        <f ca="1">结果表!H118</f>
        <v>103329</v>
      </c>
      <c r="J24">
        <f ca="1">结果表!I118</f>
        <v>22882</v>
      </c>
    </row>
    <row r="25" spans="2:11">
      <c r="B25" s="3104" t="s">
        <v>3528</v>
      </c>
      <c r="C25">
        <f>'结果表-B'!B118</f>
        <v>48448.81</v>
      </c>
      <c r="D25">
        <f>'结果表-B'!C118</f>
        <v>68221.41</v>
      </c>
      <c r="E25">
        <f ca="1">'结果表-B'!D118</f>
        <v>24018</v>
      </c>
      <c r="F25">
        <f ca="1">'结果表-B'!E118</f>
        <v>4957</v>
      </c>
      <c r="G25">
        <f ca="1">'结果表-B'!F118</f>
        <v>49658</v>
      </c>
      <c r="H25">
        <f ca="1">'结果表-B'!G118</f>
        <v>10250</v>
      </c>
      <c r="I25">
        <f ca="1">'结果表-B'!H118</f>
        <v>73676</v>
      </c>
      <c r="J25">
        <f ca="1">'结果表-B'!I118</f>
        <v>15207</v>
      </c>
    </row>
    <row r="26" spans="2:11">
      <c r="B26" s="3104" t="s">
        <v>3529</v>
      </c>
      <c r="C26">
        <f>[1]结果表!$B$118</f>
        <v>37495.14</v>
      </c>
      <c r="D26">
        <f>[1]结果表!$C$118</f>
        <v>84875.29</v>
      </c>
      <c r="E26">
        <f>[1]结果表!$D$118</f>
        <v>28867</v>
      </c>
      <c r="F26">
        <f>[1]结果表!$E$118</f>
        <v>7698</v>
      </c>
      <c r="G26">
        <f>[1]结果表!$F$118</f>
        <v>51097</v>
      </c>
      <c r="H26">
        <f>[1]结果表!$G$118</f>
        <v>13628</v>
      </c>
      <c r="I26">
        <f>[1]结果表!$H$118</f>
        <v>79964</v>
      </c>
      <c r="J26">
        <f>[1]结果表!$I$118</f>
        <v>21326</v>
      </c>
    </row>
    <row r="27" spans="2:11">
      <c r="B27" s="3104" t="s">
        <v>3530</v>
      </c>
      <c r="C27">
        <f>'[1]结果表-C2'!$B$118</f>
        <v>21299.25</v>
      </c>
      <c r="D27">
        <f>'[1]结果表-C2'!$C$118</f>
        <v>48213.71</v>
      </c>
      <c r="E27">
        <f>'[1]结果表-C2'!$D$118</f>
        <v>16400</v>
      </c>
      <c r="F27">
        <f>'[1]结果表-C2'!$E$118</f>
        <v>7699</v>
      </c>
      <c r="G27">
        <f>'[1]结果表-C2'!$F$118</f>
        <v>29028</v>
      </c>
      <c r="H27">
        <f>'[1]结果表-C2'!$G$118</f>
        <v>13629</v>
      </c>
      <c r="I27">
        <f>'[1]结果表-C2'!$H$118</f>
        <v>45428</v>
      </c>
      <c r="J27">
        <f>'[1]结果表-C2'!$I$118</f>
        <v>21328</v>
      </c>
    </row>
    <row r="28" spans="2:11">
      <c r="C28">
        <f>SUM(C24:C27)</f>
        <v>152399.78999999998</v>
      </c>
      <c r="D28">
        <f t="shared" ref="D28:I28" si="6">SUM(D24:D27)</f>
        <v>264896</v>
      </c>
      <c r="E28">
        <f t="shared" ca="1" si="6"/>
        <v>91087</v>
      </c>
      <c r="G28">
        <f t="shared" ca="1" si="6"/>
        <v>211310</v>
      </c>
      <c r="I28">
        <f t="shared" ca="1" si="6"/>
        <v>302397</v>
      </c>
    </row>
  </sheetData>
  <mergeCells count="9">
    <mergeCell ref="G22:H22"/>
    <mergeCell ref="I22:J22"/>
    <mergeCell ref="C6:C7"/>
    <mergeCell ref="C9:C10"/>
    <mergeCell ref="E9:E10"/>
    <mergeCell ref="E6:E7"/>
    <mergeCell ref="C22:C23"/>
    <mergeCell ref="D22:D23"/>
    <mergeCell ref="E22:F22"/>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80" zoomScaleNormal="100" zoomScaleSheetLayoutView="80" workbookViewId="0">
      <selection activeCell="D53" sqref="D53"/>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1812</v>
      </c>
      <c r="B1" s="1301"/>
      <c r="C1" s="1301"/>
      <c r="D1" s="1301"/>
      <c r="E1" s="1301"/>
      <c r="F1" s="1301"/>
      <c r="G1" s="1301"/>
      <c r="H1" s="1301"/>
      <c r="I1" s="1301"/>
      <c r="J1" s="1301"/>
      <c r="K1" s="1301"/>
      <c r="L1" s="1301"/>
      <c r="M1" s="1301"/>
      <c r="N1" s="1301"/>
      <c r="O1" s="1301"/>
      <c r="P1" s="1301"/>
    </row>
    <row r="2" spans="1:16" ht="15">
      <c r="A2" s="3254" t="s">
        <v>1813</v>
      </c>
      <c r="B2" s="3254"/>
      <c r="C2" s="3254"/>
      <c r="D2" s="904" t="s">
        <v>1789</v>
      </c>
      <c r="E2" s="1824" t="s">
        <v>1790</v>
      </c>
      <c r="F2" s="2886"/>
      <c r="G2" s="2877"/>
      <c r="H2" s="2878"/>
      <c r="I2" s="2548" t="s">
        <v>1814</v>
      </c>
      <c r="J2" s="2886"/>
      <c r="K2" s="2886"/>
      <c r="L2" s="2886"/>
      <c r="M2" s="2886"/>
      <c r="N2" s="2888"/>
      <c r="O2" s="2886"/>
      <c r="P2" s="2886"/>
    </row>
    <row r="3" spans="1:16" ht="15.75" thickBot="1">
      <c r="A3" s="3255" t="s">
        <v>1787</v>
      </c>
      <c r="B3" s="3255"/>
      <c r="C3" s="3255"/>
      <c r="D3" s="46">
        <f>'数据-基础表'!AY6</f>
        <v>131807</v>
      </c>
      <c r="E3" s="46">
        <f>'数据-基础表'!AZ5</f>
        <v>93605.4</v>
      </c>
      <c r="F3" s="2886"/>
      <c r="G3" s="1307"/>
      <c r="H3" s="1157" t="s">
        <v>1788</v>
      </c>
      <c r="I3" s="964">
        <f>ROUND('数据-基础表'!B3/'数据-基础表'!A3,2)</f>
        <v>0.71</v>
      </c>
      <c r="J3" s="2886"/>
      <c r="K3" s="2886"/>
      <c r="L3" s="2886"/>
      <c r="M3" s="2886"/>
      <c r="N3" s="2888"/>
      <c r="O3" s="2886"/>
      <c r="P3" s="2886"/>
    </row>
    <row r="4" spans="1:16" ht="15">
      <c r="A4" s="3256"/>
      <c r="B4" s="3257"/>
      <c r="C4" s="3258"/>
      <c r="D4" s="1826" t="s">
        <v>1789</v>
      </c>
      <c r="E4" s="1827" t="s">
        <v>1790</v>
      </c>
      <c r="F4" s="2886"/>
      <c r="G4" s="2879" t="s">
        <v>1815</v>
      </c>
      <c r="H4" s="1157" t="s">
        <v>1795</v>
      </c>
      <c r="I4" s="964">
        <f>ROUND(SUMIF('数据-基础表'!I9:AS9,"地上",'数据-基础表'!I5:AS5)/'数据-基础表'!A3,2)</f>
        <v>0.71</v>
      </c>
      <c r="J4" s="2886"/>
      <c r="K4" s="2886"/>
      <c r="L4" s="2886"/>
      <c r="M4" s="2886"/>
      <c r="N4" s="2888"/>
      <c r="O4" s="2886"/>
      <c r="P4" s="2886"/>
    </row>
    <row r="5" spans="1:16">
      <c r="A5" s="47" t="s">
        <v>1791</v>
      </c>
      <c r="B5" s="3259" t="s">
        <v>1792</v>
      </c>
      <c r="C5" s="3259"/>
      <c r="D5" s="48">
        <f>ROUND($D$3*E5/$E$3,2)</f>
        <v>0</v>
      </c>
      <c r="E5" s="49">
        <f>SUMIF('数据-基础表'!$11:$11,"住宅",'数据-基础表'!$5:$5)</f>
        <v>0</v>
      </c>
      <c r="F5" s="2886"/>
      <c r="G5" s="1307"/>
      <c r="H5" s="1157" t="s">
        <v>1788</v>
      </c>
      <c r="I5" s="964">
        <f>ROUND(E31/D31,2)</f>
        <v>0.71</v>
      </c>
      <c r="J5" s="2886"/>
      <c r="K5" s="2886"/>
      <c r="L5" s="2886"/>
      <c r="M5" s="2886"/>
      <c r="N5" s="2886"/>
      <c r="O5" s="2886"/>
      <c r="P5" s="2886"/>
    </row>
    <row r="6" spans="1:16" ht="15" thickBot="1">
      <c r="A6" s="1829"/>
      <c r="B6" s="3259" t="s">
        <v>1793</v>
      </c>
      <c r="C6" s="3259"/>
      <c r="D6" s="48">
        <f>ROUND($D$3*E6/$E$3,2)</f>
        <v>131807</v>
      </c>
      <c r="E6" s="49">
        <f>E3-E5</f>
        <v>93605.4</v>
      </c>
      <c r="F6" s="2886"/>
      <c r="G6" s="2880" t="s">
        <v>1794</v>
      </c>
      <c r="H6" s="1308" t="s">
        <v>1795</v>
      </c>
      <c r="I6" s="2881">
        <f>ROUND(F31/D31,2)</f>
        <v>0.71</v>
      </c>
      <c r="J6" s="2886"/>
      <c r="K6" s="2886"/>
      <c r="L6" s="2886"/>
      <c r="M6" s="2886"/>
      <c r="N6" s="2886"/>
      <c r="O6" s="2886"/>
      <c r="P6" s="2886"/>
    </row>
    <row r="7" spans="1:16" ht="15.75" thickBot="1">
      <c r="A7" s="3251"/>
      <c r="B7" s="3252"/>
      <c r="C7" s="3253"/>
      <c r="D7" s="1826" t="s">
        <v>1789</v>
      </c>
      <c r="E7" s="1830" t="s">
        <v>1796</v>
      </c>
      <c r="F7" s="2886"/>
      <c r="G7" s="2882" t="s">
        <v>1797</v>
      </c>
      <c r="H7" s="2883"/>
      <c r="I7" s="2884"/>
      <c r="J7" s="2886"/>
      <c r="K7" s="2886"/>
      <c r="L7" s="2886"/>
      <c r="M7" s="2886"/>
      <c r="N7" s="2886"/>
      <c r="O7" s="2886"/>
      <c r="P7" s="2886"/>
    </row>
    <row r="8" spans="1:16">
      <c r="A8" s="47" t="s">
        <v>1798</v>
      </c>
      <c r="B8" s="50" t="s">
        <v>1799</v>
      </c>
      <c r="C8" s="48" t="s">
        <v>1800</v>
      </c>
      <c r="D8" s="48">
        <f t="shared" ref="D8:D15" si="0">ROUND($D$3*E8/$E$3,2)</f>
        <v>131807</v>
      </c>
      <c r="E8" s="51">
        <f>SUMIF('数据-基础表'!BB10:BK10,"地上",'数据-基础表'!BB5:BK5)</f>
        <v>93605.4</v>
      </c>
      <c r="F8" s="2886"/>
      <c r="G8" s="2887"/>
      <c r="H8" s="2887"/>
      <c r="I8" s="2886"/>
      <c r="J8" s="2886"/>
      <c r="K8" s="2886"/>
      <c r="L8" s="2886"/>
      <c r="M8" s="2886"/>
      <c r="N8" s="2886"/>
      <c r="O8" s="2886"/>
      <c r="P8" s="2886"/>
    </row>
    <row r="9" spans="1:16">
      <c r="A9" s="1831"/>
      <c r="B9" s="1832"/>
      <c r="C9" s="48" t="s">
        <v>1801</v>
      </c>
      <c r="D9" s="48">
        <f t="shared" si="0"/>
        <v>0</v>
      </c>
      <c r="E9" s="52">
        <v>0</v>
      </c>
      <c r="F9" s="2886"/>
      <c r="G9" s="2887"/>
      <c r="H9" s="2887"/>
      <c r="I9" s="2886"/>
      <c r="J9" s="2886"/>
      <c r="K9" s="2886"/>
      <c r="L9" s="2886"/>
      <c r="M9" s="2886"/>
      <c r="N9" s="2886"/>
      <c r="O9" s="2886"/>
      <c r="P9" s="2886"/>
    </row>
    <row r="10" spans="1:16">
      <c r="A10" s="1831"/>
      <c r="B10" s="1832"/>
      <c r="C10" s="48" t="s">
        <v>1810</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1"/>
      <c r="B11" s="1832"/>
      <c r="C11" s="48" t="s">
        <v>1802</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1"/>
      <c r="B12" s="1832"/>
      <c r="C12" s="48" t="s">
        <v>1803</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1804</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1"/>
      <c r="B14" s="1832"/>
      <c r="C14" s="48" t="s">
        <v>1816</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1811</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1805</v>
      </c>
      <c r="D16" s="50">
        <f>SUM(D8:D15)</f>
        <v>131807</v>
      </c>
      <c r="E16" s="53">
        <f>SUM(E8:E15)</f>
        <v>93605.4</v>
      </c>
      <c r="F16" s="2886"/>
      <c r="G16" s="2887"/>
      <c r="H16" s="1833" t="s">
        <v>1817</v>
      </c>
      <c r="I16" s="1834"/>
      <c r="J16" s="1301"/>
      <c r="K16" s="3248" t="s">
        <v>1817</v>
      </c>
      <c r="L16" s="3249"/>
      <c r="M16" s="3249"/>
      <c r="N16" s="3249"/>
      <c r="O16" s="3249"/>
      <c r="P16" s="3250"/>
    </row>
    <row r="17" spans="1:19" ht="15">
      <c r="A17" s="1835" t="s">
        <v>1818</v>
      </c>
      <c r="B17" s="1836" t="s">
        <v>1819</v>
      </c>
      <c r="C17" s="1837" t="s">
        <v>1820</v>
      </c>
      <c r="D17" s="1838" t="s">
        <v>1808</v>
      </c>
      <c r="E17" s="1839" t="s">
        <v>1809</v>
      </c>
      <c r="F17" s="1840"/>
      <c r="G17" s="1841"/>
      <c r="H17" s="1842" t="s">
        <v>1821</v>
      </c>
      <c r="I17" s="1843" t="s">
        <v>1806</v>
      </c>
      <c r="J17" s="1301"/>
      <c r="K17" s="3245" t="s">
        <v>1822</v>
      </c>
      <c r="L17" s="3246"/>
      <c r="M17" s="3247"/>
      <c r="N17" s="3245" t="s">
        <v>1823</v>
      </c>
      <c r="O17" s="3246"/>
      <c r="P17" s="3247"/>
      <c r="R17" s="1825" t="s">
        <v>1824</v>
      </c>
      <c r="S17" s="60"/>
    </row>
    <row r="18" spans="1:19" ht="15">
      <c r="A18" s="1831"/>
      <c r="B18" s="1844"/>
      <c r="C18" s="1845"/>
      <c r="D18" s="1846"/>
      <c r="E18" s="1847" t="s">
        <v>1825</v>
      </c>
      <c r="F18" s="1848" t="s">
        <v>1826</v>
      </c>
      <c r="G18" s="1849" t="s">
        <v>1827</v>
      </c>
      <c r="H18" s="1172" t="s">
        <v>1828</v>
      </c>
      <c r="I18" s="1850" t="s">
        <v>1829</v>
      </c>
      <c r="J18" s="1301"/>
      <c r="K18" s="1172" t="s">
        <v>1830</v>
      </c>
      <c r="L18" s="1851" t="s">
        <v>1831</v>
      </c>
      <c r="M18" s="964" t="s">
        <v>1832</v>
      </c>
      <c r="N18" s="1172" t="s">
        <v>1830</v>
      </c>
      <c r="O18" s="1851" t="s">
        <v>1831</v>
      </c>
      <c r="P18" s="964" t="s">
        <v>1832</v>
      </c>
      <c r="R18" s="1157" t="s">
        <v>1833</v>
      </c>
      <c r="S18" s="1157" t="s">
        <v>1834</v>
      </c>
    </row>
    <row r="19" spans="1:19">
      <c r="A19" s="1852"/>
      <c r="B19" s="50" t="s">
        <v>1807</v>
      </c>
      <c r="C19" s="1853" t="s">
        <v>3155</v>
      </c>
      <c r="D19" s="48">
        <f>ROUND($D$3*E19/$E$3,2)</f>
        <v>63585.59</v>
      </c>
      <c r="E19" s="56">
        <f t="shared" ref="E19:E26" si="1">SUM(F19:G19)</f>
        <v>45156.59</v>
      </c>
      <c r="F19" s="3026">
        <f>'数据-基础表'!I13</f>
        <v>45156.59</v>
      </c>
      <c r="G19" s="3027"/>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63585.59</v>
      </c>
      <c r="S19" s="1158">
        <f t="shared" si="5"/>
        <v>45156.59</v>
      </c>
    </row>
    <row r="20" spans="1:19">
      <c r="A20" s="1856"/>
      <c r="B20" s="50" t="s">
        <v>1835</v>
      </c>
      <c r="C20" s="1853" t="s">
        <v>3173</v>
      </c>
      <c r="D20" s="48">
        <f t="shared" ref="D20:D26" si="6">ROUND($D$3*E20/$E$3,2)</f>
        <v>68221.41</v>
      </c>
      <c r="E20" s="56">
        <f t="shared" si="1"/>
        <v>48448.81</v>
      </c>
      <c r="F20" s="3026">
        <f>'数据-基础表'!I14</f>
        <v>48448.81</v>
      </c>
      <c r="G20" s="3027"/>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68221.41</v>
      </c>
      <c r="S20" s="1158">
        <f t="shared" si="5"/>
        <v>48448.81</v>
      </c>
    </row>
    <row r="21" spans="1:19">
      <c r="A21" s="1856"/>
      <c r="B21" s="50" t="s">
        <v>1835</v>
      </c>
      <c r="C21" s="1853"/>
      <c r="D21" s="48">
        <f t="shared" si="6"/>
        <v>0</v>
      </c>
      <c r="E21" s="56">
        <f t="shared" si="1"/>
        <v>0</v>
      </c>
      <c r="F21" s="3026"/>
      <c r="G21" s="3027"/>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1835</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1835</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1835</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1835</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1835</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1836</v>
      </c>
      <c r="D27" s="1302">
        <f>SUM(D19:D26)</f>
        <v>131807</v>
      </c>
      <c r="E27" s="1303">
        <f>IF(SUM(E19:E26)='数据-基础表'!BA5,SUM(E19:E26),IF(F27="地上面积有误","面积有误","地下面积有误"))</f>
        <v>93605.4</v>
      </c>
      <c r="F27" s="1302">
        <f>IF(SUM(F19:F26)=E8,SUM(F19:F26),"地上面积有误")</f>
        <v>93605.4</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131807</v>
      </c>
      <c r="S27" s="1157">
        <f>IF(SUM(S19:S26)=$E$3,SUM(S19:S26),SUM(S19:S26)&amp;"误差"&amp;ROUND(SUM(S19:S26)-E3,2))</f>
        <v>93605.4</v>
      </c>
    </row>
    <row r="28" spans="1:19">
      <c r="A28" s="1856"/>
      <c r="B28" s="50" t="s">
        <v>1837</v>
      </c>
      <c r="C28" s="1169" t="s">
        <v>1838</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6"/>
      <c r="B29" s="50" t="s">
        <v>1837</v>
      </c>
      <c r="C29" s="1860" t="s">
        <v>1839</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1836</v>
      </c>
      <c r="D30" s="1302">
        <f>SUM(D28:D29)</f>
        <v>0</v>
      </c>
      <c r="E30" s="1302">
        <f>SUM(E28:E29)</f>
        <v>0</v>
      </c>
      <c r="F30" s="1302">
        <f>SUM(F28:F29)</f>
        <v>0</v>
      </c>
      <c r="G30" s="1304">
        <f>SUM(G28:G29)</f>
        <v>0</v>
      </c>
      <c r="H30" s="2886"/>
      <c r="I30" s="2886"/>
      <c r="J30" s="2886"/>
      <c r="K30" s="2886"/>
      <c r="L30" s="2886"/>
      <c r="M30" s="2886"/>
      <c r="N30" s="2886"/>
      <c r="O30" s="2886"/>
      <c r="P30" s="2886"/>
    </row>
    <row r="31" spans="1:19" ht="15.75" thickBot="1">
      <c r="A31" s="1862"/>
      <c r="B31" s="1863"/>
      <c r="C31" s="944" t="s">
        <v>1840</v>
      </c>
      <c r="D31" s="685">
        <f>D27+D30</f>
        <v>131807</v>
      </c>
      <c r="E31" s="685">
        <f>E27+E30</f>
        <v>93605.4</v>
      </c>
      <c r="F31" s="686">
        <f>F27+F30</f>
        <v>93605.4</v>
      </c>
      <c r="G31" s="687">
        <f>G27+G30</f>
        <v>0</v>
      </c>
      <c r="H31" s="2886"/>
      <c r="I31" s="2886"/>
      <c r="J31" s="2886"/>
      <c r="K31" s="2886"/>
      <c r="L31" s="2886"/>
      <c r="M31" s="2886"/>
      <c r="N31" s="2886"/>
      <c r="O31" s="2886"/>
      <c r="P31" s="2886"/>
    </row>
    <row r="32" spans="1:19">
      <c r="A32" s="1828"/>
      <c r="B32" s="1828" t="s">
        <v>1841</v>
      </c>
      <c r="C32" s="1828"/>
      <c r="D32" s="1828"/>
      <c r="E32" s="1184">
        <f>SUMIF(C19:C26,"*住宅*",E19:E26)</f>
        <v>0</v>
      </c>
      <c r="F32" s="1828"/>
      <c r="G32" s="1828"/>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80" zoomScaleNormal="80" zoomScaleSheetLayoutView="90" workbookViewId="0">
      <pane xSplit="3" ySplit="5" topLeftCell="M6" activePane="bottomRight" state="frozen"/>
      <selection activeCell="C50" sqref="C50"/>
      <selection pane="topRight" activeCell="C50" sqref="C50"/>
      <selection pane="bottomLeft" activeCell="C50" sqref="C50"/>
      <selection pane="bottomRight" activeCell="N27" sqref="N27"/>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1842</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4" customFormat="1" ht="15.75" thickBot="1">
      <c r="A2" s="1869" t="s">
        <v>1843</v>
      </c>
      <c r="B2" s="1176">
        <f>项目基本情况!D3</f>
        <v>44555</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1844</v>
      </c>
      <c r="B4" s="1874"/>
      <c r="C4" s="1875"/>
      <c r="D4" s="1876"/>
      <c r="E4" s="1875" t="s">
        <v>1845</v>
      </c>
      <c r="F4" s="1875"/>
      <c r="G4" s="1875"/>
      <c r="H4" s="1875"/>
      <c r="I4" s="1875"/>
      <c r="J4" s="1877"/>
      <c r="K4" s="1878"/>
      <c r="L4" s="1879"/>
      <c r="M4" s="1875"/>
      <c r="N4" s="1875" t="s">
        <v>1846</v>
      </c>
      <c r="O4" s="1875"/>
      <c r="P4" s="1875"/>
      <c r="Q4" s="1875"/>
      <c r="R4" s="1875"/>
      <c r="S4" s="1877"/>
      <c r="T4" s="2885" t="str">
        <f>'数据-汇总表'!I17</f>
        <v>按面积比例</v>
      </c>
      <c r="U4" s="1874" t="s">
        <v>1847</v>
      </c>
      <c r="V4" s="1875"/>
      <c r="W4" s="1875"/>
      <c r="X4" s="1875"/>
      <c r="Y4" s="1877"/>
      <c r="Z4" s="1837" t="s">
        <v>1848</v>
      </c>
      <c r="AA4" s="1837"/>
      <c r="AB4" s="1837"/>
      <c r="AC4" s="1837"/>
      <c r="AD4" s="1837"/>
      <c r="AE4" s="1835" t="s">
        <v>1849</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1850</v>
      </c>
      <c r="B5" s="1882" t="s">
        <v>1851</v>
      </c>
      <c r="C5" s="1883" t="s">
        <v>1852</v>
      </c>
      <c r="D5" s="1884" t="s">
        <v>1853</v>
      </c>
      <c r="E5" s="1178" t="s">
        <v>1854</v>
      </c>
      <c r="F5" s="1885" t="s">
        <v>1855</v>
      </c>
      <c r="G5" s="1178" t="s">
        <v>1856</v>
      </c>
      <c r="H5" s="1178" t="s">
        <v>1857</v>
      </c>
      <c r="I5" s="1178" t="s">
        <v>1858</v>
      </c>
      <c r="J5" s="1886" t="s">
        <v>1859</v>
      </c>
      <c r="K5" s="1887" t="s">
        <v>1860</v>
      </c>
      <c r="L5" s="1888" t="s">
        <v>1861</v>
      </c>
      <c r="M5" s="1889" t="s">
        <v>1862</v>
      </c>
      <c r="N5" s="1890" t="s">
        <v>3162</v>
      </c>
      <c r="O5" s="1888" t="s">
        <v>1863</v>
      </c>
      <c r="P5" s="1891" t="s">
        <v>1864</v>
      </c>
      <c r="Q5" s="65" t="s">
        <v>1865</v>
      </c>
      <c r="R5" s="1892" t="s">
        <v>1866</v>
      </c>
      <c r="S5" s="1893" t="s">
        <v>1867</v>
      </c>
      <c r="T5" s="1894" t="s">
        <v>1868</v>
      </c>
      <c r="U5" s="1177" t="s">
        <v>1869</v>
      </c>
      <c r="V5" s="1178" t="s">
        <v>1870</v>
      </c>
      <c r="W5" s="1178" t="s">
        <v>1871</v>
      </c>
      <c r="X5" s="67"/>
      <c r="Y5" s="66" t="s">
        <v>1872</v>
      </c>
      <c r="Z5" s="1895" t="s">
        <v>1869</v>
      </c>
      <c r="AA5" s="1178" t="s">
        <v>1870</v>
      </c>
      <c r="AB5" s="1178" t="s">
        <v>1871</v>
      </c>
      <c r="AC5" s="67"/>
      <c r="AD5" s="67" t="s">
        <v>1872</v>
      </c>
      <c r="AE5" s="1177" t="s">
        <v>1873</v>
      </c>
      <c r="AF5" s="1178" t="s">
        <v>1874</v>
      </c>
      <c r="AG5" s="66" t="s">
        <v>1875</v>
      </c>
      <c r="AH5" s="1177" t="s">
        <v>1876</v>
      </c>
      <c r="AI5" s="1895" t="s">
        <v>1877</v>
      </c>
      <c r="AJ5" s="1895" t="s">
        <v>1878</v>
      </c>
      <c r="AK5" s="1178" t="s">
        <v>1879</v>
      </c>
      <c r="AL5" s="1178" t="s">
        <v>1880</v>
      </c>
      <c r="AM5" s="66" t="s">
        <v>1881</v>
      </c>
      <c r="AN5" s="1896" t="s">
        <v>1882</v>
      </c>
      <c r="AO5" s="1747" t="s">
        <v>1883</v>
      </c>
      <c r="AP5" s="1159" t="s">
        <v>1884</v>
      </c>
      <c r="AQ5" s="1897" t="s">
        <v>1885</v>
      </c>
      <c r="AR5" s="1897" t="s">
        <v>1886</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A</v>
      </c>
      <c r="B6" s="1899" t="str">
        <f>IF(A6=0,"","经营性")</f>
        <v>经营性</v>
      </c>
      <c r="C6" s="1900" t="s">
        <v>1339</v>
      </c>
      <c r="D6" s="967">
        <f>SUMIF(项目基本情况!D$12:I$12,C6,项目基本情况!D$14:I$14)</f>
        <v>50</v>
      </c>
      <c r="E6" s="966">
        <f>IF(B6="","",SUMIF(项目基本情况!D$12:I$12,C6,项目基本情况!D$13:I$13))</f>
        <v>59916</v>
      </c>
      <c r="F6" s="68">
        <f>SUMIF(项目基本情况!D$12:I$12,C6,项目基本情况!D$15:I$15)</f>
        <v>42.08</v>
      </c>
      <c r="G6" s="69">
        <f>IF(ISERROR(ROUND(POWER(1+H6,D6-F6)*(POWER(1+H6,F6)-1)/(POWER(1+H6,D6)-1),3)),0,ROUND(POWER(1+H6,D6-F6)*(POWER(1+H6,F6)-1)/(POWER(1+H6,D6)-1),3))</f>
        <v>0.96099999999999997</v>
      </c>
      <c r="H6" s="741">
        <v>5.5E-2</v>
      </c>
      <c r="I6" s="741">
        <v>0.06</v>
      </c>
      <c r="J6" s="70">
        <v>7.4999999999999997E-2</v>
      </c>
      <c r="K6" s="1161">
        <f>SUMIF('数据-汇总表'!C$19:C$33,A6,'数据-汇总表'!E$19:E$33)</f>
        <v>45156.59</v>
      </c>
      <c r="L6" s="3527">
        <v>20000</v>
      </c>
      <c r="M6" s="71">
        <f t="shared" ref="M6:M14" si="0">ROUND(K6*L6/10000,0)</f>
        <v>90313</v>
      </c>
      <c r="N6" s="740">
        <f>ROUND(1-(2021-2019)/60,2)</f>
        <v>0.97</v>
      </c>
      <c r="O6" s="71" t="str">
        <f>IF($N$5="成新度","——",ROUND(M6*N6,0))</f>
        <v>——</v>
      </c>
      <c r="P6" s="72" t="str">
        <f>IF($N$5="成新度","——",M6-O6)</f>
        <v>——</v>
      </c>
      <c r="Q6" s="743">
        <v>0.15</v>
      </c>
      <c r="R6" s="73">
        <f ca="1">SUMIF('数据-汇总表'!C$19:C$33,A6,'数据-汇总表'!R$19:R$27)</f>
        <v>63585.59</v>
      </c>
      <c r="S6" s="54">
        <f>IF('数据-汇总表'!$I$17="按面积比例",SUMIF('数据-汇总表'!C$19:C$33,A6,'数据-汇总表'!K$19:K$33),SUMIF('数据-汇总表'!C$19:C$33,A6,'数据-汇总表'!N$19:N$33))</f>
        <v>0</v>
      </c>
      <c r="T6" s="1334">
        <f>ROUND($L$14*S6/10000,0)</f>
        <v>0</v>
      </c>
      <c r="U6" s="74">
        <v>2</v>
      </c>
      <c r="V6" s="75">
        <v>0.02</v>
      </c>
      <c r="W6" s="75">
        <v>0.3</v>
      </c>
      <c r="X6" s="1171"/>
      <c r="Y6" s="76">
        <f>N6</f>
        <v>0.97</v>
      </c>
      <c r="Z6" s="77"/>
      <c r="AA6" s="70"/>
      <c r="AB6" s="70"/>
      <c r="AC6" s="1171"/>
      <c r="AD6" s="78"/>
      <c r="AE6" s="1172">
        <f ca="1">IF(AN6="",0,SUMIF(INDIRECT("'"&amp;AN6&amp;"'"&amp;"!E:E"),$AE$5,INDIRECT("'"&amp;AN6&amp;"'"&amp;"!F:F")))</f>
        <v>42.08</v>
      </c>
      <c r="AF6" s="1532"/>
      <c r="AG6" s="143">
        <f>IF(AF6="",0,AE6-AF6)</f>
        <v>0</v>
      </c>
      <c r="AH6" s="79"/>
      <c r="AI6" s="81">
        <v>365</v>
      </c>
      <c r="AJ6" s="82"/>
      <c r="AK6" s="3528">
        <v>8.0000000000000002E-3</v>
      </c>
      <c r="AL6" s="3529">
        <v>1E-3</v>
      </c>
      <c r="AM6" s="92">
        <v>0.01</v>
      </c>
      <c r="AN6" s="1901" t="s">
        <v>3163</v>
      </c>
      <c r="AO6" s="55">
        <f ca="1">SUMIF(INDIRECT("'"&amp;AN6&amp;"'"&amp;"!A:A"),"总价",INDIRECT("'"&amp;AN6&amp;"'"&amp;"!B:B"))</f>
        <v>14593</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t="str">
        <f>'数据-汇总表'!C20</f>
        <v>B</v>
      </c>
      <c r="B7" s="1899" t="str">
        <f t="shared" ref="B7:B13" si="1">IF(A7=0,"","经营性")</f>
        <v>经营性</v>
      </c>
      <c r="C7" s="1900" t="s">
        <v>1339</v>
      </c>
      <c r="D7" s="967">
        <f>SUMIF(项目基本情况!D$12:I$12,C7,项目基本情况!D$14:I$14)</f>
        <v>50</v>
      </c>
      <c r="E7" s="966">
        <f>IF(B7="","",SUMIF(项目基本情况!D$12:I$12,C7,项目基本情况!D$13:I$13))</f>
        <v>59916</v>
      </c>
      <c r="F7" s="68">
        <f>SUMIF(项目基本情况!D$12:I$12,C7,项目基本情况!D$15:I$15)</f>
        <v>42.08</v>
      </c>
      <c r="G7" s="69">
        <f t="shared" ref="G7:G11" si="2">IF(ISERROR(ROUND(POWER(1+H7,D7-F7)*(POWER(1+H7,F7)-1)/(POWER(1+H7,D7)-1),3)),0,ROUND(POWER(1+H7,D7-F7)*(POWER(1+H7,F7)-1)/(POWER(1+H7,D7)-1),3))</f>
        <v>0.96099999999999997</v>
      </c>
      <c r="H7" s="741">
        <f>H6</f>
        <v>5.5E-2</v>
      </c>
      <c r="I7" s="741">
        <f>I6</f>
        <v>0.06</v>
      </c>
      <c r="J7" s="70">
        <f>J6</f>
        <v>7.4999999999999997E-2</v>
      </c>
      <c r="K7" s="1161">
        <f>SUMIF('数据-汇总表'!C$19:C$33,A7,'数据-汇总表'!E$19:E$33)</f>
        <v>48448.81</v>
      </c>
      <c r="L7" s="3527">
        <v>11000</v>
      </c>
      <c r="M7" s="71">
        <f t="shared" si="0"/>
        <v>53294</v>
      </c>
      <c r="N7" s="740">
        <f>N6</f>
        <v>0.97</v>
      </c>
      <c r="O7" s="71" t="str">
        <f t="shared" ref="O7:O14" si="3">IF($N$5="成新度","——",ROUND(M7*N7,0))</f>
        <v>——</v>
      </c>
      <c r="P7" s="72" t="str">
        <f t="shared" ref="P7:P14" si="4">IF($N$5="成新度","——",M7-O7)</f>
        <v>——</v>
      </c>
      <c r="Q7" s="743">
        <f>Q6</f>
        <v>0.15</v>
      </c>
      <c r="R7" s="73">
        <f ca="1">SUMIF('数据-汇总表'!C$19:C$33,A7,'数据-汇总表'!R$19:R$27)</f>
        <v>68221.41</v>
      </c>
      <c r="S7" s="54">
        <f>IF('数据-汇总表'!$I$17="按面积比例",SUMIF('数据-汇总表'!C$19:C$33,A7,'数据-汇总表'!K$19:K$33),SUMIF('数据-汇总表'!C$19:C$33,A7,'数据-汇总表'!N$19:N$33))</f>
        <v>0</v>
      </c>
      <c r="T7" s="1334">
        <f t="shared" ref="T7:T13" si="5">ROUND($L$14*S7/10000,0)</f>
        <v>0</v>
      </c>
      <c r="U7" s="74">
        <f>U6</f>
        <v>2</v>
      </c>
      <c r="V7" s="75">
        <v>0.02</v>
      </c>
      <c r="W7" s="75">
        <v>0.3</v>
      </c>
      <c r="X7" s="1171"/>
      <c r="Y7" s="76">
        <f>N7</f>
        <v>0.97</v>
      </c>
      <c r="Z7" s="77"/>
      <c r="AA7" s="70"/>
      <c r="AB7" s="70"/>
      <c r="AC7" s="1171"/>
      <c r="AD7" s="78"/>
      <c r="AE7" s="1172">
        <f t="shared" ref="AE7:AE13" ca="1" si="6">IF(AN7="",0,SUMIF(INDIRECT("'"&amp;AN7&amp;"'"&amp;"!E:E"),$AE$5,INDIRECT("'"&amp;AN7&amp;"'"&amp;"!F:F")))</f>
        <v>42.08</v>
      </c>
      <c r="AF7" s="1532"/>
      <c r="AG7" s="143">
        <f t="shared" ref="AG7:AG13" si="7">IF(AF7="",0,AE7-AF7)</f>
        <v>0</v>
      </c>
      <c r="AH7" s="79"/>
      <c r="AI7" s="81">
        <v>365</v>
      </c>
      <c r="AJ7" s="82"/>
      <c r="AK7" s="3528">
        <v>1.4999999999999999E-2</v>
      </c>
      <c r="AL7" s="3529">
        <v>1.5E-3</v>
      </c>
      <c r="AM7" s="92">
        <v>0.01</v>
      </c>
      <c r="AN7" s="1901" t="s">
        <v>3499</v>
      </c>
      <c r="AO7" s="55">
        <f t="shared" ref="AO7:AO13" ca="1" si="8">SUMIF(INDIRECT("'"&amp;AN7&amp;"'"&amp;"!A:A"),"总价",INDIRECT("'"&amp;AN7&amp;"'"&amp;"!B:B"))</f>
        <v>15255</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1887</v>
      </c>
      <c r="B14" s="1899" t="s">
        <v>1888</v>
      </c>
      <c r="C14" s="1904" t="s">
        <v>1887</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1889</v>
      </c>
      <c r="B15" s="1899" t="s">
        <v>1888</v>
      </c>
      <c r="C15" s="1904" t="s">
        <v>1890</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1891</v>
      </c>
      <c r="B16" s="93"/>
      <c r="C16" s="942"/>
      <c r="D16" s="1906"/>
      <c r="E16" s="93"/>
      <c r="F16" s="93"/>
      <c r="G16" s="94">
        <f>ROUND(SUMPRODUCT(G6:G13,K6:K13)/SUMPRODUCT((G6:G13&gt;0)*(K6:K13)),3)</f>
        <v>0.96099999999999997</v>
      </c>
      <c r="H16" s="95">
        <f>ROUND(SUMPRODUCT(H6:H13,K6:K13)/SUMPRODUCT((H6:H13&gt;0)*(K6:K13)),3)</f>
        <v>5.5E-2</v>
      </c>
      <c r="I16" s="96"/>
      <c r="J16" s="96"/>
      <c r="K16" s="97">
        <f>SUM(K6:K15)</f>
        <v>93605.4</v>
      </c>
      <c r="L16" s="98">
        <f>ROUND(M16*10000/SUM(K6:K14),0)</f>
        <v>15342</v>
      </c>
      <c r="M16" s="98">
        <f>SUM(M6:M14)</f>
        <v>143607</v>
      </c>
      <c r="N16" s="99">
        <f>ROUND(SUMPRODUCT(M6:M14,N6:N14)/M16,3)</f>
        <v>0.97</v>
      </c>
      <c r="O16" s="98">
        <f>SUM(O6:O14)</f>
        <v>0</v>
      </c>
      <c r="P16" s="98">
        <f>SUM(P6:P14)</f>
        <v>0</v>
      </c>
      <c r="Q16" s="100">
        <f>ROUND(SUMPRODUCT(Q6:Q13,K6:K13)/SUMPRODUCT((Q6:Q13&gt;0)*(K6:K13)),2)</f>
        <v>0.15</v>
      </c>
      <c r="R16" s="1165">
        <f ca="1">SUM(R6:R13)</f>
        <v>131807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1892</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1893</v>
      </c>
      <c r="B19" s="108">
        <v>0</v>
      </c>
      <c r="C19" s="3030" t="s">
        <v>3047</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1894</v>
      </c>
      <c r="B20" s="3530">
        <v>2</v>
      </c>
      <c r="C20" s="3031" t="s">
        <v>3045</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1895</v>
      </c>
      <c r="B21" s="109">
        <v>2</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1896</v>
      </c>
      <c r="B22" s="110">
        <f>B19+B20</f>
        <v>2</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1897</v>
      </c>
      <c r="B23" s="110">
        <f>B19+B21</f>
        <v>2</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1898</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1899</v>
      </c>
      <c r="B26" s="1912" t="s">
        <v>1900</v>
      </c>
      <c r="C26" s="2906" t="s">
        <v>1901</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31.5" customHeight="1">
      <c r="A27" s="1913" t="s">
        <v>1902</v>
      </c>
      <c r="B27" s="112"/>
      <c r="C27" s="3032" t="s">
        <v>3049</v>
      </c>
      <c r="D27" s="3090" t="s">
        <v>3525</v>
      </c>
      <c r="E27" s="3089" t="s">
        <v>3526</v>
      </c>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1903</v>
      </c>
      <c r="B28" s="115">
        <v>185.8</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1904</v>
      </c>
      <c r="B29" s="117"/>
      <c r="C29" s="3033" t="s">
        <v>3036</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1905</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1906</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1907</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1908</v>
      </c>
      <c r="B33" s="682">
        <v>0.03</v>
      </c>
      <c r="C33" s="3034" t="s">
        <v>3037</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1909</v>
      </c>
      <c r="B34" s="118">
        <v>0.05</v>
      </c>
      <c r="C34" s="3034" t="s">
        <v>3038</v>
      </c>
      <c r="D34" s="2913" t="s">
        <v>3046</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1910</v>
      </c>
      <c r="B35" s="115">
        <v>200</v>
      </c>
      <c r="C35" s="3034" t="s">
        <v>3039</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1911</v>
      </c>
      <c r="B36" s="119">
        <v>1.4999999999999999E-2</v>
      </c>
      <c r="C36" s="3034" t="s">
        <v>3040</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1912</v>
      </c>
      <c r="B37" s="120">
        <v>0.01</v>
      </c>
      <c r="C37" s="3034" t="s">
        <v>3041</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1913</v>
      </c>
      <c r="B38" s="118">
        <v>0.01</v>
      </c>
      <c r="C38" s="3034" t="s">
        <v>3041</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1914</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29.25" thickBot="1">
      <c r="A40" s="3046" t="s">
        <v>3161</v>
      </c>
      <c r="B40" s="1210">
        <f ca="1">IF(A40="利息：取LPR",存贷款利率!G1,存贷款利率!G1+C40)</f>
        <v>4.3499999999999997E-2</v>
      </c>
      <c r="C40" s="3045">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1915</v>
      </c>
      <c r="B41" s="121">
        <f>B42+B43</f>
        <v>5.6000000000000001E-2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1916</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1917</v>
      </c>
      <c r="B43" s="123">
        <f>B42*(B44+B45+B46)+B47</f>
        <v>6.000000000000001E-3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1918</v>
      </c>
      <c r="B44" s="124">
        <v>7.0000000000000007E-2</v>
      </c>
      <c r="C44" s="3034" t="s">
        <v>3050</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1919</v>
      </c>
      <c r="B45" s="122">
        <v>0.03</v>
      </c>
      <c r="C45" s="3033" t="s">
        <v>3042</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1920</v>
      </c>
      <c r="B46" s="122">
        <v>0.02</v>
      </c>
      <c r="C46" s="3033" t="s">
        <v>3043</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1921</v>
      </c>
      <c r="B47" s="125"/>
      <c r="C47" s="3036" t="s">
        <v>3051</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1922</v>
      </c>
      <c r="B48" s="126">
        <v>0.03</v>
      </c>
      <c r="C48" s="3033" t="s">
        <v>3042</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1923</v>
      </c>
      <c r="B49" s="122">
        <v>5.0000000000000001E-4</v>
      </c>
      <c r="C49" s="3033" t="s">
        <v>3044</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1924</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1925</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1926</v>
      </c>
      <c r="B52" s="129">
        <f>SUMIF(A54:A63,B53,B54:B63)</f>
        <v>11.2</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1927</v>
      </c>
      <c r="B53" s="1924" t="s">
        <v>212</v>
      </c>
      <c r="C53" s="2888" t="s">
        <v>1928</v>
      </c>
      <c r="D53" s="3035" t="s">
        <v>3048</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1929</v>
      </c>
      <c r="B54" s="80">
        <v>11.2</v>
      </c>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1930</v>
      </c>
      <c r="B55" s="80">
        <v>9.6</v>
      </c>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1931</v>
      </c>
      <c r="B56" s="80">
        <v>4.8</v>
      </c>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1932</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1933</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1934</v>
      </c>
      <c r="B59" s="80"/>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1935</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1936</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1937</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1938</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2"/>
  </cols>
  <sheetData>
    <row r="1" spans="1:29" s="2683" customFormat="1" ht="18.75" thickBot="1">
      <c r="A1" s="3260" t="s">
        <v>3028</v>
      </c>
      <c r="B1" s="3261"/>
      <c r="C1" s="3261"/>
      <c r="D1" s="3261"/>
      <c r="E1" s="3261"/>
      <c r="F1" s="3261"/>
      <c r="G1" s="3261"/>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3023</v>
      </c>
      <c r="D2" s="2687"/>
      <c r="E2" s="2684"/>
      <c r="F2" s="2688"/>
      <c r="G2" s="2686" t="s">
        <v>3024</v>
      </c>
      <c r="H2" s="907"/>
      <c r="I2" s="907"/>
      <c r="J2" s="907"/>
      <c r="K2" s="907"/>
      <c r="L2" s="907"/>
      <c r="M2" s="907"/>
      <c r="N2" s="907"/>
      <c r="O2" s="907"/>
      <c r="P2" s="907"/>
      <c r="Q2" s="907"/>
      <c r="R2" s="907"/>
    </row>
    <row r="3" spans="1:29" ht="48">
      <c r="A3" s="2667" t="s">
        <v>3025</v>
      </c>
      <c r="B3" s="2689" t="s">
        <v>2994</v>
      </c>
      <c r="C3" s="2690" t="s">
        <v>3026</v>
      </c>
      <c r="D3" s="2691"/>
      <c r="E3" s="2668" t="s">
        <v>3025</v>
      </c>
      <c r="F3" s="2692" t="s">
        <v>2995</v>
      </c>
      <c r="G3" s="2693" t="s">
        <v>3027</v>
      </c>
      <c r="H3" s="907"/>
      <c r="I3" s="907"/>
      <c r="J3" s="907"/>
      <c r="K3" s="907"/>
      <c r="L3" s="907"/>
      <c r="M3" s="907"/>
      <c r="N3" s="907"/>
      <c r="O3" s="907"/>
      <c r="P3" s="907"/>
      <c r="Q3" s="907"/>
      <c r="R3" s="907"/>
    </row>
    <row r="4" spans="1:29" ht="36.75">
      <c r="A4" s="2668"/>
      <c r="B4" s="329" t="s">
        <v>2996</v>
      </c>
      <c r="C4" s="2694" t="s">
        <v>2997</v>
      </c>
      <c r="D4" s="2691"/>
      <c r="E4" s="2695"/>
      <c r="F4" s="1557" t="s">
        <v>2998</v>
      </c>
      <c r="G4" s="2696" t="s">
        <v>2999</v>
      </c>
      <c r="H4" s="907"/>
      <c r="I4" s="907"/>
      <c r="J4" s="907"/>
      <c r="K4" s="907"/>
      <c r="L4" s="907"/>
      <c r="M4" s="907"/>
      <c r="N4" s="907"/>
      <c r="O4" s="907"/>
      <c r="P4" s="907"/>
      <c r="Q4" s="907"/>
      <c r="R4" s="907"/>
    </row>
    <row r="5" spans="1:29" ht="36.75">
      <c r="A5" s="2668"/>
      <c r="B5" s="329" t="s">
        <v>3000</v>
      </c>
      <c r="C5" s="2694" t="s">
        <v>3001</v>
      </c>
      <c r="D5" s="2691"/>
      <c r="E5" s="2695"/>
      <c r="F5" s="329" t="s">
        <v>3002</v>
      </c>
      <c r="G5" s="2696" t="s">
        <v>3003</v>
      </c>
      <c r="H5" s="907"/>
      <c r="I5" s="907"/>
      <c r="J5" s="907"/>
      <c r="K5" s="907"/>
      <c r="L5" s="907"/>
      <c r="M5" s="907"/>
      <c r="N5" s="907"/>
      <c r="O5" s="907"/>
      <c r="P5" s="907"/>
      <c r="Q5" s="907"/>
      <c r="R5" s="907"/>
    </row>
    <row r="6" spans="1:29" ht="36">
      <c r="A6" s="2668"/>
      <c r="B6" s="329" t="s">
        <v>3004</v>
      </c>
      <c r="C6" s="2696" t="s">
        <v>2999</v>
      </c>
      <c r="D6" s="2691"/>
      <c r="E6" s="2695"/>
      <c r="F6" s="329" t="s">
        <v>3005</v>
      </c>
      <c r="G6" s="2696" t="s">
        <v>3006</v>
      </c>
      <c r="H6" s="907"/>
      <c r="I6" s="907"/>
      <c r="J6" s="907"/>
      <c r="K6" s="907"/>
      <c r="L6" s="907"/>
      <c r="M6" s="907"/>
      <c r="N6" s="907"/>
      <c r="O6" s="907"/>
      <c r="P6" s="907"/>
      <c r="Q6" s="907"/>
      <c r="R6" s="907"/>
    </row>
    <row r="7" spans="1:29" ht="24.75" thickBot="1">
      <c r="A7" s="2668"/>
      <c r="B7" s="329" t="s">
        <v>3002</v>
      </c>
      <c r="C7" s="2696" t="s">
        <v>3003</v>
      </c>
      <c r="D7" s="2697"/>
      <c r="E7" s="2698"/>
      <c r="F7" s="2699" t="s">
        <v>3007</v>
      </c>
      <c r="G7" s="2700" t="s">
        <v>3008</v>
      </c>
      <c r="H7" s="907"/>
      <c r="I7" s="907"/>
      <c r="J7" s="907"/>
      <c r="K7" s="907"/>
      <c r="L7" s="907"/>
      <c r="M7" s="907"/>
      <c r="N7" s="907"/>
      <c r="O7" s="907"/>
      <c r="P7" s="907"/>
      <c r="Q7" s="907"/>
      <c r="R7" s="907"/>
    </row>
    <row r="8" spans="1:29">
      <c r="A8" s="2668"/>
      <c r="B8" s="329" t="s">
        <v>3005</v>
      </c>
      <c r="C8" s="2696" t="s">
        <v>3006</v>
      </c>
      <c r="D8" s="2697"/>
      <c r="E8" s="2697"/>
      <c r="F8" s="2701"/>
      <c r="G8" s="2701"/>
      <c r="H8" s="907"/>
      <c r="I8" s="907"/>
      <c r="J8" s="907"/>
      <c r="K8" s="907"/>
      <c r="L8" s="907"/>
      <c r="M8" s="907"/>
      <c r="N8" s="907"/>
      <c r="O8" s="907"/>
      <c r="P8" s="907"/>
      <c r="Q8" s="907"/>
      <c r="R8" s="907"/>
    </row>
    <row r="9" spans="1:29" ht="24">
      <c r="A9" s="2668"/>
      <c r="B9" s="329" t="s">
        <v>3009</v>
      </c>
      <c r="C9" s="2694" t="s">
        <v>3010</v>
      </c>
      <c r="D9" s="2691"/>
      <c r="E9" s="2697"/>
      <c r="F9" s="2701"/>
      <c r="G9" s="2701"/>
      <c r="H9" s="907"/>
      <c r="I9" s="907"/>
      <c r="J9" s="907"/>
      <c r="K9" s="907"/>
      <c r="L9" s="907"/>
      <c r="M9" s="907"/>
      <c r="N9" s="907"/>
      <c r="O9" s="907"/>
      <c r="P9" s="907"/>
      <c r="Q9" s="907"/>
      <c r="R9" s="907"/>
    </row>
    <row r="10" spans="1:29" s="2707" customFormat="1" ht="15" thickBot="1">
      <c r="A10" s="2669"/>
      <c r="B10" s="2702" t="s">
        <v>3011</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3029</v>
      </c>
      <c r="B13" s="2710"/>
      <c r="C13" s="2710"/>
      <c r="D13" s="2708"/>
      <c r="E13" s="2710"/>
      <c r="F13" s="2710"/>
      <c r="G13" s="2710"/>
    </row>
    <row r="14" spans="1:29" ht="15" thickBot="1">
      <c r="A14" s="2720"/>
      <c r="B14" s="2720"/>
      <c r="C14" s="2721" t="s">
        <v>3012</v>
      </c>
      <c r="D14" s="2691"/>
      <c r="E14" s="2722"/>
      <c r="F14" s="2722"/>
      <c r="G14" s="2686" t="s">
        <v>3013</v>
      </c>
    </row>
    <row r="15" spans="1:29" ht="51">
      <c r="A15" s="2670" t="s">
        <v>3014</v>
      </c>
      <c r="B15" s="2723" t="s">
        <v>2994</v>
      </c>
      <c r="C15" s="2724" t="str">
        <f>C3</f>
        <v>估价对象周边居住用地比例、居住小区规模和社区发展完善程度，综合评价居住社区成熟度一般</v>
      </c>
      <c r="D15" s="2691"/>
      <c r="E15" s="2671" t="s">
        <v>3015</v>
      </c>
      <c r="F15" s="2723" t="s">
        <v>3016</v>
      </c>
      <c r="G15" s="2725" t="str">
        <f>G3</f>
        <v>估价对象位于XX开发区，园区建设成熟度XX，产业集聚程度XX</v>
      </c>
    </row>
    <row r="16" spans="1:29" ht="38.25">
      <c r="A16" s="2672"/>
      <c r="B16" s="2726" t="s">
        <v>2996</v>
      </c>
      <c r="C16" s="2727" t="str">
        <f>C4</f>
        <v>估价对象位于XX商圈，周边商业氛围成熟，人流量大，商业繁华度好</v>
      </c>
      <c r="D16" s="2691"/>
      <c r="E16" s="2673"/>
      <c r="F16" s="2728" t="s">
        <v>2998</v>
      </c>
      <c r="G16" s="2729" t="str">
        <f>G4</f>
        <v>估价对象周边道路状况、公共交通通达情况、停车便捷程度，综合评价交通便捷度较好</v>
      </c>
    </row>
    <row r="17" spans="1:18" ht="38.25">
      <c r="A17" s="2672"/>
      <c r="B17" s="2726" t="s">
        <v>3000</v>
      </c>
      <c r="C17" s="2727" t="str">
        <f>C5</f>
        <v>估价对象位于XX商圈，周边办公楼项目较多，入驻率高，办公集聚程度较好</v>
      </c>
      <c r="D17" s="2697"/>
      <c r="E17" s="2673"/>
      <c r="F17" s="2728" t="s">
        <v>3017</v>
      </c>
      <c r="G17" s="2730"/>
    </row>
    <row r="18" spans="1:18" ht="38.25">
      <c r="A18" s="2672"/>
      <c r="B18" s="2728" t="s">
        <v>3004</v>
      </c>
      <c r="C18" s="2729" t="str">
        <f>C6</f>
        <v>估价对象周边道路状况、公共交通通达情况、停车便捷程度，综合评价交通便捷度较好</v>
      </c>
      <c r="D18" s="2697"/>
      <c r="E18" s="2673"/>
      <c r="F18" s="2728" t="s">
        <v>3007</v>
      </c>
      <c r="G18" s="2729" t="str">
        <f>G7</f>
        <v>该园区内是否有污染型企业，绿化情况，卫生条件，整体环境状况判断</v>
      </c>
    </row>
    <row r="19" spans="1:18" ht="25.5">
      <c r="A19" s="2672"/>
      <c r="B19" s="2728" t="s">
        <v>3018</v>
      </c>
      <c r="C19" s="2730"/>
      <c r="D19" s="2691"/>
      <c r="E19" s="2673"/>
      <c r="F19" s="329" t="s">
        <v>3002</v>
      </c>
      <c r="G19" s="2729" t="str">
        <f>G5</f>
        <v>估价对象所在区域公共配套设施齐备情况</v>
      </c>
    </row>
    <row r="20" spans="1:18" ht="25.5">
      <c r="A20" s="2672"/>
      <c r="B20" s="2728" t="s">
        <v>3019</v>
      </c>
      <c r="C20" s="2727" t="str">
        <f>C9</f>
        <v>区域自然环境：；人文环境；综合评价环境状况一般</v>
      </c>
      <c r="D20" s="2697"/>
      <c r="E20" s="2673"/>
      <c r="F20" s="329" t="s">
        <v>3005</v>
      </c>
      <c r="G20" s="2729" t="str">
        <f>G6</f>
        <v>估价对象所在区域基础设施水平</v>
      </c>
    </row>
    <row r="21" spans="1:18" ht="25.5">
      <c r="A21" s="2672"/>
      <c r="B21" s="329" t="s">
        <v>3002</v>
      </c>
      <c r="C21" s="2729" t="str">
        <f>C7</f>
        <v>估价对象所在区域公共配套设施齐备情况</v>
      </c>
      <c r="D21" s="2691"/>
      <c r="E21" s="2673"/>
      <c r="F21" s="2728" t="s">
        <v>3020</v>
      </c>
      <c r="G21" s="2731"/>
    </row>
    <row r="22" spans="1:18" ht="13.5" customHeight="1">
      <c r="A22" s="2672"/>
      <c r="B22" s="329" t="s">
        <v>3005</v>
      </c>
      <c r="C22" s="2729" t="str">
        <f>C8</f>
        <v>估价对象所在区域基础设施水平</v>
      </c>
      <c r="D22" s="2691"/>
      <c r="E22" s="2673"/>
      <c r="F22" s="2728" t="s">
        <v>3011</v>
      </c>
      <c r="G22" s="2730"/>
    </row>
    <row r="23" spans="1:18" s="907" customFormat="1" ht="15" thickBot="1">
      <c r="A23" s="2672"/>
      <c r="B23" s="2728" t="s">
        <v>3020</v>
      </c>
      <c r="C23" s="2731"/>
      <c r="D23" s="1927"/>
      <c r="E23" s="2674"/>
      <c r="F23" s="2732" t="s">
        <v>3021</v>
      </c>
      <c r="G23" s="2733"/>
      <c r="H23" s="2717"/>
      <c r="I23" s="2718"/>
      <c r="J23" s="2717"/>
      <c r="K23" s="2717"/>
      <c r="L23" s="2718"/>
      <c r="M23" s="2717"/>
      <c r="N23" s="2717"/>
      <c r="O23" s="2718"/>
      <c r="P23" s="2717"/>
      <c r="Q23" s="2717"/>
      <c r="R23" s="2719"/>
    </row>
    <row r="24" spans="1:18" s="907" customFormat="1" ht="15" thickBot="1">
      <c r="A24" s="2675"/>
      <c r="B24" s="2732" t="s">
        <v>3022</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33"/>
  <sheetViews>
    <sheetView view="pageBreakPreview" zoomScale="80" zoomScaleNormal="80" zoomScaleSheetLayoutView="80" workbookViewId="0">
      <selection activeCell="B30" sqref="B30"/>
    </sheetView>
  </sheetViews>
  <sheetFormatPr defaultColWidth="9" defaultRowHeight="13.5"/>
  <cols>
    <col min="1" max="1" width="25" style="2739" customWidth="1"/>
    <col min="2" max="9" width="15.75" style="2739" customWidth="1"/>
    <col min="10" max="16384" width="9" style="2739"/>
  </cols>
  <sheetData>
    <row r="1" spans="1:11" ht="16.5">
      <c r="A1" s="2738" t="s">
        <v>1327</v>
      </c>
      <c r="B1" s="2738">
        <f>SUM(B14:B23)</f>
        <v>152399.78999999998</v>
      </c>
      <c r="C1" s="2915"/>
      <c r="D1" s="2915"/>
      <c r="E1" s="2915"/>
      <c r="F1" s="2915"/>
      <c r="G1" s="2916"/>
      <c r="H1" s="2917"/>
      <c r="I1" s="2917"/>
      <c r="J1" s="2917"/>
      <c r="K1" s="2917"/>
    </row>
    <row r="2" spans="1:11" ht="16.5">
      <c r="A2" s="2738" t="s">
        <v>1315</v>
      </c>
      <c r="B2" s="2738">
        <f>SUM(C14:C23)</f>
        <v>264896</v>
      </c>
      <c r="C2" s="2915"/>
      <c r="D2" s="2915"/>
      <c r="E2" s="2915"/>
      <c r="F2" s="2915"/>
      <c r="G2" s="2916"/>
      <c r="H2" s="2917"/>
      <c r="I2" s="2917"/>
      <c r="J2" s="2917"/>
      <c r="K2" s="2917"/>
    </row>
    <row r="3" spans="1:11" ht="16.5">
      <c r="A3" s="2738" t="s">
        <v>1324</v>
      </c>
      <c r="B3" s="2740">
        <f>项目基本情况!D3</f>
        <v>44555</v>
      </c>
      <c r="C3" s="2915"/>
      <c r="D3" s="2915"/>
      <c r="E3" s="2915"/>
      <c r="F3" s="2915"/>
      <c r="G3" s="2916"/>
      <c r="H3" s="2917"/>
      <c r="I3" s="2917"/>
      <c r="J3" s="2917"/>
      <c r="K3" s="2917"/>
    </row>
    <row r="4" spans="1:11" ht="33">
      <c r="A4" s="2738" t="s">
        <v>1323</v>
      </c>
      <c r="B4" s="2738" t="s">
        <v>1322</v>
      </c>
      <c r="C4" s="2738" t="s">
        <v>1321</v>
      </c>
      <c r="D4" s="2738" t="s">
        <v>1320</v>
      </c>
      <c r="E4" s="2915"/>
      <c r="F4" s="2916"/>
      <c r="G4" s="2916"/>
      <c r="H4" s="2917"/>
      <c r="I4" s="2917"/>
      <c r="J4" s="2917"/>
      <c r="K4" s="2917"/>
    </row>
    <row r="5" spans="1:11" ht="16.5">
      <c r="A5" s="2738" t="s">
        <v>1319</v>
      </c>
      <c r="B5" s="2738">
        <f ca="1">SUM(D14:D23)</f>
        <v>302397</v>
      </c>
      <c r="C5" s="2738">
        <f ca="1">ROUND(B5*10000/$B$1,0)</f>
        <v>19842</v>
      </c>
      <c r="D5" s="2738">
        <f ca="1">ROUND(B5*10000/$B$2,0)</f>
        <v>11416</v>
      </c>
      <c r="E5" s="2915"/>
      <c r="F5" s="2916"/>
      <c r="G5" s="2916"/>
      <c r="H5" s="2917"/>
      <c r="I5" s="2917"/>
      <c r="J5" s="2917"/>
      <c r="K5" s="2917"/>
    </row>
    <row r="6" spans="1:11" ht="16.5">
      <c r="A6" s="2738" t="s">
        <v>1318</v>
      </c>
      <c r="B6" s="2738">
        <f ca="1">SUM(G14:G23)</f>
        <v>302397</v>
      </c>
      <c r="C6" s="2738">
        <f ca="1">ROUND(B6*10000/$B$1,0)</f>
        <v>19842</v>
      </c>
      <c r="D6" s="2738">
        <f ca="1">ROUND(B6*10000/$B$2,0)</f>
        <v>11416</v>
      </c>
      <c r="E6" s="2915"/>
      <c r="F6" s="2916"/>
      <c r="G6" s="2916"/>
      <c r="H6" s="2917"/>
      <c r="I6" s="2917"/>
      <c r="J6" s="2917"/>
      <c r="K6" s="2917"/>
    </row>
    <row r="7" spans="1:11" ht="16.5">
      <c r="A7" s="2738" t="s">
        <v>1326</v>
      </c>
      <c r="B7" s="2738">
        <f>SUM(H14:H23)</f>
        <v>0</v>
      </c>
      <c r="C7" s="2738">
        <f>ROUND(B7*10000/$B$1,0)</f>
        <v>0</v>
      </c>
      <c r="D7" s="2738">
        <f>ROUND(B7*10000/$B$2,0)</f>
        <v>0</v>
      </c>
      <c r="E7" s="2915"/>
      <c r="F7" s="2916"/>
      <c r="G7" s="2916"/>
      <c r="H7" s="2917"/>
      <c r="I7" s="2917"/>
      <c r="J7" s="2917"/>
      <c r="K7" s="2917"/>
    </row>
    <row r="8" spans="1:11" ht="16.5">
      <c r="A8" s="2738" t="s">
        <v>1252</v>
      </c>
      <c r="B8" s="2738">
        <f>SUM(I14:I23)</f>
        <v>0</v>
      </c>
      <c r="C8" s="2738">
        <f>ROUND(B8*10000/$B$1,0)</f>
        <v>0</v>
      </c>
      <c r="D8" s="2738">
        <f>ROUND(B8*10000/$B$2,0)</f>
        <v>0</v>
      </c>
      <c r="E8" s="2915"/>
      <c r="F8" s="2916"/>
      <c r="G8" s="2916"/>
      <c r="H8" s="2917"/>
      <c r="I8" s="2917"/>
      <c r="J8" s="2917"/>
      <c r="K8" s="2917"/>
    </row>
    <row r="9" spans="1:11" ht="16.5">
      <c r="A9" s="2738" t="s">
        <v>1317</v>
      </c>
      <c r="B9" s="2746"/>
      <c r="C9" s="2915"/>
      <c r="D9" s="2915"/>
      <c r="E9" s="2915"/>
      <c r="F9" s="2916"/>
      <c r="G9" s="2916"/>
      <c r="H9" s="2917"/>
      <c r="I9" s="2917"/>
      <c r="J9" s="2917"/>
      <c r="K9" s="2917"/>
    </row>
    <row r="10" spans="1:11" ht="16.5">
      <c r="A10" s="2738" t="s">
        <v>1316</v>
      </c>
      <c r="B10" s="2746"/>
      <c r="C10" s="2915"/>
      <c r="D10" s="2915"/>
      <c r="E10" s="2915"/>
      <c r="F10" s="2916"/>
      <c r="G10" s="2916"/>
      <c r="H10" s="2917"/>
      <c r="I10" s="2917"/>
      <c r="J10" s="2917"/>
      <c r="K10" s="2917"/>
    </row>
    <row r="11" spans="1:11" ht="16.5">
      <c r="A11" s="2738" t="s">
        <v>1332</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1331</v>
      </c>
      <c r="B13" s="2742" t="s">
        <v>1328</v>
      </c>
      <c r="C13" s="2742" t="s">
        <v>1330</v>
      </c>
      <c r="D13" s="2742" t="s">
        <v>1329</v>
      </c>
      <c r="E13" s="2738" t="s">
        <v>1321</v>
      </c>
      <c r="F13" s="2738" t="s">
        <v>1320</v>
      </c>
      <c r="G13" s="2742" t="s">
        <v>1314</v>
      </c>
      <c r="H13" s="2742" t="s">
        <v>1325</v>
      </c>
      <c r="I13" s="2742" t="s">
        <v>1313</v>
      </c>
      <c r="J13" s="2916"/>
      <c r="K13" s="2917"/>
    </row>
    <row r="14" spans="1:11" ht="16.5">
      <c r="A14" s="2743" t="s">
        <v>3504</v>
      </c>
      <c r="B14" s="2744">
        <f>结果表!B118</f>
        <v>45156.59</v>
      </c>
      <c r="C14" s="2744">
        <f>结果表!C118</f>
        <v>63585.59</v>
      </c>
      <c r="D14" s="2744">
        <f ca="1">结果表!H118</f>
        <v>103329</v>
      </c>
      <c r="E14" s="2744">
        <f ca="1">ROUND(D14*10000/B14,0)</f>
        <v>22882</v>
      </c>
      <c r="F14" s="2744">
        <f ca="1">ROUND(D14*10000/C14,0)</f>
        <v>16250</v>
      </c>
      <c r="G14" s="2744">
        <f ca="1">结果表!D122</f>
        <v>103329</v>
      </c>
      <c r="H14" s="2744" t="str">
        <f>结果表!D124</f>
        <v>——</v>
      </c>
      <c r="I14" s="2744" t="str">
        <f>结果表!D126</f>
        <v>——</v>
      </c>
      <c r="J14" s="2916"/>
      <c r="K14" s="2917"/>
    </row>
    <row r="15" spans="1:11" ht="16.5">
      <c r="A15" s="2743" t="s">
        <v>3505</v>
      </c>
      <c r="B15" s="2745">
        <f>'结果表-B'!L18</f>
        <v>48448.81</v>
      </c>
      <c r="C15" s="2745">
        <f>'结果表-B'!L19</f>
        <v>68221.41</v>
      </c>
      <c r="D15" s="2745">
        <f ca="1">'结果表-B'!C104</f>
        <v>73676</v>
      </c>
      <c r="E15" s="2744">
        <f t="shared" ref="E15:E23" ca="1" si="0">ROUND(D15*10000/B15,0)</f>
        <v>15207</v>
      </c>
      <c r="F15" s="2744">
        <f t="shared" ref="F15:F23" ca="1" si="1">ROUND(D15*10000/C15,0)</f>
        <v>10800</v>
      </c>
      <c r="G15" s="1500">
        <f ca="1">D15</f>
        <v>73676</v>
      </c>
      <c r="H15" s="1500"/>
      <c r="I15" s="2745"/>
      <c r="J15" s="2916"/>
      <c r="K15" s="2917"/>
    </row>
    <row r="16" spans="1:11" ht="16.5">
      <c r="A16" s="2743" t="s">
        <v>3506</v>
      </c>
      <c r="B16" s="2745">
        <f>[1]结果表!$L$18</f>
        <v>37495.14</v>
      </c>
      <c r="C16" s="2745">
        <f>[1]结果表!$L$19</f>
        <v>84875.29</v>
      </c>
      <c r="D16" s="2745">
        <f>[1]结果表!$C$104</f>
        <v>79964</v>
      </c>
      <c r="E16" s="2744">
        <f t="shared" si="0"/>
        <v>21326</v>
      </c>
      <c r="F16" s="2744">
        <f t="shared" si="1"/>
        <v>9421</v>
      </c>
      <c r="G16" s="1500">
        <f t="shared" ref="G16:G17" si="2">D16</f>
        <v>79964</v>
      </c>
      <c r="H16" s="1500"/>
      <c r="I16" s="2745"/>
      <c r="J16" s="2917"/>
      <c r="K16" s="2917"/>
    </row>
    <row r="17" spans="1:11" ht="16.5">
      <c r="A17" s="2743" t="s">
        <v>3507</v>
      </c>
      <c r="B17" s="2745">
        <f>'[1]结果表-C2'!$L$18</f>
        <v>21299.25</v>
      </c>
      <c r="C17" s="2745">
        <f>'[1]结果表-C2'!$L$19</f>
        <v>48213.71</v>
      </c>
      <c r="D17" s="2745">
        <f>'[1]结果表-C2'!$C$104</f>
        <v>45428</v>
      </c>
      <c r="E17" s="2744">
        <f t="shared" si="0"/>
        <v>21328</v>
      </c>
      <c r="F17" s="2744">
        <f t="shared" si="1"/>
        <v>9422</v>
      </c>
      <c r="G17" s="1500">
        <f t="shared" si="2"/>
        <v>45428</v>
      </c>
      <c r="H17" s="1500"/>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row r="30" spans="1:11">
      <c r="D30" s="2739">
        <v>104264</v>
      </c>
      <c r="E30" s="2739">
        <f ca="1">D14</f>
        <v>103329</v>
      </c>
      <c r="F30" s="2739">
        <f ca="1">D30-E30</f>
        <v>935</v>
      </c>
    </row>
    <row r="31" spans="1:11">
      <c r="D31" s="2739">
        <v>77516</v>
      </c>
      <c r="E31" s="2739">
        <f t="shared" ref="E31:E33" ca="1" si="3">D15</f>
        <v>73676</v>
      </c>
      <c r="F31" s="2739">
        <f t="shared" ref="F31:F33" ca="1" si="4">D31-E31</f>
        <v>3840</v>
      </c>
    </row>
    <row r="32" spans="1:11">
      <c r="D32" s="2739">
        <v>81277</v>
      </c>
      <c r="E32" s="2739">
        <f t="shared" si="3"/>
        <v>79964</v>
      </c>
      <c r="F32" s="2739">
        <f t="shared" si="4"/>
        <v>1313</v>
      </c>
    </row>
    <row r="33" spans="4:6">
      <c r="D33" s="2739">
        <v>46168</v>
      </c>
      <c r="E33" s="2739">
        <f t="shared" si="3"/>
        <v>45428</v>
      </c>
      <c r="F33" s="2739">
        <f t="shared" si="4"/>
        <v>740</v>
      </c>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80" zoomScaleNormal="100" zoomScaleSheetLayoutView="80" zoomScalePageLayoutView="80" workbookViewId="0">
      <selection activeCell="C14" sqref="C14:D16"/>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1944</v>
      </c>
      <c r="B1" s="1933"/>
      <c r="C1" s="1934" t="s">
        <v>1008</v>
      </c>
      <c r="D1" s="1933"/>
      <c r="E1" s="1933"/>
      <c r="F1" s="1935" t="s">
        <v>1945</v>
      </c>
      <c r="G1" s="1746"/>
      <c r="H1" s="1936" t="str">
        <f>IF(G1="现房","——","估价对象范围")</f>
        <v>估价对象范围</v>
      </c>
      <c r="I1" s="1937"/>
    </row>
    <row r="2" spans="1:12" ht="21.75" customHeight="1" thickBot="1">
      <c r="A2" s="3296" t="str">
        <f>项目基本情况!S2</f>
        <v>房地产</v>
      </c>
      <c r="B2" s="3297"/>
      <c r="C2" s="3297"/>
      <c r="D2" s="3297"/>
      <c r="E2" s="3297"/>
      <c r="F2" s="3297"/>
      <c r="G2" s="3297"/>
      <c r="H2" s="3297"/>
      <c r="I2" s="3298"/>
    </row>
    <row r="3" spans="1:12" ht="12.75">
      <c r="A3" s="3300" t="s">
        <v>1946</v>
      </c>
      <c r="B3" s="3301"/>
      <c r="C3" s="3301"/>
      <c r="D3" s="3301"/>
      <c r="E3" s="3301"/>
      <c r="F3" s="3301"/>
      <c r="G3" s="3301"/>
      <c r="H3" s="3301"/>
      <c r="I3" s="3301"/>
    </row>
    <row r="4" spans="1:12" ht="14.25">
      <c r="A4" s="1940" t="s">
        <v>1947</v>
      </c>
      <c r="B4" s="1941" t="s">
        <v>1948</v>
      </c>
      <c r="C4" s="1942" t="s">
        <v>3503</v>
      </c>
      <c r="D4" s="1942" t="s">
        <v>3163</v>
      </c>
      <c r="E4" s="3302" t="s">
        <v>1949</v>
      </c>
      <c r="F4" s="3303"/>
      <c r="G4" s="3303"/>
      <c r="H4" s="3303"/>
      <c r="I4" s="330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276" t="s">
        <v>1950</v>
      </c>
      <c r="B5" s="3263">
        <v>25</v>
      </c>
      <c r="C5" s="3279"/>
      <c r="D5" s="3299"/>
      <c r="E5" s="136" t="s">
        <v>1951</v>
      </c>
      <c r="F5" s="1943"/>
      <c r="G5" s="1943"/>
      <c r="H5" s="1943"/>
      <c r="I5" s="1557"/>
    </row>
    <row r="6" spans="1:12" ht="12.75">
      <c r="A6" s="3276"/>
      <c r="B6" s="3263"/>
      <c r="C6" s="3280"/>
      <c r="D6" s="3299"/>
      <c r="E6" s="136" t="s">
        <v>1952</v>
      </c>
      <c r="F6" s="1943"/>
      <c r="G6" s="1943"/>
      <c r="H6" s="1943"/>
      <c r="I6" s="1557"/>
    </row>
    <row r="7" spans="1:12" ht="12.75">
      <c r="A7" s="3276"/>
      <c r="B7" s="3263"/>
      <c r="C7" s="3281"/>
      <c r="D7" s="3299"/>
      <c r="E7" s="136" t="s">
        <v>1953</v>
      </c>
      <c r="F7" s="1943"/>
      <c r="G7" s="1943"/>
      <c r="H7" s="1943"/>
      <c r="I7" s="1557"/>
    </row>
    <row r="8" spans="1:12" ht="12.75">
      <c r="A8" s="3276" t="s">
        <v>1954</v>
      </c>
      <c r="B8" s="3263">
        <v>15</v>
      </c>
      <c r="C8" s="3279"/>
      <c r="D8" s="3299"/>
      <c r="E8" s="136" t="s">
        <v>1955</v>
      </c>
      <c r="F8" s="1943"/>
      <c r="G8" s="1943"/>
      <c r="H8" s="1943"/>
      <c r="I8" s="1557"/>
    </row>
    <row r="9" spans="1:12" ht="12.75">
      <c r="A9" s="3276"/>
      <c r="B9" s="3263"/>
      <c r="C9" s="3281"/>
      <c r="D9" s="3299"/>
      <c r="E9" s="136" t="s">
        <v>1956</v>
      </c>
      <c r="F9" s="1943"/>
      <c r="G9" s="1943"/>
      <c r="H9" s="1943"/>
      <c r="I9" s="1557"/>
    </row>
    <row r="10" spans="1:12" ht="12.75">
      <c r="A10" s="3276" t="s">
        <v>1957</v>
      </c>
      <c r="B10" s="3263">
        <v>15</v>
      </c>
      <c r="C10" s="3279"/>
      <c r="D10" s="3299"/>
      <c r="E10" s="136" t="s">
        <v>1958</v>
      </c>
      <c r="F10" s="1943"/>
      <c r="G10" s="1943"/>
      <c r="H10" s="1943"/>
      <c r="I10" s="1557"/>
    </row>
    <row r="11" spans="1:12" ht="12.75">
      <c r="A11" s="3276"/>
      <c r="B11" s="3263"/>
      <c r="C11" s="3281"/>
      <c r="D11" s="3299"/>
      <c r="E11" s="136" t="s">
        <v>1959</v>
      </c>
      <c r="F11" s="1943"/>
      <c r="G11" s="1943"/>
      <c r="H11" s="1943"/>
      <c r="I11" s="1557"/>
    </row>
    <row r="12" spans="1:12" ht="12.75">
      <c r="A12" s="3276" t="s">
        <v>1960</v>
      </c>
      <c r="B12" s="3263">
        <v>15</v>
      </c>
      <c r="C12" s="3279"/>
      <c r="D12" s="3299"/>
      <c r="E12" s="136" t="s">
        <v>1961</v>
      </c>
      <c r="F12" s="1943"/>
      <c r="G12" s="1943"/>
      <c r="H12" s="1943"/>
      <c r="I12" s="1557"/>
    </row>
    <row r="13" spans="1:12" ht="12.75">
      <c r="A13" s="3276"/>
      <c r="B13" s="3263"/>
      <c r="C13" s="3281"/>
      <c r="D13" s="3299"/>
      <c r="E13" s="136" t="s">
        <v>1962</v>
      </c>
      <c r="F13" s="1943"/>
      <c r="G13" s="1943"/>
      <c r="H13" s="1943"/>
      <c r="I13" s="1557"/>
    </row>
    <row r="14" spans="1:12" ht="12.75">
      <c r="A14" s="3276" t="s">
        <v>1963</v>
      </c>
      <c r="B14" s="3263">
        <v>30</v>
      </c>
      <c r="C14" s="3533">
        <v>65</v>
      </c>
      <c r="D14" s="3534">
        <v>35</v>
      </c>
      <c r="E14" s="136" t="s">
        <v>1964</v>
      </c>
      <c r="F14" s="1943"/>
      <c r="G14" s="1943"/>
      <c r="H14" s="1943"/>
      <c r="I14" s="1557"/>
    </row>
    <row r="15" spans="1:12" ht="12.75">
      <c r="A15" s="3276"/>
      <c r="B15" s="3263"/>
      <c r="C15" s="3535"/>
      <c r="D15" s="3534"/>
      <c r="E15" s="136" t="s">
        <v>1965</v>
      </c>
      <c r="F15" s="1943"/>
      <c r="G15" s="1943"/>
      <c r="H15" s="1943"/>
      <c r="I15" s="1557"/>
    </row>
    <row r="16" spans="1:12" ht="12.75">
      <c r="A16" s="3276"/>
      <c r="B16" s="3263"/>
      <c r="C16" s="3536"/>
      <c r="D16" s="3534"/>
      <c r="E16" s="136" t="s">
        <v>1966</v>
      </c>
      <c r="F16" s="1943"/>
      <c r="G16" s="1943"/>
      <c r="H16" s="1943"/>
      <c r="I16" s="1557"/>
    </row>
    <row r="17" spans="1:36" ht="15">
      <c r="A17" s="1944" t="s">
        <v>1967</v>
      </c>
      <c r="B17" s="60"/>
      <c r="C17" s="137">
        <f>SUM(C5:C16)</f>
        <v>65</v>
      </c>
      <c r="D17" s="137">
        <f>SUM(D5:D16)</f>
        <v>35</v>
      </c>
      <c r="E17" s="134"/>
      <c r="F17" s="134"/>
      <c r="G17" s="134"/>
      <c r="H17" s="134"/>
      <c r="I17" s="134"/>
      <c r="K17" s="308"/>
      <c r="L17" s="308" t="s">
        <v>1968</v>
      </c>
      <c r="M17" s="308" t="s">
        <v>1969</v>
      </c>
    </row>
    <row r="18" spans="1:36" ht="31.9" customHeight="1" thickBot="1">
      <c r="A18" s="1945" t="s">
        <v>1970</v>
      </c>
      <c r="B18" s="1946"/>
      <c r="C18" s="138">
        <f>ROUND(C17/SUM(C17:D17),2)</f>
        <v>0.65</v>
      </c>
      <c r="D18" s="138">
        <f>1-C18</f>
        <v>0.35</v>
      </c>
      <c r="E18" s="3286" t="s">
        <v>2869</v>
      </c>
      <c r="F18" s="3287"/>
      <c r="G18" s="3287"/>
      <c r="H18" s="3287"/>
      <c r="I18" s="3287"/>
      <c r="K18" s="308" t="s">
        <v>1971</v>
      </c>
      <c r="L18" s="308">
        <f>IF(C1="",'数据-汇总表'!E3,SUMIF(项目类型,C1,'数据-汇总表'!E17:E26)+SUMIF(项目类型,C1,'数据-汇总表'!I17:I26))</f>
        <v>45156.59</v>
      </c>
      <c r="M18" s="308">
        <f>IF(C1="",'数据-汇总表'!E3,SUMIF(项目类型,C1,'数据-汇总表'!E17:E26))</f>
        <v>45156.59</v>
      </c>
    </row>
    <row r="19" spans="1:36" ht="15">
      <c r="A19" s="1947" t="s">
        <v>1972</v>
      </c>
      <c r="B19" s="1948" t="s">
        <v>1973</v>
      </c>
      <c r="C19" s="139">
        <f ca="1">SUMIF(INDIRECT("'"&amp;C4&amp;"'"&amp;"!A:A"),结果表!B19,INDIRECT("'"&amp;C4&amp;"'"&amp;"!B:B"))</f>
        <v>151110</v>
      </c>
      <c r="D19" s="140">
        <f ca="1">SUMIF(INDIRECT("'"&amp;D4&amp;"'"&amp;"!A:A"),结果表!B19,INDIRECT("'"&amp;D4&amp;"'"&amp;"!B:B"))</f>
        <v>14593</v>
      </c>
      <c r="E19" s="1947" t="s">
        <v>1974</v>
      </c>
      <c r="F19" s="1948" t="s">
        <v>1973</v>
      </c>
      <c r="G19" s="141">
        <f ca="1">ROUND(C19*$C$18+D19*$D$18,0)</f>
        <v>103329</v>
      </c>
      <c r="H19" s="1949" t="s">
        <v>1975</v>
      </c>
      <c r="I19" s="134"/>
      <c r="K19" s="308" t="s">
        <v>1976</v>
      </c>
      <c r="L19" s="308">
        <f>IF(C1="",'数据-汇总表'!D3,SUMIF(项目类型,C1,'数据-汇总表'!D17:D26)+SUMIF(项目类型,C1,'数据-汇总表'!H17:H27))</f>
        <v>63585.59</v>
      </c>
      <c r="M19" s="308">
        <f>IF(C1="",'数据-汇总表'!D3,SUMIF(项目类型,C1,'数据-汇总表'!D17:D26))</f>
        <v>63585.59</v>
      </c>
    </row>
    <row r="20" spans="1:36" ht="15">
      <c r="A20" s="1950"/>
      <c r="B20" s="1157" t="s">
        <v>1977</v>
      </c>
      <c r="C20" s="142">
        <f ca="1">SUMIF(INDIRECT("'"&amp;C4&amp;"'"&amp;"!A:A"),结果表!B20,INDIRECT("'"&amp;C4&amp;"'"&amp;"!B:B"))</f>
        <v>33464</v>
      </c>
      <c r="D20" s="143">
        <f ca="1">SUMIF(INDIRECT("'"&amp;D4&amp;"'"&amp;"!A:A"),结果表!B20,INDIRECT("'"&amp;D4&amp;"'"&amp;"!B:B"))</f>
        <v>3232</v>
      </c>
      <c r="E20" s="1950"/>
      <c r="F20" s="1157" t="s">
        <v>1977</v>
      </c>
      <c r="G20" s="144">
        <f ca="1">ROUND(C20*$C$18+D20*$D$18,0)</f>
        <v>22883</v>
      </c>
      <c r="H20" s="917" t="s">
        <v>1978</v>
      </c>
      <c r="I20" s="134"/>
    </row>
    <row r="21" spans="1:36" ht="15" customHeight="1" thickBot="1">
      <c r="A21" s="937"/>
      <c r="B21" s="1951" t="s">
        <v>1979</v>
      </c>
      <c r="C21" s="728">
        <f ca="1">ROUND(C19*10000/L19,0)</f>
        <v>23765</v>
      </c>
      <c r="D21" s="729">
        <f ca="1">ROUND(D19*10000/L19,0)</f>
        <v>2295</v>
      </c>
      <c r="E21" s="937"/>
      <c r="F21" s="1951" t="s">
        <v>1979</v>
      </c>
      <c r="G21" s="145">
        <f ca="1">ROUND(G19*10000/L19,0)</f>
        <v>16250</v>
      </c>
      <c r="H21" s="1952" t="s">
        <v>1978</v>
      </c>
      <c r="I21" s="134"/>
    </row>
    <row r="22" spans="1:36" ht="15" thickBot="1">
      <c r="A22" s="1874" t="s">
        <v>1980</v>
      </c>
      <c r="B22" s="1953"/>
      <c r="C22" s="1954"/>
      <c r="D22" s="730">
        <f ca="1">IF(C19&lt;D19,D19/C19-1,C19/D19-1)</f>
        <v>9.3549647091071062</v>
      </c>
      <c r="E22" s="134"/>
      <c r="F22" s="134"/>
      <c r="G22" s="134"/>
      <c r="H22" s="134"/>
      <c r="I22" s="134"/>
    </row>
    <row r="23" spans="1:36" ht="13.5" thickBot="1">
      <c r="A23" s="1933"/>
      <c r="B23" s="1933"/>
      <c r="C23" s="1933"/>
      <c r="D23" s="1933"/>
      <c r="E23" s="134"/>
      <c r="F23" s="134"/>
      <c r="G23" s="134"/>
      <c r="H23" s="134"/>
      <c r="I23" s="134"/>
    </row>
    <row r="24" spans="1:36" ht="14.25">
      <c r="A24" s="3270" t="s">
        <v>1981</v>
      </c>
      <c r="B24" s="1948" t="s">
        <v>1973</v>
      </c>
      <c r="C24" s="141">
        <f>IF(B30=0,0,D30)</f>
        <v>0</v>
      </c>
      <c r="D24" s="1955"/>
      <c r="E24" s="134"/>
      <c r="F24" s="134">
        <v>152594</v>
      </c>
      <c r="G24" s="134">
        <v>32925</v>
      </c>
      <c r="H24" s="134"/>
      <c r="I24" s="134"/>
    </row>
    <row r="25" spans="1:36" ht="14.25">
      <c r="A25" s="3271"/>
      <c r="B25" s="1157" t="s">
        <v>1977</v>
      </c>
      <c r="C25" s="146">
        <f>IF(B30=0,0,C30)</f>
        <v>0</v>
      </c>
      <c r="D25" s="1956"/>
      <c r="E25" s="134"/>
      <c r="F25" s="134"/>
      <c r="G25" s="134"/>
      <c r="H25" s="134"/>
      <c r="I25" s="134"/>
    </row>
    <row r="26" spans="1:36" ht="13.5" customHeight="1">
      <c r="A26" s="1957" t="s">
        <v>1982</v>
      </c>
      <c r="B26" s="147" t="s">
        <v>1983</v>
      </c>
      <c r="C26" s="147" t="s">
        <v>1984</v>
      </c>
      <c r="D26" s="148" t="s">
        <v>1985</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1986</v>
      </c>
      <c r="B30" s="147"/>
      <c r="C30" s="147"/>
      <c r="D30" s="147"/>
      <c r="E30" s="2521" t="s">
        <v>2870</v>
      </c>
      <c r="F30" s="134"/>
      <c r="G30" s="134"/>
      <c r="H30" s="134"/>
      <c r="I30" s="134"/>
    </row>
    <row r="31" spans="1:36" s="2527" customFormat="1" ht="26.45" customHeight="1" thickTop="1" thickBot="1">
      <c r="A31" s="2522"/>
      <c r="B31" s="2523"/>
      <c r="C31" s="2523"/>
      <c r="D31" s="2523"/>
      <c r="E31" s="2523"/>
      <c r="F31" s="2523"/>
      <c r="G31" s="2523"/>
      <c r="H31" s="2523"/>
      <c r="I31" s="2524" t="s">
        <v>2871</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1987</v>
      </c>
      <c r="B32" s="1960"/>
      <c r="C32" s="149">
        <f ca="1">IF(D32="总价",G19-C24,G20-C25)</f>
        <v>103329</v>
      </c>
      <c r="D32" s="1961" t="s">
        <v>3508</v>
      </c>
      <c r="E32" s="134"/>
      <c r="F32" s="134"/>
      <c r="G32" s="134"/>
      <c r="H32" s="134"/>
      <c r="I32" s="134"/>
    </row>
    <row r="33" spans="1:15" ht="15">
      <c r="A33" s="894" t="s">
        <v>1988</v>
      </c>
      <c r="B33" s="1962"/>
      <c r="C33" s="1963" t="s">
        <v>3509</v>
      </c>
      <c r="D33" s="1964" t="s">
        <v>3503</v>
      </c>
      <c r="E33" s="1965" t="s">
        <v>1989</v>
      </c>
      <c r="F33" s="1966" t="str">
        <f>IF(D32="楼面单价","取值（单价）","取值（总价）")</f>
        <v>取值（总价）</v>
      </c>
      <c r="G33" s="134"/>
      <c r="H33" s="134"/>
      <c r="I33" s="134"/>
    </row>
    <row r="34" spans="1:15" ht="15">
      <c r="A34" s="1967"/>
      <c r="B34" s="1968" t="s">
        <v>1990</v>
      </c>
      <c r="C34" s="153">
        <f ca="1">IF(C33="自定义",F34,C32-C35)</f>
        <v>21802</v>
      </c>
      <c r="D34" s="970">
        <f ca="1">IF(C33="自定义",ROUND(C34/C32,3),IF(C33="收益比率",SUMIF(INDIRECT("'"&amp;D33&amp;"'"&amp;"!b:b"),"土地收益比率",INDIRECT("'"&amp;D33&amp;"'"&amp;"!c:c")),SUMIF(INDIRECT("'"&amp;D33&amp;"'"&amp;"!b:b"),"土地成本比率",INDIRECT("'"&amp;D33&amp;"'"&amp;"!c:c"))))</f>
        <v>0.21099999999999997</v>
      </c>
      <c r="E34" s="1969" t="s">
        <v>1991</v>
      </c>
      <c r="F34" s="1498"/>
      <c r="G34" s="134"/>
      <c r="H34" s="134"/>
      <c r="I34" s="134"/>
    </row>
    <row r="35" spans="1:15" ht="15.75" thickBot="1">
      <c r="A35" s="1970"/>
      <c r="B35" s="1971" t="s">
        <v>1992</v>
      </c>
      <c r="C35" s="1332">
        <f ca="1">IF(C33="自定义",F35,ROUND(C32*D35,0))</f>
        <v>81527</v>
      </c>
      <c r="D35" s="1333">
        <f ca="1">IF(C33="自定义",ROUND(C35/C32,3),IF(C33="收益比率",SUMIF(INDIRECT("'"&amp;D33&amp;"'"&amp;"!b:b"),"建筑物收益比率",INDIRECT("'"&amp;D33&amp;"'"&amp;"!c:c")),SUMIF(INDIRECT("'"&amp;D33&amp;"'"&amp;"!b:b"),"建筑物成本比率",INDIRECT("'"&amp;D33&amp;"'"&amp;"!c:c"))))</f>
        <v>0.78900000000000003</v>
      </c>
      <c r="E35" s="1972" t="s">
        <v>1993</v>
      </c>
      <c r="F35" s="159"/>
      <c r="G35" s="134"/>
      <c r="H35" s="134"/>
      <c r="I35" s="134"/>
    </row>
    <row r="36" spans="1:15" ht="15.75" thickBot="1">
      <c r="A36" s="3290" t="s">
        <v>1994</v>
      </c>
      <c r="B36" s="1973" t="s">
        <v>1995</v>
      </c>
      <c r="C36" s="150"/>
      <c r="D36" s="1974"/>
      <c r="E36" s="1975"/>
      <c r="F36" s="1976"/>
      <c r="G36" s="134"/>
      <c r="H36" s="134"/>
      <c r="I36" s="134"/>
    </row>
    <row r="37" spans="1:15" ht="15.75" thickBot="1">
      <c r="A37" s="3291"/>
      <c r="B37" s="1860" t="s">
        <v>1996</v>
      </c>
      <c r="C37" s="152"/>
      <c r="D37" s="1301"/>
      <c r="E37" s="1301"/>
      <c r="F37" s="1976"/>
      <c r="G37" s="134"/>
      <c r="H37" s="134"/>
      <c r="I37" s="134"/>
    </row>
    <row r="38" spans="1:15" ht="15.75" thickBot="1">
      <c r="A38" s="3292"/>
      <c r="B38" s="1977" t="s">
        <v>1997</v>
      </c>
      <c r="C38" s="683"/>
      <c r="D38" s="1978" t="s">
        <v>1998</v>
      </c>
      <c r="E38" s="1301"/>
      <c r="F38" s="1976"/>
      <c r="G38" s="134"/>
      <c r="H38" s="134"/>
      <c r="I38" s="134"/>
    </row>
    <row r="39" spans="1:15" ht="15">
      <c r="A39" s="1950" t="s">
        <v>1999</v>
      </c>
      <c r="B39" s="1979" t="s">
        <v>2000</v>
      </c>
      <c r="C39" s="1980" t="s">
        <v>2001</v>
      </c>
      <c r="D39" s="1980" t="s">
        <v>2002</v>
      </c>
      <c r="E39" s="1981" t="s">
        <v>2003</v>
      </c>
      <c r="F39" s="1976"/>
      <c r="G39" s="134"/>
      <c r="H39" s="134"/>
      <c r="I39" s="134"/>
    </row>
    <row r="40" spans="1:15" ht="14.25">
      <c r="A40" s="1982" t="s">
        <v>2004</v>
      </c>
      <c r="B40" s="154"/>
      <c r="C40" s="155"/>
      <c r="D40" s="155"/>
      <c r="E40" s="156"/>
      <c r="F40" s="1976"/>
      <c r="G40" s="134"/>
      <c r="H40" s="134"/>
      <c r="I40" s="134"/>
    </row>
    <row r="41" spans="1:15" ht="14.25">
      <c r="A41" s="1982" t="s">
        <v>2005</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2006</v>
      </c>
      <c r="B44" s="1987"/>
      <c r="C44" s="1987"/>
      <c r="D44" s="1988"/>
      <c r="E44" s="1988"/>
      <c r="F44" s="1989"/>
      <c r="G44" s="1989"/>
      <c r="H44" s="1989"/>
      <c r="I44" s="1989"/>
      <c r="J44" s="1990" t="s">
        <v>2007</v>
      </c>
      <c r="K44" s="1991"/>
      <c r="L44" s="1991"/>
      <c r="M44" s="1991"/>
      <c r="N44" s="1991"/>
      <c r="O44" s="1991"/>
    </row>
    <row r="45" spans="1:15" ht="14.25" customHeight="1" thickBot="1">
      <c r="A45" s="3267" t="s">
        <v>2008</v>
      </c>
      <c r="B45" s="3268"/>
      <c r="C45" s="3269"/>
      <c r="D45" s="160">
        <f ca="1">ROUND(H101*F45,0)</f>
        <v>103329</v>
      </c>
      <c r="E45" s="161" t="s">
        <v>2009</v>
      </c>
      <c r="F45" s="162">
        <v>1</v>
      </c>
      <c r="G45" s="163" t="s">
        <v>2010</v>
      </c>
      <c r="H45" s="134"/>
      <c r="I45" s="134"/>
      <c r="J45" s="3348" t="s">
        <v>2011</v>
      </c>
      <c r="K45" s="3348"/>
      <c r="L45" s="3348"/>
      <c r="M45" s="3348"/>
      <c r="N45" s="3348"/>
      <c r="O45" s="3348"/>
    </row>
    <row r="46" spans="1:15" ht="14.25" customHeight="1">
      <c r="A46" s="3264" t="s">
        <v>2012</v>
      </c>
      <c r="B46" s="3265"/>
      <c r="C46" s="3265"/>
      <c r="D46" s="3265"/>
      <c r="E46" s="3265"/>
      <c r="F46" s="3265"/>
      <c r="G46" s="3266"/>
      <c r="H46" s="1992"/>
      <c r="I46" s="164"/>
      <c r="J46" s="2749">
        <v>1</v>
      </c>
      <c r="K46" s="3329" t="s">
        <v>2013</v>
      </c>
      <c r="L46" s="3329"/>
      <c r="M46" s="3349"/>
      <c r="N46" s="3349"/>
      <c r="O46" s="3349"/>
    </row>
    <row r="47" spans="1:15" ht="12" customHeight="1">
      <c r="A47" s="165" t="s">
        <v>2014</v>
      </c>
      <c r="B47" s="166"/>
      <c r="C47" s="167"/>
      <c r="D47" s="1247" t="s">
        <v>2015</v>
      </c>
      <c r="E47" s="308" t="s">
        <v>2016</v>
      </c>
      <c r="F47" s="168" t="s">
        <v>2017</v>
      </c>
      <c r="G47" s="2772" t="s">
        <v>2018</v>
      </c>
      <c r="H47" s="2773"/>
      <c r="I47" s="164"/>
      <c r="J47" s="2749">
        <v>2</v>
      </c>
      <c r="K47" s="3329" t="s">
        <v>2019</v>
      </c>
      <c r="L47" s="3329"/>
      <c r="M47" s="3350">
        <f>'数据-取费表'!B2</f>
        <v>44555</v>
      </c>
      <c r="N47" s="3350"/>
      <c r="O47" s="3350"/>
    </row>
    <row r="48" spans="1:15" ht="25.5">
      <c r="A48" s="3295" t="s">
        <v>2020</v>
      </c>
      <c r="B48" s="3278"/>
      <c r="C48" s="3278"/>
      <c r="D48" s="2547" t="b">
        <f>IF(H48="情况1",0,IF(H48="情况2",D52,IF(H48="情况3",D53,IF(H48="情况4",D54))))</f>
        <v>0</v>
      </c>
      <c r="E48" s="2557" t="str">
        <f>IF(H48="情况4","(销售额-原购置价)×税（费）率","销售额×税（费）率")</f>
        <v>销售额×税（费）率</v>
      </c>
      <c r="F48" s="2774">
        <f>IF(H48="情况1","免征",'数据-取费表'!B41)</f>
        <v>5.6000000000000001E-2</v>
      </c>
      <c r="G48" s="2775" t="s">
        <v>2021</v>
      </c>
      <c r="H48" s="2776"/>
      <c r="I48" s="1992"/>
      <c r="J48" s="2749">
        <v>3</v>
      </c>
      <c r="K48" s="3329" t="s">
        <v>2022</v>
      </c>
      <c r="L48" s="3329"/>
      <c r="M48" s="3351">
        <f ca="1">H101</f>
        <v>103329</v>
      </c>
      <c r="N48" s="3351"/>
      <c r="O48" s="3351"/>
    </row>
    <row r="49" spans="1:35" ht="25.5" customHeight="1">
      <c r="A49" s="2556" t="s">
        <v>2023</v>
      </c>
      <c r="B49" s="3262" t="s">
        <v>2024</v>
      </c>
      <c r="C49" s="3262"/>
      <c r="D49" s="1775">
        <v>0</v>
      </c>
      <c r="E49" s="330" t="s">
        <v>2025</v>
      </c>
      <c r="F49" s="2650" t="s">
        <v>34</v>
      </c>
      <c r="G49" s="3335"/>
      <c r="H49" s="2528" t="s">
        <v>2872</v>
      </c>
      <c r="I49" s="2529"/>
      <c r="J49" s="2749">
        <v>4</v>
      </c>
      <c r="K49" s="3329" t="str">
        <f>IF(项目基本情况!E8="房地产抵押价值","房地产抵押价值","抵押担保权已注销时的房地产抵押价值")</f>
        <v>房地产抵押价值</v>
      </c>
      <c r="L49" s="3329"/>
      <c r="M49" s="3351">
        <f ca="1">IF(项目基本情况!E8="房地产抵押价值",H107,H109)</f>
        <v>103329</v>
      </c>
      <c r="N49" s="3351"/>
      <c r="O49" s="3351"/>
    </row>
    <row r="50" spans="1:35" ht="25.5" customHeight="1">
      <c r="A50" s="2777"/>
      <c r="B50" s="3262" t="s">
        <v>2026</v>
      </c>
      <c r="C50" s="3262"/>
      <c r="D50" s="2778"/>
      <c r="E50" s="338"/>
      <c r="F50" s="2650"/>
      <c r="G50" s="3336"/>
      <c r="H50" s="2530" t="s">
        <v>2873</v>
      </c>
      <c r="I50" s="2529"/>
      <c r="J50" s="3348" t="s">
        <v>2027</v>
      </c>
      <c r="K50" s="3348"/>
      <c r="L50" s="3348"/>
      <c r="M50" s="3348"/>
      <c r="N50" s="3348"/>
      <c r="O50" s="3348"/>
    </row>
    <row r="51" spans="1:35" ht="20.45" customHeight="1">
      <c r="A51" s="2779"/>
      <c r="B51" s="3262" t="s">
        <v>2028</v>
      </c>
      <c r="C51" s="3262"/>
      <c r="D51" s="1247"/>
      <c r="E51" s="333"/>
      <c r="F51" s="2650"/>
      <c r="G51" s="3337"/>
      <c r="H51" s="2530" t="s">
        <v>2874</v>
      </c>
      <c r="I51" s="2529"/>
      <c r="J51" s="2750" t="s">
        <v>2029</v>
      </c>
      <c r="K51" s="3329" t="s">
        <v>2030</v>
      </c>
      <c r="L51" s="3329"/>
      <c r="M51" s="2750" t="s">
        <v>2031</v>
      </c>
      <c r="N51" s="2750" t="s">
        <v>2032</v>
      </c>
      <c r="O51" s="2750" t="s">
        <v>2033</v>
      </c>
    </row>
    <row r="52" spans="1:35" ht="24" customHeight="1">
      <c r="A52" s="2558" t="s">
        <v>2034</v>
      </c>
      <c r="B52" s="3262" t="s">
        <v>2035</v>
      </c>
      <c r="C52" s="3262"/>
      <c r="D52" s="1247">
        <f ca="1">ROUND(D45*'数据-取费表'!B41/(1+'数据-取费表'!C42),0)</f>
        <v>5511</v>
      </c>
      <c r="E52" s="2557" t="s">
        <v>2036</v>
      </c>
      <c r="F52" s="2780">
        <f>'数据-取费表'!B41</f>
        <v>5.6000000000000001E-2</v>
      </c>
      <c r="G52" s="2781"/>
      <c r="H52" s="2770"/>
      <c r="I52" s="1993"/>
      <c r="J52" s="2749">
        <v>1</v>
      </c>
      <c r="K52" s="3330" t="s">
        <v>2037</v>
      </c>
      <c r="L52" s="3330"/>
      <c r="M52" s="2751" t="b">
        <f>D48</f>
        <v>0</v>
      </c>
      <c r="N52" s="2749" t="str">
        <f>E48</f>
        <v>销售额×税（费）率</v>
      </c>
      <c r="O52" s="2752">
        <f>F48</f>
        <v>5.6000000000000001E-2</v>
      </c>
    </row>
    <row r="53" spans="1:35" ht="12" customHeight="1">
      <c r="A53" s="2558" t="s">
        <v>2038</v>
      </c>
      <c r="B53" s="3288" t="s">
        <v>3033</v>
      </c>
      <c r="C53" s="3289"/>
      <c r="D53" s="1247">
        <f ca="1">ROUND(D45*'数据-取费表'!B41/(1+'数据-取费表'!C42),0)</f>
        <v>5511</v>
      </c>
      <c r="E53" s="2557" t="s">
        <v>2036</v>
      </c>
      <c r="F53" s="2780">
        <f>'数据-取费表'!B41</f>
        <v>5.6000000000000001E-2</v>
      </c>
      <c r="G53" s="2781"/>
      <c r="H53" s="2770"/>
      <c r="I53" s="1993"/>
      <c r="J53" s="2749">
        <v>2</v>
      </c>
      <c r="K53" s="3330" t="s">
        <v>2039</v>
      </c>
      <c r="L53" s="3330"/>
      <c r="M53" s="2751">
        <f t="shared" ref="M53:O54" ca="1" si="0">D55</f>
        <v>52</v>
      </c>
      <c r="N53" s="2749" t="str">
        <f t="shared" si="0"/>
        <v>销售额×税（费）率</v>
      </c>
      <c r="O53" s="2752" t="str">
        <f t="shared" si="0"/>
        <v>免征</v>
      </c>
    </row>
    <row r="54" spans="1:35" ht="12" customHeight="1">
      <c r="A54" s="2558" t="s">
        <v>2040</v>
      </c>
      <c r="B54" s="3288" t="s">
        <v>3034</v>
      </c>
      <c r="C54" s="3289"/>
      <c r="D54" s="1247">
        <f ca="1">C68</f>
        <v>5511</v>
      </c>
      <c r="E54" s="333" t="s">
        <v>2041</v>
      </c>
      <c r="F54" s="2780">
        <f>'数据-取费表'!B41</f>
        <v>5.6000000000000001E-2</v>
      </c>
      <c r="G54" s="2781"/>
      <c r="H54" s="2782"/>
      <c r="I54" s="1993"/>
      <c r="J54" s="2749">
        <v>3</v>
      </c>
      <c r="K54" s="3330" t="s">
        <v>2042</v>
      </c>
      <c r="L54" s="3330"/>
      <c r="M54" s="2751">
        <f t="shared" ca="1" si="0"/>
        <v>58485</v>
      </c>
      <c r="N54" s="2749" t="str">
        <f t="shared" si="0"/>
        <v>增值额×税（费）率</v>
      </c>
      <c r="O54" s="2753" t="str">
        <f t="shared" si="0"/>
        <v>免征</v>
      </c>
    </row>
    <row r="55" spans="1:35" ht="24" customHeight="1">
      <c r="A55" s="3277" t="s">
        <v>2043</v>
      </c>
      <c r="B55" s="3278"/>
      <c r="C55" s="3278"/>
      <c r="D55" s="2547">
        <f ca="1">IF(H55="个人住宅",0,ROUND(D45*I55,0))</f>
        <v>52</v>
      </c>
      <c r="E55" s="2557" t="s">
        <v>2044</v>
      </c>
      <c r="F55" s="2780" t="str">
        <f>IF(H55="正常",I55,"免征")</f>
        <v>免征</v>
      </c>
      <c r="G55" s="2781"/>
      <c r="H55" s="2776"/>
      <c r="I55" s="170">
        <f>'数据-取费表'!B49</f>
        <v>5.0000000000000001E-4</v>
      </c>
      <c r="J55" s="2749">
        <f>IF(H59="非个人房产","",4)</f>
        <v>4</v>
      </c>
      <c r="K55" s="3330" t="str">
        <f>IF(H59="非个人房产","——","个人所得税")</f>
        <v>个人所得税</v>
      </c>
      <c r="L55" s="3330"/>
      <c r="M55" s="2754">
        <f ca="1">D59</f>
        <v>984</v>
      </c>
      <c r="N55" s="2228" t="str">
        <f>E59</f>
        <v>差额计税</v>
      </c>
      <c r="O55" s="2755">
        <f>F59</f>
        <v>0.01</v>
      </c>
    </row>
    <row r="56" spans="1:35" ht="24.75">
      <c r="A56" s="3277" t="s">
        <v>2045</v>
      </c>
      <c r="B56" s="3278"/>
      <c r="C56" s="3278"/>
      <c r="D56" s="2547">
        <f ca="1">IF(H56="个人住宅",D57,D58)</f>
        <v>58485</v>
      </c>
      <c r="E56" s="2557" t="s">
        <v>2046</v>
      </c>
      <c r="F56" s="2780" t="str">
        <f>IF(H56="正常",F58,"免征")</f>
        <v>免征</v>
      </c>
      <c r="G56" s="2783" t="s">
        <v>2047</v>
      </c>
      <c r="H56" s="2784"/>
      <c r="I56" s="1994"/>
      <c r="J56" s="2749" t="str">
        <f>IF(项目基本情况!K6="上海银行",IF(J55="",4,J55+1),"")</f>
        <v/>
      </c>
      <c r="K56" s="3353" t="str">
        <f>IF(项目基本情况!K6="上海银行","其他处置费用","")</f>
        <v/>
      </c>
      <c r="L56" s="3354"/>
      <c r="M56" s="2751" t="str">
        <f>IF(项目基本情况!K6="上海银行",M69,"")</f>
        <v/>
      </c>
      <c r="N56" s="3353" t="str">
        <f>IF(项目基本情况!K6="上海银行","包含处置中涉及的律师、诉讼、拍卖、评估等费用","")</f>
        <v/>
      </c>
      <c r="O56" s="3356"/>
    </row>
    <row r="57" spans="1:35" ht="12.75">
      <c r="A57" s="2558" t="s">
        <v>2023</v>
      </c>
      <c r="B57" s="3288" t="s">
        <v>2048</v>
      </c>
      <c r="C57" s="3289"/>
      <c r="D57" s="1775">
        <v>0</v>
      </c>
      <c r="E57" s="330" t="s">
        <v>2025</v>
      </c>
      <c r="F57" s="308"/>
      <c r="G57" s="2781"/>
      <c r="H57" s="2785"/>
      <c r="I57" s="1994"/>
      <c r="J57" s="3330">
        <f>IF(AND(J55="",J56=""),4,IF(项目基本情况!K6="上海银行",结果表!J56+1,结果表!J55+1))</f>
        <v>5</v>
      </c>
      <c r="K57" s="3330" t="s">
        <v>2049</v>
      </c>
      <c r="L57" s="2756" t="s">
        <v>2050</v>
      </c>
      <c r="M57" s="2757"/>
      <c r="N57" s="2758">
        <f ca="1">SUMIF(M52:M56,"&lt;9e307")</f>
        <v>59521</v>
      </c>
      <c r="O57" s="2759"/>
      <c r="P57" s="2919">
        <f ca="1">N57/M49</f>
        <v>0.57603383367689609</v>
      </c>
    </row>
    <row r="58" spans="1:35" ht="24.75">
      <c r="A58" s="2558" t="s">
        <v>2034</v>
      </c>
      <c r="B58" s="3288" t="s">
        <v>2051</v>
      </c>
      <c r="C58" s="3262"/>
      <c r="D58" s="2547">
        <f ca="1">IF(H58="转让取得",C81,C97)</f>
        <v>58485</v>
      </c>
      <c r="E58" s="2557" t="s">
        <v>2046</v>
      </c>
      <c r="F58" s="308" t="s">
        <v>34</v>
      </c>
      <c r="G58" s="2781"/>
      <c r="H58" s="2784"/>
      <c r="I58" s="1994"/>
      <c r="J58" s="3330"/>
      <c r="K58" s="3330"/>
      <c r="L58" s="2756" t="s">
        <v>2052</v>
      </c>
      <c r="M58" s="2760"/>
      <c r="N58" s="2761" t="str">
        <f ca="1">NUMBERSTRING(INT(N57*10000),2)&amp;"元整"</f>
        <v>伍亿玖仟伍佰贰拾壹万元整</v>
      </c>
      <c r="O58" s="2762"/>
    </row>
    <row r="59" spans="1:35" ht="24.75" thickBot="1">
      <c r="A59" s="3333" t="s">
        <v>2053</v>
      </c>
      <c r="B59" s="3334"/>
      <c r="C59" s="3334"/>
      <c r="D59" s="2786">
        <f ca="1">IF(H59="非个人房产","——",IF(H59="个人住宅（满五唯一有凭证）",0,IF(H59="个人其他（无凭证）",ROUND(D45*F59,0),ROUND(C67*F59,0))))</f>
        <v>984</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2047</v>
      </c>
      <c r="H59" s="2532"/>
      <c r="I59" s="2531" t="s">
        <v>2875</v>
      </c>
      <c r="J59" s="3331">
        <f>J57+1</f>
        <v>6</v>
      </c>
      <c r="K59" s="3330" t="s">
        <v>2054</v>
      </c>
      <c r="L59" s="2749" t="s">
        <v>2050</v>
      </c>
      <c r="M59" s="2763"/>
      <c r="N59" s="2764">
        <f ca="1">M49-N57</f>
        <v>43808</v>
      </c>
      <c r="O59" s="2765"/>
    </row>
    <row r="60" spans="1:35" ht="12" customHeight="1">
      <c r="A60" s="1995"/>
      <c r="B60" s="1933"/>
      <c r="C60" s="1933"/>
      <c r="D60" s="1933"/>
      <c r="E60" s="1763"/>
      <c r="F60" s="1994"/>
      <c r="G60" s="1994"/>
      <c r="H60" s="1996"/>
      <c r="I60" s="134"/>
      <c r="J60" s="3332"/>
      <c r="K60" s="3330"/>
      <c r="L60" s="2756" t="s">
        <v>2052</v>
      </c>
      <c r="M60" s="2760"/>
      <c r="N60" s="2761" t="str">
        <f ca="1">NUMBERSTRING(INT(N59*10000),2)&amp;"元整"</f>
        <v>肆亿叁仟捌佰零捌万元整</v>
      </c>
      <c r="O60" s="2762"/>
    </row>
    <row r="61" spans="1:35" ht="13.5" thickBot="1">
      <c r="A61" s="3275" t="s">
        <v>2055</v>
      </c>
      <c r="B61" s="3275"/>
      <c r="C61" s="3275"/>
      <c r="D61" s="3275"/>
      <c r="E61" s="3275"/>
      <c r="F61" s="1994"/>
      <c r="G61" s="1994"/>
      <c r="H61" s="1996"/>
      <c r="I61" s="134"/>
      <c r="J61" s="2749">
        <f>J59+1</f>
        <v>7</v>
      </c>
      <c r="K61" s="3330" t="s">
        <v>2056</v>
      </c>
      <c r="L61" s="3330"/>
      <c r="M61" s="2766"/>
      <c r="N61" s="2767">
        <f ca="1">ROUND(N59*10000/'数据-汇总表'!E3,0)</f>
        <v>4680</v>
      </c>
      <c r="O61" s="2768"/>
    </row>
    <row r="62" spans="1:35" ht="12.75">
      <c r="A62" s="3293" t="s">
        <v>2057</v>
      </c>
      <c r="B62" s="3294"/>
      <c r="C62" s="2209"/>
      <c r="D62" s="2209" t="s">
        <v>2058</v>
      </c>
      <c r="E62" s="171" t="s">
        <v>2059</v>
      </c>
      <c r="F62" s="1994"/>
      <c r="G62" s="1994"/>
      <c r="H62" s="1996"/>
      <c r="I62" s="134"/>
    </row>
    <row r="63" spans="1:35" ht="12.75">
      <c r="A63" s="178" t="s">
        <v>775</v>
      </c>
      <c r="B63" s="172" t="s">
        <v>2060</v>
      </c>
      <c r="C63" s="2790">
        <f ca="1">ROUND((C64+C65)/(1+'数据-取费表'!C42),0)</f>
        <v>98409</v>
      </c>
      <c r="D63" s="172"/>
      <c r="E63" s="173"/>
      <c r="F63" s="1994"/>
      <c r="G63" s="1994"/>
      <c r="H63" s="1996"/>
      <c r="I63" s="134"/>
      <c r="J63" s="3355" t="s">
        <v>2061</v>
      </c>
      <c r="K63" s="1501" t="s">
        <v>2062</v>
      </c>
      <c r="L63" s="1501">
        <f ca="1">IF(M49&gt;10000,M49*0.5%,IF(AND(M49&gt;1000,M49&lt;=10000),M49*1%,IF(AND(M49&gt;100,M49&lt;=1000),M49*3%,IF(AND(M49&gt;10,M49&lt;=100),M49*5%,M49*8%))))</f>
        <v>516.64499999999998</v>
      </c>
      <c r="M63" s="308">
        <f ca="1">ROUND(L63,1)</f>
        <v>516.6</v>
      </c>
      <c r="N63" s="2769"/>
      <c r="Z63" s="1938"/>
      <c r="AI63" s="1939"/>
    </row>
    <row r="64" spans="1:35" ht="14.25" customHeight="1">
      <c r="A64" s="174" t="s">
        <v>770</v>
      </c>
      <c r="B64" s="175" t="s">
        <v>2063</v>
      </c>
      <c r="C64" s="2791">
        <f ca="1">D45</f>
        <v>103329</v>
      </c>
      <c r="D64" s="175" t="s">
        <v>32</v>
      </c>
      <c r="E64" s="177"/>
      <c r="F64" s="1994"/>
      <c r="G64" s="1994"/>
      <c r="H64" s="1996"/>
      <c r="I64" s="134"/>
      <c r="J64" s="3355"/>
      <c r="K64" s="1501" t="s">
        <v>2064</v>
      </c>
      <c r="L64" s="1501">
        <f ca="1">IF(M49&gt;2000,M49*0.5%,IF(AND(M49&gt;1000,M49&lt;=2000),M49*0.6%,IF(AND(M49&gt;500,M49&lt;=1000),M49*0.7%,IF(AND(M49&gt;200,M49&lt;=500),M49*0.8%,IF(AND(M49&gt;100,M49&lt;=200),M49*0.9%,IF(AND(M49&gt;50,M49&lt;=100),M49*1%,IF(AND(M49&gt;20,M49&lt;=50),M49*1.5%,IF(AND(M49&gt;10,M49&lt;=20),M49*2%,IF(AND(M49&gt;1,M49&lt;=10),M49*2.5%)))))))))</f>
        <v>516.64499999999998</v>
      </c>
      <c r="M64" s="308">
        <f t="shared" ref="M64:M65" ca="1" si="1">ROUND(L64,1)</f>
        <v>516.6</v>
      </c>
      <c r="N64" s="2770" t="s">
        <v>2065</v>
      </c>
      <c r="Z64" s="1938"/>
      <c r="AI64" s="1939"/>
    </row>
    <row r="65" spans="1:35" ht="14.25" customHeight="1">
      <c r="A65" s="174" t="s">
        <v>771</v>
      </c>
      <c r="B65" s="175" t="s">
        <v>2066</v>
      </c>
      <c r="C65" s="2792"/>
      <c r="D65" s="175"/>
      <c r="E65" s="177"/>
      <c r="F65" s="1994"/>
      <c r="G65" s="1994"/>
      <c r="H65" s="1996"/>
      <c r="I65" s="134"/>
      <c r="J65" s="3355"/>
      <c r="K65" s="1501" t="s">
        <v>2067</v>
      </c>
      <c r="L65" s="1501">
        <f ca="1">IF(M49&gt;1000,M49*0.1%,IF(AND(M49&gt;500,M49&lt;=1000),M49*0.5%,IF(AND(M49&gt;50,M49&lt;=500),M49*1%,IF(AND(M49&gt;1,M49&lt;=50),M49*1.5%))))</f>
        <v>103.32900000000001</v>
      </c>
      <c r="M65" s="308">
        <f t="shared" ca="1" si="1"/>
        <v>103.3</v>
      </c>
      <c r="N65" s="2770" t="s">
        <v>2065</v>
      </c>
      <c r="Z65" s="1938"/>
      <c r="AI65" s="1939"/>
    </row>
    <row r="66" spans="1:35" ht="14.25" customHeight="1">
      <c r="A66" s="178" t="s">
        <v>772</v>
      </c>
      <c r="B66" s="179" t="s">
        <v>2068</v>
      </c>
      <c r="C66" s="2793"/>
      <c r="D66" s="179" t="s">
        <v>32</v>
      </c>
      <c r="E66" s="1509" t="s">
        <v>1333</v>
      </c>
      <c r="F66" s="1994"/>
      <c r="G66" s="1994"/>
      <c r="H66" s="1996"/>
      <c r="I66" s="134"/>
      <c r="J66" s="3355"/>
      <c r="K66" s="1501" t="s">
        <v>2069</v>
      </c>
      <c r="L66" s="1501">
        <f ca="1">M49*0.5%</f>
        <v>516.64499999999998</v>
      </c>
      <c r="M66" s="308">
        <f ca="1">IF(L66&gt;0.5,0.5,ROUND(L66,0))</f>
        <v>0.5</v>
      </c>
      <c r="N66" s="2770" t="s">
        <v>2070</v>
      </c>
      <c r="Z66" s="1938"/>
      <c r="AI66" s="1939"/>
    </row>
    <row r="67" spans="1:35" ht="14.25" customHeight="1">
      <c r="A67" s="178" t="s">
        <v>773</v>
      </c>
      <c r="B67" s="179" t="s">
        <v>2071</v>
      </c>
      <c r="C67" s="2794">
        <f ca="1">C63-C66</f>
        <v>98409</v>
      </c>
      <c r="D67" s="175" t="s">
        <v>32</v>
      </c>
      <c r="E67" s="177"/>
      <c r="F67" s="1994"/>
      <c r="G67" s="1994"/>
      <c r="H67" s="1996"/>
      <c r="I67" s="134"/>
      <c r="J67" s="3355"/>
      <c r="K67" s="1501" t="s">
        <v>2072</v>
      </c>
      <c r="L67" s="1501">
        <f ca="1">IF(M49&gt;=10000,(8.25+(M49-10000)*0.01%),IF(AND(M49&gt;=8000,M49&lt;10000),(7.85+(M49-8000)*0.02%),IF(AND(M49&gt;=5000,M49&lt;8000),(6.65+(M49-5000)*0.04%),IF(AND(M49&gt;=2000,M49&lt;5000),(4.25+(PM49-2000)*0.08%),IF(AND(M49&gt;=1000,M49&lt;2000),(2.75+(M49-1000)*0.15%),IF(AND(M49&gt;=100,M49&lt;1000),(0.5+(M49-100)*0.25%),IF(AND(M49&gt;0,M49&lt;100),M49*0.5%)))))))</f>
        <v>17.582900000000002</v>
      </c>
      <c r="M67" s="308">
        <f ca="1">ROUND(L67*0.9,1)</f>
        <v>15.8</v>
      </c>
      <c r="N67" s="2769"/>
      <c r="Z67" s="1938"/>
      <c r="AI67" s="1939"/>
    </row>
    <row r="68" spans="1:35" ht="14.25" customHeight="1" thickBot="1">
      <c r="A68" s="181" t="s">
        <v>774</v>
      </c>
      <c r="B68" s="182" t="s">
        <v>2073</v>
      </c>
      <c r="C68" s="2795">
        <f ca="1">IF(C67&lt;=0,0,ROUND(C67*D68,0))</f>
        <v>5511</v>
      </c>
      <c r="D68" s="2796">
        <f>'数据-取费表'!B41</f>
        <v>5.6000000000000001E-2</v>
      </c>
      <c r="E68" s="184"/>
      <c r="F68" s="1994"/>
      <c r="G68" s="1994"/>
      <c r="H68" s="1996"/>
      <c r="I68" s="134"/>
      <c r="J68" s="3355"/>
      <c r="K68" s="1501" t="s">
        <v>2074</v>
      </c>
      <c r="L68" s="1501">
        <f ca="1">IF(M49&gt;10000,M49*0.5%,IF(AND(M49&gt;5000,M49&lt;=10000),M49*1%,IF(AND(M49&gt;1000,M49&lt;=5000),M49*2%,IF(AND(M49&gt;200,M49&lt;=1000),M49*3%,M49*5%))))</f>
        <v>516.64499999999998</v>
      </c>
      <c r="M68" s="308">
        <f ca="1">ROUND(L68,1)</f>
        <v>516.6</v>
      </c>
      <c r="N68" s="2769"/>
      <c r="Z68" s="1938"/>
      <c r="AI68" s="1939"/>
    </row>
    <row r="69" spans="1:35" s="1958" customFormat="1" ht="16.5" customHeight="1">
      <c r="A69" s="1997"/>
      <c r="B69" s="1998"/>
      <c r="C69" s="1999"/>
      <c r="D69" s="2000"/>
      <c r="E69" s="2001"/>
      <c r="F69" s="1763"/>
      <c r="G69" s="1763"/>
      <c r="H69" s="1762"/>
      <c r="I69" s="1933"/>
      <c r="J69" s="3355"/>
      <c r="K69" s="1501" t="s">
        <v>2075</v>
      </c>
      <c r="L69" s="1501"/>
      <c r="M69" s="308">
        <f ca="1">ROUND(SUM(M63:M68),0)</f>
        <v>1669</v>
      </c>
      <c r="N69" s="2771">
        <f ca="1">M69/M49</f>
        <v>1.6152290257333373E-2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314" t="s">
        <v>2076</v>
      </c>
      <c r="B70" s="3315"/>
      <c r="C70" s="3315"/>
      <c r="D70" s="3315"/>
      <c r="E70" s="3315"/>
      <c r="F70" s="3315"/>
      <c r="G70" s="3315"/>
      <c r="H70" s="3315"/>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93" t="s">
        <v>2057</v>
      </c>
      <c r="B71" s="3294"/>
      <c r="C71" s="2209"/>
      <c r="D71" s="2209" t="s">
        <v>2058</v>
      </c>
      <c r="E71" s="185" t="s">
        <v>2059</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2077</v>
      </c>
      <c r="C72" s="2794">
        <f ca="1">ROUND(D45/(1+'数据-取费表'!C42),0)</f>
        <v>98409</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2078</v>
      </c>
      <c r="C73" s="2794">
        <f ca="1">C74+C78</f>
        <v>590</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2079</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2080</v>
      </c>
      <c r="C75" s="2797"/>
      <c r="D75" s="175" t="s">
        <v>32</v>
      </c>
      <c r="E75" s="190" t="s">
        <v>2081</v>
      </c>
      <c r="F75" s="2798"/>
      <c r="G75" s="190" t="s">
        <v>2082</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2083</v>
      </c>
      <c r="C76" s="175">
        <f>IF(F75="购房发票",ROUND(C75*H75*D76,0),0)</f>
        <v>0</v>
      </c>
      <c r="D76" s="2800">
        <v>0.05</v>
      </c>
      <c r="E76" s="3288" t="s">
        <v>2084</v>
      </c>
      <c r="F76" s="3262"/>
      <c r="G76" s="3262"/>
      <c r="H76" s="3313"/>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2085</v>
      </c>
      <c r="C77" s="175">
        <f>ROUND(IF(G77="个人住宅",0,IF(G77="2016年5月1日前购买",C75*D77,C75*D77/(1+'数据-取费表'!C42))),0)</f>
        <v>0</v>
      </c>
      <c r="D77" s="2801">
        <f>'数据-取费表'!B48+'数据-取费表'!B49</f>
        <v>3.0499999999999999E-2</v>
      </c>
      <c r="E77" s="2547" t="s">
        <v>2086</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2087</v>
      </c>
      <c r="C78" s="2802">
        <f ca="1">ROUND(D45*D78/(1+'数据-取费表'!C42),0)</f>
        <v>590</v>
      </c>
      <c r="D78" s="2803">
        <f>'数据-取费表'!B43</f>
        <v>6.000000000000001E-3</v>
      </c>
      <c r="E78" s="3272" t="s">
        <v>2088</v>
      </c>
      <c r="F78" s="3273"/>
      <c r="G78" s="3273"/>
      <c r="H78" s="3282"/>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2089</v>
      </c>
      <c r="C79" s="2794">
        <f ca="1">C72-C73</f>
        <v>97819</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2090</v>
      </c>
      <c r="C80" s="2804">
        <f ca="1">IF(C79&lt;=0,0,C79/C73)</f>
        <v>165.79491525423728</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2091</v>
      </c>
      <c r="C81" s="2805">
        <f ca="1">ROUND(IF(C79&lt;=0,0,IF(C80&gt;=200%,C79*60%-C73*35%,IF(C80&gt;=100%,C79*50%-C73*15%,IF(C80&gt;=50%,C79*40%-C73*5%,IF(C80&lt;50%,C79*30%,0))))),0)</f>
        <v>58485</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314" t="s">
        <v>2092</v>
      </c>
      <c r="B83" s="3315"/>
      <c r="C83" s="3315"/>
      <c r="D83" s="3315"/>
      <c r="E83" s="3315"/>
      <c r="F83" s="3315"/>
      <c r="G83" s="3315"/>
      <c r="H83" s="3315"/>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93" t="s">
        <v>2057</v>
      </c>
      <c r="B84" s="3294"/>
      <c r="C84" s="2209"/>
      <c r="D84" s="2209" t="s">
        <v>2058</v>
      </c>
      <c r="E84" s="185" t="s">
        <v>2059</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2077</v>
      </c>
      <c r="C85" s="2794">
        <f ca="1">ROUND(D45/(1+'数据-取费表'!C42),0)</f>
        <v>98409</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2078</v>
      </c>
      <c r="C86" s="2794">
        <f ca="1">IF(H88="仅含出让金",C87+C90+C91+C92+C93+C94,C87+C91+C92+C93+C94)</f>
        <v>590</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2093</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2094</v>
      </c>
      <c r="C88" s="2808"/>
      <c r="D88" s="2803"/>
      <c r="E88" s="199" t="s">
        <v>2095</v>
      </c>
      <c r="F88" s="2550"/>
      <c r="G88" s="200" t="s">
        <v>2096</v>
      </c>
      <c r="H88" s="2010"/>
      <c r="I88" s="2007"/>
      <c r="J88" s="2747" t="s">
        <v>3030</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2085</v>
      </c>
      <c r="C89" s="2802">
        <f>ROUND(C88*D89,0)</f>
        <v>0</v>
      </c>
      <c r="D89" s="2803">
        <f>'数据-取费表'!B48+'数据-取费表'!B49</f>
        <v>3.0499999999999999E-2</v>
      </c>
      <c r="E89" s="199" t="s">
        <v>2097</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2098</v>
      </c>
      <c r="C90" s="2808"/>
      <c r="D90" s="2803"/>
      <c r="E90" s="199" t="str">
        <f>IF(H88="-","土地取得成本中已包含该笔费用"," ")</f>
        <v xml:space="preserve"> </v>
      </c>
      <c r="F90" s="2550"/>
      <c r="G90" s="3357" t="s">
        <v>2867</v>
      </c>
      <c r="H90" s="3358"/>
      <c r="I90" s="2007"/>
      <c r="J90" s="2747" t="s">
        <v>3031</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2099</v>
      </c>
      <c r="B91" s="175" t="s">
        <v>2100</v>
      </c>
      <c r="C91" s="2802">
        <f>IF(H91="——",成本法!C33,I91)</f>
        <v>0</v>
      </c>
      <c r="D91" s="2803"/>
      <c r="E91" s="3272" t="s">
        <v>2101</v>
      </c>
      <c r="F91" s="3273"/>
      <c r="G91" s="3273"/>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2102</v>
      </c>
      <c r="B92" s="175" t="s">
        <v>2103</v>
      </c>
      <c r="C92" s="2802">
        <f>ROUND((C87+C90+C91)*D92,0)</f>
        <v>0</v>
      </c>
      <c r="D92" s="2809"/>
      <c r="E92" s="3272" t="s">
        <v>2104</v>
      </c>
      <c r="F92" s="3273"/>
      <c r="G92" s="3273"/>
      <c r="H92" s="3282"/>
      <c r="I92" s="2007"/>
      <c r="J92" s="2748" t="s">
        <v>3032</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2105</v>
      </c>
      <c r="B93" s="175" t="s">
        <v>2087</v>
      </c>
      <c r="C93" s="2802">
        <f ca="1">ROUND(D45*D93/(1+'数据-取费表'!C42),0)</f>
        <v>590</v>
      </c>
      <c r="D93" s="2803">
        <f>'数据-取费表'!B43</f>
        <v>6.000000000000001E-3</v>
      </c>
      <c r="E93" s="3272" t="s">
        <v>2088</v>
      </c>
      <c r="F93" s="3273"/>
      <c r="G93" s="3273"/>
      <c r="H93" s="3282"/>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2106</v>
      </c>
      <c r="B94" s="175" t="s">
        <v>2107</v>
      </c>
      <c r="C94" s="2808">
        <f>ROUND((C87+C90+C91)*D94,0)</f>
        <v>0</v>
      </c>
      <c r="D94" s="2803">
        <v>0.2</v>
      </c>
      <c r="E94" s="3283" t="s">
        <v>2108</v>
      </c>
      <c r="F94" s="3284"/>
      <c r="G94" s="3284"/>
      <c r="H94" s="3285"/>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2089</v>
      </c>
      <c r="C95" s="2794">
        <f ca="1">ROUND(C85-C86,0)</f>
        <v>97819</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2090</v>
      </c>
      <c r="C96" s="2804">
        <f ca="1">IF(C95&lt;=0,0,C95/C86)</f>
        <v>165.79491525423728</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2091</v>
      </c>
      <c r="C97" s="2805">
        <f ca="1">ROUND(IF(C95&lt;=0,0,IF(C96&gt;=200%,C95*60%-C86*35%,IF(C96&gt;=100%,C95*50%-C86*15%,IF(C96&gt;=50%,C95*40%-C86*5%,IF(C96&lt;50%,C95*30%,0))))),0)</f>
        <v>58485</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2109</v>
      </c>
      <c r="B99" s="1933"/>
      <c r="C99" s="1933"/>
      <c r="D99" s="1933"/>
      <c r="E99" s="1763"/>
      <c r="F99" s="1763"/>
      <c r="G99" s="1763"/>
      <c r="H99" s="1762"/>
      <c r="I99" s="134"/>
    </row>
    <row r="100" spans="1:35" ht="18.75" customHeight="1">
      <c r="A100" s="3256" t="s">
        <v>2110</v>
      </c>
      <c r="B100" s="3257"/>
      <c r="C100" s="3257"/>
      <c r="D100" s="3274"/>
      <c r="E100" s="3257" t="s">
        <v>2111</v>
      </c>
      <c r="F100" s="3257"/>
      <c r="G100" s="3257"/>
      <c r="H100" s="3274"/>
      <c r="I100" s="134"/>
    </row>
    <row r="101" spans="1:35" ht="18.75" customHeight="1">
      <c r="A101" s="3338" t="s">
        <v>2112</v>
      </c>
      <c r="B101" s="3339"/>
      <c r="C101" s="2811" t="str">
        <f>C4</f>
        <v>成本法</v>
      </c>
      <c r="D101" s="2812" t="str">
        <f>D4</f>
        <v>收益法</v>
      </c>
      <c r="E101" s="3352" t="s">
        <v>2113</v>
      </c>
      <c r="F101" s="3306"/>
      <c r="G101" s="2013" t="s">
        <v>2114</v>
      </c>
      <c r="H101" s="2821">
        <f ca="1">H118</f>
        <v>103329</v>
      </c>
      <c r="I101" s="134"/>
    </row>
    <row r="102" spans="1:35" ht="18.75" customHeight="1">
      <c r="A102" s="3308" t="s">
        <v>2115</v>
      </c>
      <c r="B102" s="2810" t="s">
        <v>2114</v>
      </c>
      <c r="C102" s="2811">
        <f ca="1">C19</f>
        <v>151110</v>
      </c>
      <c r="D102" s="2812">
        <f ca="1">D19</f>
        <v>14593</v>
      </c>
      <c r="E102" s="3352"/>
      <c r="F102" s="3306"/>
      <c r="G102" s="2013" t="s">
        <v>2116</v>
      </c>
      <c r="H102" s="2781">
        <f ca="1">I118</f>
        <v>22882</v>
      </c>
      <c r="I102" s="134"/>
    </row>
    <row r="103" spans="1:35" ht="42.75" customHeight="1">
      <c r="A103" s="3308"/>
      <c r="B103" s="2810" t="s">
        <v>2116</v>
      </c>
      <c r="C103" s="2813">
        <f ca="1">C20</f>
        <v>33464</v>
      </c>
      <c r="D103" s="2814">
        <f ca="1">D20</f>
        <v>3232</v>
      </c>
      <c r="E103" s="3346" t="s">
        <v>2117</v>
      </c>
      <c r="F103" s="3347"/>
      <c r="G103" s="2014" t="s">
        <v>2118</v>
      </c>
      <c r="H103" s="2821">
        <f>IF(D36="正常操作",H104+H105+H106,H105+H106)</f>
        <v>0</v>
      </c>
      <c r="I103" s="134"/>
    </row>
    <row r="104" spans="1:35" ht="18.75" customHeight="1">
      <c r="A104" s="3308" t="s">
        <v>2119</v>
      </c>
      <c r="B104" s="2815" t="s">
        <v>2114</v>
      </c>
      <c r="C104" s="2816">
        <f ca="1">H118</f>
        <v>103329</v>
      </c>
      <c r="D104" s="2817"/>
      <c r="E104" s="1860" t="s">
        <v>2120</v>
      </c>
      <c r="F104" s="1851"/>
      <c r="G104" s="2014" t="s">
        <v>2118</v>
      </c>
      <c r="H104" s="2822">
        <f>IF(D36="同一抵押权人同一抵押物续贷",C36&amp;"（续贷，未扣减，详见特别提示）",C36)</f>
        <v>0</v>
      </c>
      <c r="I104" s="134"/>
    </row>
    <row r="105" spans="1:35" ht="18.75" customHeight="1" thickBot="1">
      <c r="A105" s="3309"/>
      <c r="B105" s="2818" t="s">
        <v>2116</v>
      </c>
      <c r="C105" s="2819">
        <f ca="1">I118</f>
        <v>22882</v>
      </c>
      <c r="D105" s="2820"/>
      <c r="E105" s="1860" t="s">
        <v>2121</v>
      </c>
      <c r="F105" s="1851"/>
      <c r="G105" s="2014" t="s">
        <v>2118</v>
      </c>
      <c r="H105" s="2823">
        <f>C37</f>
        <v>0</v>
      </c>
      <c r="I105" s="134"/>
    </row>
    <row r="106" spans="1:35" ht="18.75" customHeight="1">
      <c r="A106" s="1933" t="s">
        <v>2122</v>
      </c>
      <c r="B106" s="1933"/>
      <c r="C106" s="1933"/>
      <c r="D106" s="1933"/>
      <c r="E106" s="2015" t="s">
        <v>2123</v>
      </c>
      <c r="F106" s="1851"/>
      <c r="G106" s="2014" t="s">
        <v>2118</v>
      </c>
      <c r="H106" s="2823">
        <f>C38</f>
        <v>0</v>
      </c>
      <c r="I106" s="134"/>
    </row>
    <row r="107" spans="1:35" ht="18.75" customHeight="1">
      <c r="A107" s="134"/>
      <c r="B107" s="134"/>
      <c r="C107" s="134"/>
      <c r="D107" s="134"/>
      <c r="E107" s="3305" t="str">
        <f>IF(项目基本情况!E8="已注销","——","3.房地产抵押价值")</f>
        <v>3.房地产抵押价值</v>
      </c>
      <c r="F107" s="3306"/>
      <c r="G107" s="2013" t="s">
        <v>2114</v>
      </c>
      <c r="H107" s="2821">
        <f ca="1">IF(E107="——","——",H101-H103)</f>
        <v>103329</v>
      </c>
      <c r="I107" s="134"/>
    </row>
    <row r="108" spans="1:35" ht="18.75" customHeight="1">
      <c r="A108" s="134"/>
      <c r="B108" s="134"/>
      <c r="C108" s="134"/>
      <c r="D108" s="134"/>
      <c r="E108" s="3305"/>
      <c r="F108" s="3306"/>
      <c r="G108" s="2013" t="s">
        <v>2116</v>
      </c>
      <c r="H108" s="2781">
        <f ca="1">ROUND(H107*10000/'数据-汇总表'!E3,0)</f>
        <v>11039</v>
      </c>
      <c r="I108" s="134"/>
    </row>
    <row r="109" spans="1:35" ht="18.75" customHeight="1">
      <c r="A109" s="134"/>
      <c r="B109" s="134"/>
      <c r="C109" s="134"/>
      <c r="D109" s="134"/>
      <c r="E109" s="3305" t="str">
        <f>IF(项目基本情况!E8="已注销及未注销","4.抵押担保权已注销时的房地产抵押价值",IF(项目基本情况!E8="已注销","3.抵押担保权已注销时的房地产抵押价值","——"))</f>
        <v>——</v>
      </c>
      <c r="F109" s="3306"/>
      <c r="G109" s="2013" t="s">
        <v>2114</v>
      </c>
      <c r="H109" s="2824" t="str">
        <f>IF(E109="——","——",H101-H105-H106)</f>
        <v>——</v>
      </c>
      <c r="I109" s="134"/>
    </row>
    <row r="110" spans="1:35" ht="18.75" customHeight="1">
      <c r="A110" s="134"/>
      <c r="B110" s="134"/>
      <c r="C110" s="134"/>
      <c r="D110" s="134"/>
      <c r="E110" s="3305"/>
      <c r="F110" s="3306"/>
      <c r="G110" s="2013" t="s">
        <v>2116</v>
      </c>
      <c r="H110" s="2781" t="str">
        <f>IF(H109="——","——",ROUND(H109*10000/'数据-汇总表'!E3,0))</f>
        <v>——</v>
      </c>
      <c r="I110" s="134"/>
    </row>
    <row r="111" spans="1:35" ht="18.75" customHeight="1">
      <c r="A111" s="134"/>
      <c r="B111" s="134"/>
      <c r="C111" s="134"/>
      <c r="D111" s="134"/>
      <c r="E111" s="3340" t="str">
        <f>IF(项目基本情况!E9="抵押净值",IF(OR(项目基本情况!E8="已注销",项目基本情况!E8="房地产抵押价值"),"4.抵押净值","5.抵押净值"),"——")</f>
        <v>——</v>
      </c>
      <c r="F111" s="3307"/>
      <c r="G111" s="2013" t="s">
        <v>2114</v>
      </c>
      <c r="H111" s="2821" t="str">
        <f>IF(E111="——","——",N59)</f>
        <v>——</v>
      </c>
      <c r="I111" s="134"/>
    </row>
    <row r="112" spans="1:35" ht="18.75" customHeight="1" thickBot="1">
      <c r="A112" s="134"/>
      <c r="B112" s="134"/>
      <c r="C112" s="134"/>
      <c r="D112" s="134"/>
      <c r="E112" s="3341"/>
      <c r="F112" s="3342"/>
      <c r="G112" s="2016" t="s">
        <v>2116</v>
      </c>
      <c r="H112" s="2825" t="str">
        <f>IF(E111="——","——",N61)</f>
        <v>——</v>
      </c>
      <c r="I112" s="134"/>
    </row>
    <row r="113" spans="1:27" ht="18.75" customHeight="1">
      <c r="A113" s="134"/>
      <c r="B113" s="134"/>
      <c r="C113" s="134"/>
      <c r="D113" s="134"/>
      <c r="E113" s="3310" t="s">
        <v>2122</v>
      </c>
      <c r="F113" s="3310"/>
      <c r="G113" s="3310"/>
      <c r="H113" s="3310"/>
      <c r="I113" s="134"/>
    </row>
    <row r="114" spans="1:27" ht="3.75" customHeight="1">
      <c r="A114" s="1933"/>
      <c r="B114" s="1933"/>
      <c r="C114" s="1933"/>
      <c r="D114" s="1933"/>
      <c r="E114" s="1995"/>
      <c r="F114" s="1995"/>
      <c r="G114" s="1995"/>
      <c r="H114" s="1995"/>
      <c r="I114" s="1933"/>
    </row>
    <row r="115" spans="1:27" ht="18.75" customHeight="1">
      <c r="A115" s="3323" t="s">
        <v>2124</v>
      </c>
      <c r="B115" s="3324"/>
      <c r="C115" s="3324"/>
      <c r="D115" s="3324"/>
      <c r="E115" s="3324"/>
      <c r="F115" s="3324"/>
      <c r="G115" s="3324"/>
      <c r="H115" s="3324"/>
      <c r="I115" s="3325"/>
    </row>
    <row r="116" spans="1:27" ht="27" customHeight="1">
      <c r="A116" s="3276" t="s">
        <v>2125</v>
      </c>
      <c r="B116" s="3311" t="s">
        <v>2126</v>
      </c>
      <c r="C116" s="3311" t="s">
        <v>2127</v>
      </c>
      <c r="D116" s="3327" t="s">
        <v>2128</v>
      </c>
      <c r="E116" s="3328"/>
      <c r="F116" s="3319" t="s">
        <v>2129</v>
      </c>
      <c r="G116" s="3319"/>
      <c r="H116" s="3276" t="s">
        <v>2130</v>
      </c>
      <c r="I116" s="3276"/>
    </row>
    <row r="117" spans="1:27" ht="18.75" customHeight="1">
      <c r="A117" s="3276"/>
      <c r="B117" s="3312"/>
      <c r="C117" s="3312"/>
      <c r="D117" s="2552" t="s">
        <v>2131</v>
      </c>
      <c r="E117" s="2552" t="s">
        <v>2132</v>
      </c>
      <c r="F117" s="2552" t="s">
        <v>2131</v>
      </c>
      <c r="G117" s="2552" t="s">
        <v>2133</v>
      </c>
      <c r="H117" s="2552" t="s">
        <v>2131</v>
      </c>
      <c r="I117" s="2552" t="s">
        <v>2133</v>
      </c>
    </row>
    <row r="118" spans="1:27" ht="24.75" customHeight="1">
      <c r="A118" s="2826" t="str">
        <f>项目基本情况!S2</f>
        <v>房地产</v>
      </c>
      <c r="B118" s="2552">
        <f>M18</f>
        <v>45156.59</v>
      </c>
      <c r="C118" s="2552">
        <f>M19</f>
        <v>63585.59</v>
      </c>
      <c r="D118" s="2552">
        <f ca="1">ROUND(IF(D32="总价",C34,E118*B118/10000),0)</f>
        <v>21802</v>
      </c>
      <c r="E118" s="2552">
        <f ca="1">ROUND(IF(C33="自定义",IF(D32="楼面单价",C34,D118*10000/B118),I118-G118),0)</f>
        <v>4828</v>
      </c>
      <c r="F118" s="2552">
        <f ca="1">ROUND(IF(D32="总价",C35,G118*B118/10000),0)</f>
        <v>81527</v>
      </c>
      <c r="G118" s="2552">
        <f ca="1">ROUND(IF(D32="楼面单价",C35,F118*10000/B118),0)</f>
        <v>18054</v>
      </c>
      <c r="H118" s="2552">
        <f ca="1">ROUND(IF(D32="总价",C32,I118*B118/10000),0)</f>
        <v>103329</v>
      </c>
      <c r="I118" s="2552">
        <f ca="1">ROUND(IF(D32="楼面单价",C32,H118*10000/B118),0)</f>
        <v>22882</v>
      </c>
    </row>
    <row r="119" spans="1:27" ht="18.75" customHeight="1">
      <c r="A119" s="3276" t="s">
        <v>2134</v>
      </c>
      <c r="B119" s="3276"/>
      <c r="C119" s="3276"/>
      <c r="D119" s="3316" t="str">
        <f ca="1">NUMBERSTRING(INT(D118*10000),2)&amp;"元整"</f>
        <v>贰亿壹仟捌佰零贰万元整</v>
      </c>
      <c r="E119" s="3318"/>
      <c r="F119" s="3316" t="str">
        <f ca="1">NUMBERSTRING(INT(F118*10000),2)&amp;"元整"</f>
        <v>捌亿壹仟伍佰贰拾柒万元整</v>
      </c>
      <c r="G119" s="3318"/>
      <c r="H119" s="3316" t="str">
        <f ca="1">NUMBERSTRING(INT(H118*10000),2)&amp;"元整"</f>
        <v>壹拾亿叁仟叁佰贰拾玖万元整</v>
      </c>
      <c r="I119" s="3318"/>
    </row>
    <row r="120" spans="1:27" ht="18.75" customHeight="1">
      <c r="A120" s="3343" t="str">
        <f>IF(项目基本情况!B9="房地产市场价值","",MID(E103,3,LEN(E103)-2))</f>
        <v>估价师知悉的法定优先受偿款</v>
      </c>
      <c r="B120" s="3344"/>
      <c r="C120" s="3345"/>
      <c r="D120" s="3343">
        <f>H103</f>
        <v>0</v>
      </c>
      <c r="E120" s="3344"/>
      <c r="F120" s="3344"/>
      <c r="G120" s="3344"/>
      <c r="H120" s="3344"/>
      <c r="I120" s="3345"/>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320" t="s">
        <v>2134</v>
      </c>
      <c r="B121" s="3321"/>
      <c r="C121" s="3322"/>
      <c r="D121" s="3316" t="str">
        <f>IF(D120=0,"零元整",NUMBERSTRING(INT(D120*10000),2)&amp;"元整")</f>
        <v>零元整</v>
      </c>
      <c r="E121" s="3317"/>
      <c r="F121" s="3317"/>
      <c r="G121" s="3317"/>
      <c r="H121" s="3317"/>
      <c r="I121" s="3318"/>
      <c r="AA121" s="734"/>
    </row>
    <row r="122" spans="1:27" ht="18.75" customHeight="1">
      <c r="A122" s="3307" t="str">
        <f>IF(项目基本情况!B9="房地产市场价值","",MID(E107,3,LEN(E107)-2))</f>
        <v>房地产抵押价值</v>
      </c>
      <c r="B122" s="3307"/>
      <c r="C122" s="3307"/>
      <c r="D122" s="3343">
        <f ca="1">H107</f>
        <v>103329</v>
      </c>
      <c r="E122" s="3344"/>
      <c r="F122" s="3344"/>
      <c r="G122" s="3344"/>
      <c r="H122" s="3344"/>
      <c r="I122" s="3345"/>
      <c r="AA122" s="734"/>
    </row>
    <row r="123" spans="1:27" ht="18.75" customHeight="1">
      <c r="A123" s="3276" t="s">
        <v>2134</v>
      </c>
      <c r="B123" s="3276"/>
      <c r="C123" s="3276"/>
      <c r="D123" s="3316" t="str">
        <f ca="1">NUMBERSTRING(INT(D122*10000),2)&amp;"元整"</f>
        <v>壹拾亿叁仟叁佰贰拾玖万元整</v>
      </c>
      <c r="E123" s="3317"/>
      <c r="F123" s="3317"/>
      <c r="G123" s="3317"/>
      <c r="H123" s="3317"/>
      <c r="I123" s="3318"/>
      <c r="AA123" s="734"/>
    </row>
    <row r="124" spans="1:27" ht="18.75" customHeight="1">
      <c r="A124" s="3307" t="str">
        <f>IF(项目基本情况!B9="房地产市场价值","",MID(E109,3,LEN(E109)-2))</f>
        <v/>
      </c>
      <c r="B124" s="3307"/>
      <c r="C124" s="3307"/>
      <c r="D124" s="3343" t="str">
        <f>H109</f>
        <v>——</v>
      </c>
      <c r="E124" s="3344"/>
      <c r="F124" s="3344"/>
      <c r="G124" s="3344"/>
      <c r="H124" s="3344"/>
      <c r="I124" s="3345"/>
      <c r="AA124" s="734"/>
    </row>
    <row r="125" spans="1:27" ht="18.75" customHeight="1">
      <c r="A125" s="3276" t="s">
        <v>2134</v>
      </c>
      <c r="B125" s="3276"/>
      <c r="C125" s="3276"/>
      <c r="D125" s="3316" t="e">
        <f>NUMBERSTRING(INT(D124*10000),2)&amp;"元整"</f>
        <v>#VALUE!</v>
      </c>
      <c r="E125" s="3317"/>
      <c r="F125" s="3317"/>
      <c r="G125" s="3317"/>
      <c r="H125" s="3317"/>
      <c r="I125" s="3318"/>
      <c r="AA125" s="734"/>
    </row>
    <row r="126" spans="1:27" ht="18.75" customHeight="1">
      <c r="A126" s="3307" t="str">
        <f>IF(项目基本情况!B9="房地产市场价值","",MID(E111,3,LEN(E111)-2))</f>
        <v/>
      </c>
      <c r="B126" s="3307"/>
      <c r="C126" s="3307"/>
      <c r="D126" s="3343" t="str">
        <f>H111</f>
        <v>——</v>
      </c>
      <c r="E126" s="3344"/>
      <c r="F126" s="3344"/>
      <c r="G126" s="3344"/>
      <c r="H126" s="3344"/>
      <c r="I126" s="3345"/>
      <c r="AA126" s="734"/>
    </row>
    <row r="127" spans="1:27" ht="18.75" customHeight="1">
      <c r="A127" s="3276" t="s">
        <v>2134</v>
      </c>
      <c r="B127" s="3276"/>
      <c r="C127" s="3276"/>
      <c r="D127" s="3316" t="e">
        <f>NUMBERSTRING(INT(D126*10000),2)&amp;"元整"</f>
        <v>#VALUE!</v>
      </c>
      <c r="E127" s="3317"/>
      <c r="F127" s="3317"/>
      <c r="G127" s="3317"/>
      <c r="H127" s="3317"/>
      <c r="I127" s="3318"/>
      <c r="AA127" s="734"/>
    </row>
    <row r="128" spans="1:27" ht="21.75" customHeight="1">
      <c r="A128" s="3326" t="s">
        <v>2135</v>
      </c>
      <c r="B128" s="3326"/>
      <c r="C128" s="3326"/>
      <c r="D128" s="3326"/>
      <c r="E128" s="3326"/>
      <c r="F128" s="3326"/>
      <c r="G128" s="3326"/>
      <c r="H128" s="3326"/>
      <c r="I128" s="3326"/>
      <c r="AA128" s="734"/>
    </row>
    <row r="129" spans="1:35" ht="21.75" customHeight="1">
      <c r="A129" s="2017" t="s">
        <v>2136</v>
      </c>
      <c r="B129" s="2018"/>
      <c r="C129" s="2019" t="s">
        <v>2137</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2138</v>
      </c>
      <c r="G135" s="2034"/>
      <c r="H135" s="2034"/>
      <c r="I135" s="2035" t="s">
        <v>2139</v>
      </c>
    </row>
    <row r="136" spans="1:35" ht="21.75" customHeight="1">
      <c r="A136" s="734"/>
      <c r="B136" s="2036" t="s">
        <v>2140</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2141</v>
      </c>
    </row>
    <row r="139" spans="1:35" ht="21.75" customHeight="1">
      <c r="A139" s="734"/>
      <c r="B139" s="2036" t="s">
        <v>2142</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2141</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"100%,80%,60%,64%"</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68" t="str">
        <f>项目基本情况!B1</f>
        <v>房地产抵押价值预评估</v>
      </c>
      <c r="C37" s="3168"/>
      <c r="D37" s="3168"/>
      <c r="E37" s="3168"/>
      <c r="F37" s="3168"/>
      <c r="G37" s="3168"/>
      <c r="H37" s="3168"/>
      <c r="I37" s="3168"/>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吴薇（注册号：1419970001)、郑燚（注册号：1120070131)</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90" zoomScaleNormal="70" zoomScaleSheetLayoutView="90"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2143</v>
      </c>
      <c r="B1" s="1654" t="s">
        <v>1008</v>
      </c>
      <c r="C1" s="204"/>
      <c r="D1" s="204"/>
      <c r="E1" s="204"/>
      <c r="F1" s="204"/>
      <c r="G1" s="1288">
        <f>MATCH(B1,'数据-取费表'!A6:A16,0)+5</f>
        <v>6</v>
      </c>
    </row>
    <row r="2" spans="1:9" s="206" customFormat="1" ht="18" customHeight="1">
      <c r="A2" s="207" t="s">
        <v>2144</v>
      </c>
      <c r="B2" s="208">
        <f ca="1">IF(D2="——",C52,C52-E2)</f>
        <v>151110</v>
      </c>
      <c r="C2" s="205" t="s">
        <v>2145</v>
      </c>
      <c r="D2" s="2039" t="s">
        <v>70</v>
      </c>
      <c r="E2" s="1331" t="e">
        <f ca="1">SUMIF(INDIRECT("'"&amp;G2&amp;"'"&amp;"!A:A"),"承租人权益价值",INDIRECT("'"&amp;G2&amp;"'"&amp;"!c:c"))</f>
        <v>#REF!</v>
      </c>
      <c r="F2" s="2040" t="s">
        <v>2145</v>
      </c>
      <c r="G2" s="2041"/>
    </row>
    <row r="3" spans="1:9" s="206" customFormat="1" ht="18" customHeight="1" thickBot="1">
      <c r="A3" s="209" t="s">
        <v>2146</v>
      </c>
      <c r="B3" s="210">
        <f ca="1">ROUND(B2*10000/(IF(B1="",'数据-汇总表'!E3,INDIRECT("'数据-取费表'!k"&amp;$G$1))),0)</f>
        <v>33464</v>
      </c>
      <c r="C3" s="205" t="s">
        <v>2147</v>
      </c>
      <c r="D3" s="205"/>
      <c r="E3" s="205"/>
      <c r="F3" s="205"/>
      <c r="G3" s="205"/>
    </row>
    <row r="4" spans="1:9" s="214" customFormat="1" ht="15.75">
      <c r="A4" s="211" t="s">
        <v>2148</v>
      </c>
      <c r="B4" s="212"/>
      <c r="C4" s="212"/>
      <c r="D4" s="212"/>
      <c r="E4" s="212"/>
      <c r="F4" s="212"/>
      <c r="G4" s="213"/>
    </row>
    <row r="5" spans="1:9" s="220" customFormat="1" ht="13.5" customHeight="1">
      <c r="A5" s="261" t="s">
        <v>2149</v>
      </c>
      <c r="B5" s="216" t="s">
        <v>2150</v>
      </c>
      <c r="C5" s="217">
        <f>C6+C7+C8</f>
        <v>23864</v>
      </c>
      <c r="D5" s="217" t="s">
        <v>2151</v>
      </c>
      <c r="E5" s="218" t="s">
        <v>2152</v>
      </c>
      <c r="F5" s="218" t="s">
        <v>2153</v>
      </c>
      <c r="G5" s="219"/>
    </row>
    <row r="6" spans="1:9" s="220" customFormat="1" ht="13.5" customHeight="1">
      <c r="A6" s="886" t="s">
        <v>2154</v>
      </c>
      <c r="B6" s="221" t="s">
        <v>2155</v>
      </c>
      <c r="C6" s="222">
        <f>ROUND('数据-汇总表'!D19*'土地比较法-住宅、综合'!C48/10000,0)</f>
        <v>22344</v>
      </c>
      <c r="D6" s="223"/>
      <c r="E6" s="224"/>
      <c r="F6" s="224"/>
      <c r="G6" s="225"/>
    </row>
    <row r="7" spans="1:9" s="220" customFormat="1" ht="13.5" customHeight="1">
      <c r="A7" s="886" t="s">
        <v>2156</v>
      </c>
      <c r="B7" s="221" t="s">
        <v>2157</v>
      </c>
      <c r="C7" s="226">
        <f>ROUND(C6*F7,0)</f>
        <v>681</v>
      </c>
      <c r="D7" s="226"/>
      <c r="E7" s="224"/>
      <c r="F7" s="227">
        <f>IF(项目基本情况!B8="出让",0,'数据-取费表'!B48+'数据-取费表'!B49)</f>
        <v>3.0499999999999999E-2</v>
      </c>
      <c r="G7" s="225"/>
    </row>
    <row r="8" spans="1:9" s="229" customFormat="1">
      <c r="A8" s="886" t="s">
        <v>2158</v>
      </c>
      <c r="B8" s="221" t="s">
        <v>2159</v>
      </c>
      <c r="C8" s="226">
        <f>IF(G8="已包含在土地购买价格中","0",IF(B1="",'数据-取费表'!B29,IF(G9="全部缴纳",C9+C10,H9)))</f>
        <v>839</v>
      </c>
      <c r="D8" s="228"/>
      <c r="E8" s="226"/>
      <c r="F8" s="227"/>
      <c r="G8" s="2042" t="s">
        <v>3168</v>
      </c>
    </row>
    <row r="9" spans="1:9" s="220" customFormat="1" ht="13.5" customHeight="1">
      <c r="A9" s="887" t="s">
        <v>800</v>
      </c>
      <c r="B9" s="230" t="s">
        <v>2160</v>
      </c>
      <c r="C9" s="231">
        <f ca="1">ROUND(D9*E9/10000,0)</f>
        <v>0</v>
      </c>
      <c r="D9" s="954">
        <f ca="1">IF(B1="",'数据-汇总表'!E5,IF(INDIRECT("'数据-取费表'!c"&amp;$G$1)="住宅",INDIRECT("'数据-取费表'!k"&amp;$G$1),0))</f>
        <v>0</v>
      </c>
      <c r="E9" s="231">
        <f>'数据-取费表'!B27</f>
        <v>0</v>
      </c>
      <c r="F9" s="227"/>
      <c r="G9" s="2043" t="s">
        <v>3169</v>
      </c>
      <c r="H9" s="1299">
        <v>839</v>
      </c>
      <c r="I9" s="2044" t="s">
        <v>2161</v>
      </c>
    </row>
    <row r="10" spans="1:9" s="220" customFormat="1" ht="13.5" customHeight="1">
      <c r="A10" s="887" t="s">
        <v>801</v>
      </c>
      <c r="B10" s="230" t="s">
        <v>2162</v>
      </c>
      <c r="C10" s="231">
        <f ca="1">ROUND(D10*E10/10000,0)</f>
        <v>839</v>
      </c>
      <c r="D10" s="954">
        <f ca="1">IF(B1="",'数据-汇总表'!E6,IF(INDIRECT("'数据-取费表'!c"&amp;$G$1)="住宅",INDIRECT("'数据-取费表'!s"&amp;$G$1),INDIRECT("'数据-取费表'!k"&amp;$G$1)+INDIRECT("'数据-取费表'!s"&amp;$G$1)))</f>
        <v>45156.59</v>
      </c>
      <c r="E10" s="231">
        <f>'数据-取费表'!B28</f>
        <v>185.8</v>
      </c>
      <c r="F10" s="227"/>
      <c r="G10" s="232"/>
    </row>
    <row r="11" spans="1:9" s="220" customFormat="1" ht="13.5" hidden="1" customHeight="1">
      <c r="A11" s="233" t="s">
        <v>7</v>
      </c>
      <c r="B11" s="221" t="s">
        <v>2163</v>
      </c>
      <c r="C11" s="217"/>
      <c r="D11" s="956"/>
      <c r="E11" s="224"/>
      <c r="F11" s="224"/>
      <c r="G11" s="225"/>
    </row>
    <row r="12" spans="1:9" s="220" customFormat="1" ht="13.5" hidden="1" customHeight="1">
      <c r="A12" s="233" t="s">
        <v>8</v>
      </c>
      <c r="B12" s="221" t="s">
        <v>2164</v>
      </c>
      <c r="C12" s="217">
        <v>0</v>
      </c>
      <c r="D12" s="956"/>
      <c r="E12" s="234"/>
      <c r="F12" s="227">
        <v>3.0499999999999999E-2</v>
      </c>
      <c r="G12" s="225"/>
    </row>
    <row r="13" spans="1:9" s="220" customFormat="1" ht="13.5" hidden="1" customHeight="1">
      <c r="A13" s="233" t="s">
        <v>9</v>
      </c>
      <c r="B13" s="221" t="s">
        <v>2165</v>
      </c>
      <c r="C13" s="217"/>
      <c r="D13" s="956"/>
      <c r="E13" s="224"/>
      <c r="F13" s="224"/>
      <c r="G13" s="225"/>
    </row>
    <row r="14" spans="1:9" s="220" customFormat="1" ht="13.5" hidden="1" customHeight="1">
      <c r="A14" s="233" t="s">
        <v>10</v>
      </c>
      <c r="B14" s="221" t="s">
        <v>2166</v>
      </c>
      <c r="C14" s="217"/>
      <c r="D14" s="956"/>
      <c r="E14" s="224"/>
      <c r="F14" s="224"/>
      <c r="G14" s="225" t="s">
        <v>2167</v>
      </c>
    </row>
    <row r="15" spans="1:9" s="220" customFormat="1" ht="13.5" hidden="1" customHeight="1">
      <c r="A15" s="233" t="s">
        <v>11</v>
      </c>
      <c r="B15" s="221" t="s">
        <v>2168</v>
      </c>
      <c r="C15" s="226"/>
      <c r="D15" s="956"/>
      <c r="E15" s="224"/>
      <c r="F15" s="224"/>
      <c r="G15" s="225" t="s">
        <v>2169</v>
      </c>
    </row>
    <row r="16" spans="1:9" s="220" customFormat="1" ht="13.5" hidden="1" customHeight="1">
      <c r="A16" s="233" t="s">
        <v>12</v>
      </c>
      <c r="B16" s="221" t="s">
        <v>2166</v>
      </c>
      <c r="C16" s="226"/>
      <c r="D16" s="956"/>
      <c r="E16" s="224"/>
      <c r="F16" s="224"/>
      <c r="G16" s="225"/>
    </row>
    <row r="17" spans="1:7" s="220" customFormat="1" ht="13.5" hidden="1" customHeight="1">
      <c r="A17" s="233" t="s">
        <v>13</v>
      </c>
      <c r="B17" s="221" t="s">
        <v>2170</v>
      </c>
      <c r="C17" s="235"/>
      <c r="D17" s="957"/>
      <c r="E17" s="235"/>
      <c r="F17" s="235"/>
      <c r="G17" s="225" t="s">
        <v>2169</v>
      </c>
    </row>
    <row r="18" spans="1:7" s="220" customFormat="1" ht="13.5" hidden="1" customHeight="1">
      <c r="A18" s="233" t="s">
        <v>14</v>
      </c>
      <c r="B18" s="221" t="s">
        <v>2171</v>
      </c>
      <c r="C18" s="226">
        <v>0</v>
      </c>
      <c r="D18" s="956"/>
      <c r="E18" s="224"/>
      <c r="F18" s="227">
        <v>3.0499999999999999E-2</v>
      </c>
      <c r="G18" s="225" t="s">
        <v>2172</v>
      </c>
    </row>
    <row r="19" spans="1:7" s="229" customFormat="1" ht="13.5" customHeight="1">
      <c r="A19" s="261" t="s">
        <v>2173</v>
      </c>
      <c r="B19" s="216" t="s">
        <v>2174</v>
      </c>
      <c r="C19" s="217" t="str">
        <f>IF(G19="已包含在土地取得成本中","0",ROUND(D19*E19/10000,0))</f>
        <v>0</v>
      </c>
      <c r="D19" s="958">
        <f ca="1">D9+D10</f>
        <v>45156.59</v>
      </c>
      <c r="E19" s="217">
        <f>'数据-取费表'!B31</f>
        <v>200</v>
      </c>
      <c r="F19" s="237"/>
      <c r="G19" s="2042" t="s">
        <v>3170</v>
      </c>
    </row>
    <row r="20" spans="1:7" s="220" customFormat="1" ht="13.5" customHeight="1">
      <c r="A20" s="261" t="s">
        <v>2175</v>
      </c>
      <c r="B20" s="216" t="s">
        <v>2176</v>
      </c>
      <c r="C20" s="238">
        <f>ROUND((C5+C19)*F20,0)</f>
        <v>239</v>
      </c>
      <c r="D20" s="238"/>
      <c r="E20" s="238"/>
      <c r="F20" s="239">
        <f>'数据-取费表'!B37</f>
        <v>0.01</v>
      </c>
      <c r="G20" s="240" t="s">
        <v>2177</v>
      </c>
    </row>
    <row r="21" spans="1:7" s="220" customFormat="1" ht="13.5" customHeight="1">
      <c r="A21" s="261" t="s">
        <v>2178</v>
      </c>
      <c r="B21" s="216" t="s">
        <v>2179</v>
      </c>
      <c r="C21" s="241">
        <f>F21</f>
        <v>0.01</v>
      </c>
      <c r="D21" s="242" t="s">
        <v>2180</v>
      </c>
      <c r="E21" s="238"/>
      <c r="F21" s="239">
        <f>'数据-取费表'!B38</f>
        <v>0.01</v>
      </c>
      <c r="G21" s="240" t="s">
        <v>2181</v>
      </c>
    </row>
    <row r="22" spans="1:7" s="220" customFormat="1" ht="13.5" customHeight="1">
      <c r="A22" s="261" t="s">
        <v>2182</v>
      </c>
      <c r="B22" s="216" t="s">
        <v>2183</v>
      </c>
      <c r="C22" s="1264">
        <f ca="1">ROUND(SUM(C23:C25),0)</f>
        <v>2131</v>
      </c>
      <c r="D22" s="241">
        <f ca="1">C26</f>
        <v>4.0000000000000002E-4</v>
      </c>
      <c r="E22" s="242" t="s">
        <v>2180</v>
      </c>
      <c r="F22" s="243">
        <f ca="1">'数据-取费表'!B40</f>
        <v>4.3499999999999997E-2</v>
      </c>
      <c r="G22" s="240" t="str">
        <f>IF('数据-取费表'!B22&lt;=1,"单利计息","复利计息")</f>
        <v>复利计息</v>
      </c>
    </row>
    <row r="23" spans="1:7" s="220" customFormat="1" ht="13.5" customHeight="1">
      <c r="A23" s="888" t="s">
        <v>2184</v>
      </c>
      <c r="B23" s="221" t="s">
        <v>2185</v>
      </c>
      <c r="C23" s="1265">
        <f ca="1">ROUND(IF('数据-取费表'!B22&lt;=1,C5*F22*'数据-取费表'!B23,C5*(POWER((1+F22),'数据-取费表'!B23)-1)),0)</f>
        <v>2121</v>
      </c>
      <c r="D23" s="244"/>
      <c r="E23" s="244"/>
      <c r="F23" s="245"/>
      <c r="G23" s="246" t="s">
        <v>2186</v>
      </c>
    </row>
    <row r="24" spans="1:7" s="220" customFormat="1" ht="13.5" customHeight="1">
      <c r="A24" s="888" t="s">
        <v>2187</v>
      </c>
      <c r="B24" s="221" t="s">
        <v>2188</v>
      </c>
      <c r="C24" s="1265">
        <f ca="1">ROUND(IF('数据-取费表'!B22&lt;=1,C19*F22*('数据-取费表'!B19/2+'数据-取费表'!B21),C19*(POWER((1+F22),('数据-取费表'!B19/2+'数据-取费表'!B21))-1)),0)</f>
        <v>0</v>
      </c>
      <c r="D24" s="244"/>
      <c r="E24" s="244"/>
      <c r="F24" s="245"/>
      <c r="G24" s="246" t="s">
        <v>2189</v>
      </c>
    </row>
    <row r="25" spans="1:7" s="220" customFormat="1" ht="24">
      <c r="A25" s="888" t="s">
        <v>2190</v>
      </c>
      <c r="B25" s="221" t="s">
        <v>2191</v>
      </c>
      <c r="C25" s="1265">
        <f ca="1">ROUND(IF('数据-取费表'!B22&lt;=1,C20*F22*'数据-取费表'!B23/2,C20*(POWER((1+F22),'数据-取费表'!B23/2)-1)),0)</f>
        <v>10</v>
      </c>
      <c r="D25" s="244"/>
      <c r="E25" s="247"/>
      <c r="F25" s="245"/>
      <c r="G25" s="248" t="s">
        <v>2192</v>
      </c>
    </row>
    <row r="26" spans="1:7" s="220" customFormat="1">
      <c r="A26" s="888" t="s">
        <v>795</v>
      </c>
      <c r="B26" s="221" t="s">
        <v>2193</v>
      </c>
      <c r="C26" s="244">
        <f ca="1">ROUND(IF('数据-取费表'!B22&lt;=1,F21*F22*'数据-取费表'!B23/2,F21*(POWER((1+F22),'数据-取费表'!B23/2)-1)),4)</f>
        <v>4.0000000000000002E-4</v>
      </c>
      <c r="D26" s="244"/>
      <c r="E26" s="247"/>
      <c r="F26" s="245"/>
      <c r="G26" s="249"/>
    </row>
    <row r="27" spans="1:7" s="220" customFormat="1" ht="24.75">
      <c r="A27" s="261" t="s">
        <v>2194</v>
      </c>
      <c r="B27" s="250" t="s">
        <v>2195</v>
      </c>
      <c r="C27" s="251">
        <f ca="1">C28</f>
        <v>3615</v>
      </c>
      <c r="D27" s="241">
        <f ca="1">C29</f>
        <v>1.5E-3</v>
      </c>
      <c r="E27" s="242" t="s">
        <v>2196</v>
      </c>
      <c r="F27" s="252">
        <f ca="1">IF(B1="",'数据-取费表'!Q16,INDIRECT("'数据-取费表'!q"&amp;$G$1))</f>
        <v>0.15</v>
      </c>
      <c r="G27" s="253" t="s">
        <v>2197</v>
      </c>
    </row>
    <row r="28" spans="1:7" s="220" customFormat="1" ht="13.5" customHeight="1">
      <c r="A28" s="888" t="s">
        <v>791</v>
      </c>
      <c r="B28" s="254" t="s">
        <v>2198</v>
      </c>
      <c r="C28" s="255">
        <f ca="1">ROUND((C5+C19+C20)*F27*'数据-取费表'!B21/'数据-取费表'!B20,0)</f>
        <v>3615</v>
      </c>
      <c r="D28" s="241"/>
      <c r="E28" s="242"/>
      <c r="F28" s="252"/>
      <c r="G28" s="253"/>
    </row>
    <row r="29" spans="1:7" s="220" customFormat="1" ht="13.5" customHeight="1">
      <c r="A29" s="888" t="s">
        <v>792</v>
      </c>
      <c r="B29" s="254" t="s">
        <v>2199</v>
      </c>
      <c r="C29" s="244">
        <f ca="1">ROUND(C21*F27*'数据-取费表'!B21/'数据-取费表'!B20,4)</f>
        <v>1.5E-3</v>
      </c>
      <c r="D29" s="241"/>
      <c r="E29" s="242"/>
      <c r="F29" s="252"/>
      <c r="G29" s="253"/>
    </row>
    <row r="30" spans="1:7" s="220" customFormat="1" ht="13.5" customHeight="1">
      <c r="A30" s="261" t="s">
        <v>2200</v>
      </c>
      <c r="B30" s="216" t="s">
        <v>2201</v>
      </c>
      <c r="C30" s="241">
        <f>ROUND(F30/(1+'数据-取费表'!C42),4)</f>
        <v>5.33E-2</v>
      </c>
      <c r="D30" s="242" t="s">
        <v>2196</v>
      </c>
      <c r="E30" s="247"/>
      <c r="F30" s="243">
        <f>'数据-取费表'!B41</f>
        <v>5.6000000000000001E-2</v>
      </c>
      <c r="G30" s="240" t="s">
        <v>2202</v>
      </c>
    </row>
    <row r="31" spans="1:7" ht="16.5" customHeight="1">
      <c r="A31" s="215">
        <v>1</v>
      </c>
      <c r="B31" s="216" t="s">
        <v>2203</v>
      </c>
      <c r="C31" s="217">
        <f ca="1">ROUND((C5+C19+C20+C22+C27)/(1-C21-D22-D27-C30),0)</f>
        <v>31931</v>
      </c>
      <c r="D31" s="236"/>
      <c r="E31" s="217"/>
      <c r="F31" s="256"/>
      <c r="G31" s="240" t="s">
        <v>2204</v>
      </c>
    </row>
    <row r="32" spans="1:7" s="214" customFormat="1" ht="15.75">
      <c r="A32" s="258" t="s">
        <v>2205</v>
      </c>
      <c r="B32" s="259"/>
      <c r="C32" s="259"/>
      <c r="D32" s="259"/>
      <c r="E32" s="259"/>
      <c r="F32" s="259"/>
      <c r="G32" s="260"/>
    </row>
    <row r="33" spans="1:7" s="220" customFormat="1" ht="13.5" customHeight="1">
      <c r="A33" s="261" t="s">
        <v>782</v>
      </c>
      <c r="B33" s="216" t="s">
        <v>2206</v>
      </c>
      <c r="C33" s="262">
        <f ca="1">SUM(C34:C38)</f>
        <v>95280</v>
      </c>
      <c r="D33" s="238"/>
      <c r="E33" s="218"/>
      <c r="F33" s="247"/>
      <c r="G33" s="240"/>
    </row>
    <row r="34" spans="1:7" s="264" customFormat="1" ht="13.5" customHeight="1">
      <c r="A34" s="888" t="s">
        <v>791</v>
      </c>
      <c r="B34" s="221" t="s">
        <v>2207</v>
      </c>
      <c r="C34" s="226">
        <f ca="1">IF(B1="",IF(F34=100%,'数据-取费表'!M16,'数据-取费表'!O16),IF(F34=100%,INDIRECT("'数据-取费表'!m"&amp;$G$1)+INDIRECT("'数据-取费表'!t"&amp;$G$1),INDIRECT("'数据-取费表'!o"&amp;$G$1)+INDIRECT("'数据-取费表'!aq"&amp;$G$1)))</f>
        <v>90313</v>
      </c>
      <c r="D34" s="223"/>
      <c r="E34" s="226"/>
      <c r="F34" s="263">
        <f ca="1">IF('数据-取费表'!B24=0,1,IF(B1="",'数据-取费表'!N16,INDIRECT("'数据-取费表'!n"&amp;$G$1)))</f>
        <v>1</v>
      </c>
      <c r="G34" s="225" t="s">
        <v>2208</v>
      </c>
    </row>
    <row r="35" spans="1:7" ht="13.5" customHeight="1">
      <c r="A35" s="888" t="s">
        <v>796</v>
      </c>
      <c r="B35" s="221" t="s">
        <v>2209</v>
      </c>
      <c r="C35" s="226">
        <f ca="1">ROUND(C34*F35,0)</f>
        <v>2709</v>
      </c>
      <c r="D35" s="226"/>
      <c r="E35" s="226"/>
      <c r="F35" s="265">
        <f>'数据-取费表'!B33</f>
        <v>0.03</v>
      </c>
      <c r="G35" s="225" t="s">
        <v>2210</v>
      </c>
    </row>
    <row r="36" spans="1:7" ht="24">
      <c r="A36" s="888" t="s">
        <v>797</v>
      </c>
      <c r="B36" s="221" t="s">
        <v>2211</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2212</v>
      </c>
    </row>
    <row r="37" spans="1:7" s="264" customFormat="1" ht="13.5" customHeight="1">
      <c r="A37" s="888" t="s">
        <v>798</v>
      </c>
      <c r="B37" s="221" t="s">
        <v>2213</v>
      </c>
      <c r="C37" s="255">
        <f ca="1">ROUND(E37*D37*F34/10000,0)</f>
        <v>903</v>
      </c>
      <c r="D37" s="223">
        <f ca="1">D19</f>
        <v>45156.59</v>
      </c>
      <c r="E37" s="255">
        <f>'数据-取费表'!B35</f>
        <v>200</v>
      </c>
      <c r="F37" s="265"/>
      <c r="G37" s="267" t="s">
        <v>2214</v>
      </c>
    </row>
    <row r="38" spans="1:7" ht="13.5" customHeight="1">
      <c r="A38" s="888" t="s">
        <v>799</v>
      </c>
      <c r="B38" s="221" t="s">
        <v>2215</v>
      </c>
      <c r="C38" s="226">
        <f ca="1">ROUND(C34*F38,0)</f>
        <v>1355</v>
      </c>
      <c r="D38" s="226"/>
      <c r="E38" s="226"/>
      <c r="F38" s="265">
        <f>'数据-取费表'!B36</f>
        <v>1.4999999999999999E-2</v>
      </c>
      <c r="G38" s="225" t="s">
        <v>2210</v>
      </c>
    </row>
    <row r="39" spans="1:7" s="220" customFormat="1" ht="13.5" customHeight="1">
      <c r="A39" s="261" t="s">
        <v>2216</v>
      </c>
      <c r="B39" s="216" t="s">
        <v>2217</v>
      </c>
      <c r="C39" s="238">
        <f ca="1">ROUND(C33*F20,0)</f>
        <v>953</v>
      </c>
      <c r="D39" s="238"/>
      <c r="E39" s="238"/>
      <c r="F39" s="2535">
        <f>F20</f>
        <v>0.01</v>
      </c>
      <c r="G39" s="240" t="s">
        <v>2218</v>
      </c>
    </row>
    <row r="40" spans="1:7" s="220" customFormat="1" ht="13.5" customHeight="1">
      <c r="A40" s="261" t="s">
        <v>2219</v>
      </c>
      <c r="B40" s="216" t="s">
        <v>2220</v>
      </c>
      <c r="C40" s="1495">
        <f>F21</f>
        <v>0.01</v>
      </c>
      <c r="D40" s="242" t="s">
        <v>2221</v>
      </c>
      <c r="E40" s="238"/>
      <c r="F40" s="2535">
        <f>F21</f>
        <v>0.01</v>
      </c>
      <c r="G40" s="240" t="s">
        <v>2222</v>
      </c>
    </row>
    <row r="41" spans="1:7" s="220" customFormat="1" ht="13.5" customHeight="1">
      <c r="A41" s="261" t="s">
        <v>2223</v>
      </c>
      <c r="B41" s="216" t="s">
        <v>2224</v>
      </c>
      <c r="C41" s="238">
        <f ca="1">ROUND(SUM(C42:C43),0)</f>
        <v>4186</v>
      </c>
      <c r="D41" s="241">
        <f ca="1">C44</f>
        <v>4.0000000000000002E-4</v>
      </c>
      <c r="E41" s="242" t="s">
        <v>2221</v>
      </c>
      <c r="F41" s="2536">
        <f ca="1">F22</f>
        <v>4.3499999999999997E-2</v>
      </c>
      <c r="G41" s="240" t="str">
        <f>IF('数据-取费表'!B22&lt;=1,"单利计息","复利计息")</f>
        <v>复利计息</v>
      </c>
    </row>
    <row r="42" spans="1:7" ht="13.5" customHeight="1">
      <c r="A42" s="888" t="s">
        <v>791</v>
      </c>
      <c r="B42" s="221" t="s">
        <v>2225</v>
      </c>
      <c r="C42" s="244">
        <f ca="1">ROUND(IF('数据-取费表'!B22&lt;=1,C33*F22*'数据-取费表'!B21/2,C33*(POWER((1+F22),'数据-取费表'!B21/2)-1)),0)</f>
        <v>4145</v>
      </c>
      <c r="D42" s="244"/>
      <c r="E42" s="244"/>
      <c r="F42" s="245"/>
      <c r="G42" s="3359" t="s">
        <v>2226</v>
      </c>
    </row>
    <row r="43" spans="1:7" ht="13.5" customHeight="1">
      <c r="A43" s="888" t="s">
        <v>792</v>
      </c>
      <c r="B43" s="221" t="s">
        <v>2227</v>
      </c>
      <c r="C43" s="244">
        <f ca="1">ROUND(IF('数据-取费表'!B22&lt;=1,C39*F22*'数据-取费表'!B21/2,C39*(POWER((1+F22),'数据-取费表'!B21/2)-1)),0)</f>
        <v>41</v>
      </c>
      <c r="D43" s="244"/>
      <c r="E43" s="244"/>
      <c r="F43" s="245"/>
      <c r="G43" s="3360"/>
    </row>
    <row r="44" spans="1:7" ht="13.5" customHeight="1">
      <c r="A44" s="888" t="s">
        <v>793</v>
      </c>
      <c r="B44" s="221" t="s">
        <v>2228</v>
      </c>
      <c r="C44" s="244">
        <f ca="1">ROUND(IF('数据-取费表'!B22&lt;=1,C40*F22*'数据-取费表'!B21/2,C40*(POWER((1+F22),'数据-取费表'!B21/2)-1)),4)</f>
        <v>4.0000000000000002E-4</v>
      </c>
      <c r="D44" s="244"/>
      <c r="E44" s="244"/>
      <c r="F44" s="245"/>
      <c r="G44" s="3361"/>
    </row>
    <row r="45" spans="1:7" s="220" customFormat="1" ht="13.5" customHeight="1">
      <c r="A45" s="261" t="s">
        <v>2229</v>
      </c>
      <c r="B45" s="250" t="s">
        <v>2195</v>
      </c>
      <c r="C45" s="251">
        <f ca="1">C46</f>
        <v>14435</v>
      </c>
      <c r="D45" s="241">
        <f ca="1">C47</f>
        <v>1.5E-3</v>
      </c>
      <c r="E45" s="242" t="s">
        <v>2221</v>
      </c>
      <c r="F45" s="2537">
        <f ca="1">F27</f>
        <v>0.15</v>
      </c>
      <c r="G45" s="253" t="s">
        <v>2230</v>
      </c>
    </row>
    <row r="46" spans="1:7" s="220" customFormat="1" ht="13.5" customHeight="1">
      <c r="A46" s="888" t="s">
        <v>791</v>
      </c>
      <c r="B46" s="254" t="s">
        <v>2231</v>
      </c>
      <c r="C46" s="255">
        <f ca="1">ROUND((C33+C39)*F27,0)</f>
        <v>14435</v>
      </c>
      <c r="D46" s="269"/>
      <c r="E46" s="242"/>
      <c r="F46" s="252"/>
      <c r="G46" s="253"/>
    </row>
    <row r="47" spans="1:7" s="220" customFormat="1" ht="13.5" customHeight="1">
      <c r="A47" s="888" t="s">
        <v>792</v>
      </c>
      <c r="B47" s="254" t="s">
        <v>2232</v>
      </c>
      <c r="C47" s="244">
        <f ca="1">ROUND(C40*F27,4)</f>
        <v>1.5E-3</v>
      </c>
      <c r="D47" s="269"/>
      <c r="E47" s="242"/>
      <c r="F47" s="252"/>
      <c r="G47" s="253"/>
    </row>
    <row r="48" spans="1:7" s="220" customFormat="1" ht="13.5" customHeight="1">
      <c r="A48" s="261" t="s">
        <v>2194</v>
      </c>
      <c r="B48" s="216" t="s">
        <v>2233</v>
      </c>
      <c r="C48" s="1495">
        <f>ROUND(F30/(1+'数据-取费表'!C42),4)</f>
        <v>5.33E-2</v>
      </c>
      <c r="D48" s="242" t="s">
        <v>2221</v>
      </c>
      <c r="E48" s="238"/>
      <c r="F48" s="2536">
        <f>F30</f>
        <v>5.6000000000000001E-2</v>
      </c>
      <c r="G48" s="240" t="s">
        <v>2234</v>
      </c>
    </row>
    <row r="49" spans="1:7" ht="16.5" customHeight="1">
      <c r="A49" s="261" t="s">
        <v>2200</v>
      </c>
      <c r="B49" s="216" t="s">
        <v>2235</v>
      </c>
      <c r="C49" s="238">
        <f ca="1">ROUND((C33+C39+C41+C45)/(1-C40-D41-D45-C48),0)</f>
        <v>122865</v>
      </c>
      <c r="D49" s="238"/>
      <c r="E49" s="238"/>
      <c r="F49" s="270"/>
      <c r="G49" s="240" t="s">
        <v>2236</v>
      </c>
    </row>
    <row r="50" spans="1:7" s="264" customFormat="1" ht="24">
      <c r="A50" s="261" t="s">
        <v>2237</v>
      </c>
      <c r="B50" s="216" t="s">
        <v>2238</v>
      </c>
      <c r="C50" s="238"/>
      <c r="D50" s="238"/>
      <c r="E50" s="238"/>
      <c r="F50" s="270">
        <f>IF('数据-取费表'!B24=0,'数据-取费表'!N16,1)</f>
        <v>0.97</v>
      </c>
      <c r="G50" s="253" t="s">
        <v>2239</v>
      </c>
    </row>
    <row r="51" spans="1:7" ht="16.5" customHeight="1">
      <c r="A51" s="261" t="s">
        <v>2240</v>
      </c>
      <c r="B51" s="216" t="s">
        <v>2241</v>
      </c>
      <c r="C51" s="238">
        <f ca="1">ROUND(C49*F50,0)</f>
        <v>119179</v>
      </c>
      <c r="D51" s="238"/>
      <c r="E51" s="238"/>
      <c r="F51" s="270"/>
      <c r="G51" s="240" t="s">
        <v>2242</v>
      </c>
    </row>
    <row r="52" spans="1:7" s="214" customFormat="1" ht="16.5" thickBot="1">
      <c r="A52" s="271" t="s">
        <v>2243</v>
      </c>
      <c r="B52" s="272"/>
      <c r="C52" s="273">
        <f ca="1">C31+C51</f>
        <v>151110</v>
      </c>
      <c r="D52" s="272"/>
      <c r="E52" s="272"/>
      <c r="F52" s="272"/>
      <c r="G52" s="274"/>
    </row>
    <row r="55" spans="1:7" ht="15">
      <c r="B55" s="276" t="s">
        <v>2244</v>
      </c>
      <c r="C55" s="277"/>
    </row>
    <row r="56" spans="1:7">
      <c r="B56" s="279" t="s">
        <v>1474</v>
      </c>
      <c r="C56" s="281">
        <f ca="1">1-C57</f>
        <v>0.21099999999999997</v>
      </c>
    </row>
    <row r="57" spans="1:7">
      <c r="B57" s="279" t="s">
        <v>1475</v>
      </c>
      <c r="C57" s="280">
        <f ca="1">ROUND(C51/C52,3)</f>
        <v>0.78900000000000003</v>
      </c>
    </row>
  </sheetData>
  <sheetProtection password="CEE9" sheet="1" objects="1" scenarios="1" formatCells="0"/>
  <mergeCells count="1">
    <mergeCell ref="G42:G44"/>
  </mergeCells>
  <phoneticPr fontId="140" type="noConversion"/>
  <dataValidations disablePrompts="1"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2143</v>
      </c>
      <c r="B1" s="1654"/>
      <c r="C1" s="2045" t="s">
        <v>2245</v>
      </c>
      <c r="D1" s="204"/>
      <c r="E1" s="204"/>
      <c r="F1" s="204"/>
      <c r="G1" s="1288">
        <f>MATCH(B1,'数据-取费表'!A6:A16,0)+5</f>
        <v>8</v>
      </c>
      <c r="H1" s="1192" t="str">
        <f>IF(ISERROR(FIND("住宅",B1)),"非住宅","住宅")</f>
        <v>非住宅</v>
      </c>
    </row>
    <row r="2" spans="1:8" s="206" customFormat="1" ht="18" customHeight="1">
      <c r="A2" s="207" t="s">
        <v>2144</v>
      </c>
      <c r="B2" s="208">
        <f ca="1">ROUND(IF(D2="——",C52/10000,C52/10000-E2),0)</f>
        <v>194884</v>
      </c>
      <c r="C2" s="205" t="s">
        <v>2145</v>
      </c>
      <c r="D2" s="2039" t="s">
        <v>70</v>
      </c>
      <c r="E2" s="1331" t="e">
        <f ca="1">SUMIF(INDIRECT("'"&amp;G2&amp;"'"&amp;"!A:A"),"承租人权益价值",INDIRECT("'"&amp;G2&amp;"'"&amp;"!c:c"))</f>
        <v>#REF!</v>
      </c>
      <c r="F2" s="2040" t="s">
        <v>2145</v>
      </c>
      <c r="G2" s="2041"/>
    </row>
    <row r="3" spans="1:8" s="206" customFormat="1" ht="18" customHeight="1" thickBot="1">
      <c r="A3" s="209" t="s">
        <v>2146</v>
      </c>
      <c r="B3" s="210">
        <f ca="1">ROUND(B2*10000/(IF(B1="",'数据-汇总表'!E3,INDIRECT("'数据-取费表'!k"&amp;$G$1))),0)</f>
        <v>20820</v>
      </c>
      <c r="C3" s="205" t="s">
        <v>2147</v>
      </c>
      <c r="D3" s="205"/>
      <c r="E3" s="205"/>
      <c r="F3" s="205"/>
      <c r="G3" s="205"/>
    </row>
    <row r="4" spans="1:8" s="214" customFormat="1" ht="15.75">
      <c r="A4" s="211" t="s">
        <v>2148</v>
      </c>
      <c r="B4" s="212"/>
      <c r="C4" s="212"/>
      <c r="D4" s="212"/>
      <c r="E4" s="212"/>
      <c r="F4" s="212"/>
      <c r="G4" s="213"/>
    </row>
    <row r="5" spans="1:8" s="220" customFormat="1" ht="13.5" customHeight="1">
      <c r="A5" s="261" t="s">
        <v>2149</v>
      </c>
      <c r="B5" s="216" t="s">
        <v>2150</v>
      </c>
      <c r="C5" s="217">
        <f ca="1">C6+C7+C8</f>
        <v>17391883</v>
      </c>
      <c r="D5" s="217" t="s">
        <v>2151</v>
      </c>
      <c r="E5" s="218" t="s">
        <v>2152</v>
      </c>
      <c r="F5" s="218" t="s">
        <v>2153</v>
      </c>
      <c r="G5" s="219"/>
    </row>
    <row r="6" spans="1:8" s="220" customFormat="1" ht="13.5" customHeight="1">
      <c r="A6" s="886" t="s">
        <v>2154</v>
      </c>
      <c r="B6" s="221" t="s">
        <v>2155</v>
      </c>
      <c r="C6" s="222"/>
      <c r="D6" s="223"/>
      <c r="E6" s="224"/>
      <c r="F6" s="224"/>
      <c r="G6" s="225"/>
    </row>
    <row r="7" spans="1:8" s="220" customFormat="1" ht="13.5" customHeight="1">
      <c r="A7" s="886" t="s">
        <v>2156</v>
      </c>
      <c r="B7" s="221" t="s">
        <v>2157</v>
      </c>
      <c r="C7" s="226">
        <f>ROUND(C6*F7,0)</f>
        <v>0</v>
      </c>
      <c r="D7" s="226"/>
      <c r="E7" s="224"/>
      <c r="F7" s="227">
        <f>IF(项目基本情况!B8="出让",0,'数据-取费表'!B48+'数据-取费表'!B49)</f>
        <v>3.0499999999999999E-2</v>
      </c>
      <c r="G7" s="225"/>
    </row>
    <row r="8" spans="1:8" s="229" customFormat="1">
      <c r="A8" s="886" t="s">
        <v>2158</v>
      </c>
      <c r="B8" s="221" t="s">
        <v>2159</v>
      </c>
      <c r="C8" s="226">
        <f ca="1">IF(G8="已包含在土地购买价格中",0,C9+C10)</f>
        <v>17391883</v>
      </c>
      <c r="D8" s="228"/>
      <c r="E8" s="226"/>
      <c r="F8" s="227"/>
      <c r="G8" s="2042"/>
    </row>
    <row r="9" spans="1:8" s="220" customFormat="1" ht="13.5" customHeight="1">
      <c r="A9" s="887" t="s">
        <v>800</v>
      </c>
      <c r="B9" s="230" t="s">
        <v>2160</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2162</v>
      </c>
      <c r="C10" s="231">
        <f ca="1">ROUND(D10*E10,0)</f>
        <v>17391883</v>
      </c>
      <c r="D10" s="954">
        <f ca="1">IF(B1="",'数据-汇总表'!E6,IF(INDIRECT("'数据-取费表'!c"&amp;$G$1)="住宅",INDIRECT("'数据-取费表'!s"&amp;$G$1),INDIRECT("'数据-取费表'!k"&amp;$G$1)+INDIRECT("'数据-取费表'!s"&amp;$G$1)))</f>
        <v>93605.4</v>
      </c>
      <c r="E10" s="231">
        <f>'数据-取费表'!B28</f>
        <v>185.8</v>
      </c>
      <c r="F10" s="227"/>
      <c r="G10" s="232"/>
    </row>
    <row r="11" spans="1:8" s="220" customFormat="1" ht="13.5" hidden="1" customHeight="1">
      <c r="A11" s="233" t="s">
        <v>7</v>
      </c>
      <c r="B11" s="221" t="s">
        <v>2163</v>
      </c>
      <c r="C11" s="217"/>
      <c r="D11" s="956"/>
      <c r="E11" s="224"/>
      <c r="F11" s="224"/>
      <c r="G11" s="225"/>
    </row>
    <row r="12" spans="1:8" s="220" customFormat="1" ht="13.5" hidden="1" customHeight="1">
      <c r="A12" s="233" t="s">
        <v>8</v>
      </c>
      <c r="B12" s="221" t="s">
        <v>2246</v>
      </c>
      <c r="C12" s="217">
        <v>0</v>
      </c>
      <c r="D12" s="956"/>
      <c r="E12" s="234"/>
      <c r="F12" s="227">
        <v>3.0499999999999999E-2</v>
      </c>
      <c r="G12" s="225"/>
    </row>
    <row r="13" spans="1:8" s="220" customFormat="1" ht="13.5" hidden="1" customHeight="1">
      <c r="A13" s="233" t="s">
        <v>9</v>
      </c>
      <c r="B13" s="221" t="s">
        <v>2247</v>
      </c>
      <c r="C13" s="217"/>
      <c r="D13" s="956"/>
      <c r="E13" s="224"/>
      <c r="F13" s="224"/>
      <c r="G13" s="225"/>
    </row>
    <row r="14" spans="1:8" s="220" customFormat="1" ht="13.5" hidden="1" customHeight="1">
      <c r="A14" s="233" t="s">
        <v>10</v>
      </c>
      <c r="B14" s="221" t="s">
        <v>2159</v>
      </c>
      <c r="C14" s="217"/>
      <c r="D14" s="956"/>
      <c r="E14" s="224"/>
      <c r="F14" s="224"/>
      <c r="G14" s="225" t="s">
        <v>2248</v>
      </c>
    </row>
    <row r="15" spans="1:8" s="220" customFormat="1" ht="13.5" hidden="1" customHeight="1">
      <c r="A15" s="233" t="s">
        <v>11</v>
      </c>
      <c r="B15" s="221" t="s">
        <v>2249</v>
      </c>
      <c r="C15" s="226"/>
      <c r="D15" s="956"/>
      <c r="E15" s="224"/>
      <c r="F15" s="224"/>
      <c r="G15" s="225" t="s">
        <v>2250</v>
      </c>
    </row>
    <row r="16" spans="1:8" s="220" customFormat="1" ht="13.5" hidden="1" customHeight="1">
      <c r="A16" s="233" t="s">
        <v>12</v>
      </c>
      <c r="B16" s="221" t="s">
        <v>2159</v>
      </c>
      <c r="C16" s="226"/>
      <c r="D16" s="956"/>
      <c r="E16" s="224"/>
      <c r="F16" s="224"/>
      <c r="G16" s="225"/>
    </row>
    <row r="17" spans="1:7" s="220" customFormat="1" ht="13.5" hidden="1" customHeight="1">
      <c r="A17" s="233" t="s">
        <v>13</v>
      </c>
      <c r="B17" s="221" t="s">
        <v>2251</v>
      </c>
      <c r="C17" s="235"/>
      <c r="D17" s="957"/>
      <c r="E17" s="235"/>
      <c r="F17" s="235"/>
      <c r="G17" s="225" t="s">
        <v>2250</v>
      </c>
    </row>
    <row r="18" spans="1:7" s="220" customFormat="1" ht="13.5" hidden="1" customHeight="1">
      <c r="A18" s="233" t="s">
        <v>14</v>
      </c>
      <c r="B18" s="221" t="s">
        <v>2252</v>
      </c>
      <c r="C18" s="226">
        <v>0</v>
      </c>
      <c r="D18" s="956"/>
      <c r="E18" s="224"/>
      <c r="F18" s="227">
        <v>3.0499999999999999E-2</v>
      </c>
      <c r="G18" s="225" t="s">
        <v>2253</v>
      </c>
    </row>
    <row r="19" spans="1:7" s="229" customFormat="1" ht="13.5" customHeight="1">
      <c r="A19" s="261" t="s">
        <v>2254</v>
      </c>
      <c r="B19" s="216" t="s">
        <v>2255</v>
      </c>
      <c r="C19" s="217">
        <f ca="1">IF(G19="已包含在土地取得成本中","0",ROUND(D19*E19,0))</f>
        <v>18721080</v>
      </c>
      <c r="D19" s="958">
        <f ca="1">D9+D10</f>
        <v>93605.4</v>
      </c>
      <c r="E19" s="217">
        <f>'数据-取费表'!B31</f>
        <v>200</v>
      </c>
      <c r="F19" s="237"/>
      <c r="G19" s="2042"/>
    </row>
    <row r="20" spans="1:7" s="220" customFormat="1" ht="13.5" customHeight="1">
      <c r="A20" s="261" t="s">
        <v>2256</v>
      </c>
      <c r="B20" s="216" t="s">
        <v>2257</v>
      </c>
      <c r="C20" s="238">
        <f ca="1">ROUND((C5+C19)*F20,0)</f>
        <v>361130</v>
      </c>
      <c r="D20" s="238"/>
      <c r="E20" s="238"/>
      <c r="F20" s="239">
        <f>'数据-取费表'!B37</f>
        <v>0.01</v>
      </c>
      <c r="G20" s="240" t="s">
        <v>2258</v>
      </c>
    </row>
    <row r="21" spans="1:7" s="220" customFormat="1" ht="13.5" customHeight="1">
      <c r="A21" s="261" t="s">
        <v>2259</v>
      </c>
      <c r="B21" s="216" t="s">
        <v>2260</v>
      </c>
      <c r="C21" s="241">
        <f>F21</f>
        <v>0.01</v>
      </c>
      <c r="D21" s="242" t="s">
        <v>2261</v>
      </c>
      <c r="E21" s="238"/>
      <c r="F21" s="239">
        <f>'数据-取费表'!B38</f>
        <v>0.01</v>
      </c>
      <c r="G21" s="240" t="s">
        <v>2262</v>
      </c>
    </row>
    <row r="22" spans="1:7" s="220" customFormat="1" ht="13.5" customHeight="1">
      <c r="A22" s="261" t="s">
        <v>2263</v>
      </c>
      <c r="B22" s="216" t="s">
        <v>2264</v>
      </c>
      <c r="C22" s="1289">
        <f ca="1">ROUND(SUM(C23:C25),0)</f>
        <v>3225872</v>
      </c>
      <c r="D22" s="241">
        <f ca="1">C26</f>
        <v>4.0000000000000002E-4</v>
      </c>
      <c r="E22" s="242" t="s">
        <v>2261</v>
      </c>
      <c r="F22" s="243">
        <f ca="1">'数据-取费表'!B40</f>
        <v>4.3499999999999997E-2</v>
      </c>
      <c r="G22" s="240" t="str">
        <f>IF('数据-取费表'!B22&lt;=1,"单利计息","复利计息")</f>
        <v>复利计息</v>
      </c>
    </row>
    <row r="23" spans="1:7" s="220" customFormat="1" ht="13.5" customHeight="1">
      <c r="A23" s="888" t="s">
        <v>2154</v>
      </c>
      <c r="B23" s="221" t="s">
        <v>2265</v>
      </c>
      <c r="C23" s="1290">
        <f ca="1">ROUND(IF('数据-取费表'!B22&lt;=1,C5*F22*'数据-取费表'!B22,C5*(POWER((1+F22),'数据-取费表'!B22)-1)),0)</f>
        <v>1546004</v>
      </c>
      <c r="D23" s="244"/>
      <c r="E23" s="244"/>
      <c r="F23" s="245"/>
      <c r="G23" s="246" t="s">
        <v>2266</v>
      </c>
    </row>
    <row r="24" spans="1:7" s="220" customFormat="1" ht="13.5" customHeight="1">
      <c r="A24" s="888" t="s">
        <v>2156</v>
      </c>
      <c r="B24" s="221" t="s">
        <v>2267</v>
      </c>
      <c r="C24" s="1290">
        <f ca="1">ROUND(IF('数据-取费表'!B22&lt;=1,C19*F22*('数据-取费表'!B19/2+'数据-取费表'!B20),C19*(POWER((1+F22),('数据-取费表'!B19/2+'数据-取费表'!B20))-1)),0)</f>
        <v>1664159</v>
      </c>
      <c r="D24" s="244"/>
      <c r="E24" s="244"/>
      <c r="F24" s="245"/>
      <c r="G24" s="246" t="s">
        <v>2268</v>
      </c>
    </row>
    <row r="25" spans="1:7" s="220" customFormat="1" ht="24">
      <c r="A25" s="888" t="s">
        <v>2158</v>
      </c>
      <c r="B25" s="221" t="s">
        <v>2269</v>
      </c>
      <c r="C25" s="1290">
        <f ca="1">ROUND(IF('数据-取费表'!B22&lt;=1,C20*F22*'数据-取费表'!B22/2,C20*(POWER((1+F22),'数据-取费表'!B22/2)-1)),0)</f>
        <v>15709</v>
      </c>
      <c r="D25" s="244"/>
      <c r="E25" s="247"/>
      <c r="F25" s="245"/>
      <c r="G25" s="248" t="s">
        <v>2270</v>
      </c>
    </row>
    <row r="26" spans="1:7" s="220" customFormat="1">
      <c r="A26" s="888" t="s">
        <v>795</v>
      </c>
      <c r="B26" s="221" t="s">
        <v>2193</v>
      </c>
      <c r="C26" s="244">
        <f ca="1">ROUND(IF('数据-取费表'!B22&lt;=1,F21*F22*'数据-取费表'!B22/2,F21*(POWER((1+F22),'数据-取费表'!B22/2)-1)),4)</f>
        <v>4.0000000000000002E-4</v>
      </c>
      <c r="D26" s="244"/>
      <c r="E26" s="247"/>
      <c r="F26" s="245"/>
      <c r="G26" s="249"/>
    </row>
    <row r="27" spans="1:7" s="220" customFormat="1" ht="24.75">
      <c r="A27" s="261" t="s">
        <v>2194</v>
      </c>
      <c r="B27" s="250" t="s">
        <v>2195</v>
      </c>
      <c r="C27" s="251">
        <f ca="1">C28</f>
        <v>5471114</v>
      </c>
      <c r="D27" s="241">
        <f ca="1">C29</f>
        <v>1.5E-3</v>
      </c>
      <c r="E27" s="242" t="s">
        <v>2196</v>
      </c>
      <c r="F27" s="252">
        <f ca="1">IF(B1="",'数据-取费表'!Q16,INDIRECT("'数据-取费表'!q"&amp;$G$1))</f>
        <v>0.15</v>
      </c>
      <c r="G27" s="253" t="s">
        <v>2197</v>
      </c>
    </row>
    <row r="28" spans="1:7" s="220" customFormat="1" ht="13.5" customHeight="1">
      <c r="A28" s="888" t="s">
        <v>791</v>
      </c>
      <c r="B28" s="254" t="s">
        <v>2198</v>
      </c>
      <c r="C28" s="255">
        <f ca="1">ROUND((C5+C19+C20)*F27,0)</f>
        <v>5471114</v>
      </c>
      <c r="D28" s="241"/>
      <c r="E28" s="242"/>
      <c r="F28" s="252"/>
      <c r="G28" s="253"/>
    </row>
    <row r="29" spans="1:7" s="220" customFormat="1" ht="13.5" customHeight="1">
      <c r="A29" s="888" t="s">
        <v>792</v>
      </c>
      <c r="B29" s="254" t="s">
        <v>2199</v>
      </c>
      <c r="C29" s="244">
        <f ca="1">ROUND(C21*F27,4)</f>
        <v>1.5E-3</v>
      </c>
      <c r="D29" s="241"/>
      <c r="E29" s="242"/>
      <c r="F29" s="252"/>
      <c r="G29" s="253"/>
    </row>
    <row r="30" spans="1:7" s="220" customFormat="1" ht="13.5" customHeight="1">
      <c r="A30" s="261" t="s">
        <v>2200</v>
      </c>
      <c r="B30" s="216" t="s">
        <v>2201</v>
      </c>
      <c r="C30" s="241">
        <f>ROUND(F30/(1+'数据-取费表'!C42),4)</f>
        <v>5.33E-2</v>
      </c>
      <c r="D30" s="242" t="s">
        <v>2196</v>
      </c>
      <c r="E30" s="247"/>
      <c r="F30" s="243">
        <f>'数据-取费表'!B41</f>
        <v>5.6000000000000001E-2</v>
      </c>
      <c r="G30" s="240" t="s">
        <v>2202</v>
      </c>
    </row>
    <row r="31" spans="1:7" ht="16.5" customHeight="1">
      <c r="A31" s="215">
        <v>1</v>
      </c>
      <c r="B31" s="216" t="s">
        <v>2203</v>
      </c>
      <c r="C31" s="217">
        <f ca="1">ROUND((C5+C19+C20+C22+C27)/(1-C21-D22-D27-C30),0)</f>
        <v>48321651</v>
      </c>
      <c r="D31" s="236"/>
      <c r="E31" s="217"/>
      <c r="F31" s="256"/>
      <c r="G31" s="240" t="s">
        <v>2204</v>
      </c>
    </row>
    <row r="32" spans="1:7" s="214" customFormat="1" ht="15.75">
      <c r="A32" s="258" t="s">
        <v>2271</v>
      </c>
      <c r="B32" s="259"/>
      <c r="C32" s="259"/>
      <c r="D32" s="259"/>
      <c r="E32" s="259"/>
      <c r="F32" s="259"/>
      <c r="G32" s="260"/>
    </row>
    <row r="33" spans="1:7" s="220" customFormat="1" ht="13.5" customHeight="1">
      <c r="A33" s="261" t="s">
        <v>782</v>
      </c>
      <c r="B33" s="216" t="s">
        <v>2272</v>
      </c>
      <c r="C33" s="262">
        <f ca="1">SUM(C34:C38)</f>
        <v>1519412882</v>
      </c>
      <c r="D33" s="238"/>
      <c r="E33" s="218"/>
      <c r="F33" s="247"/>
      <c r="G33" s="240"/>
    </row>
    <row r="34" spans="1:7" s="264" customFormat="1" ht="13.5" customHeight="1">
      <c r="A34" s="888" t="s">
        <v>791</v>
      </c>
      <c r="B34" s="221" t="s">
        <v>2207</v>
      </c>
      <c r="C34" s="226">
        <f ca="1">ROUND(IF(B1="",SUMPRODUCT('数据-取费表'!K6:K14,'数据-取费表'!L6:L14),INDIRECT("'数据-取费表'!l"&amp;$G$1)*INDIRECT("'数据-取费表'!k"&amp;$G$1)+'数据-取费表'!L14*INDIRECT("'数据-取费表'!S"&amp;$G$1)),0)</f>
        <v>1436068710</v>
      </c>
      <c r="D34" s="223"/>
      <c r="E34" s="226"/>
      <c r="F34" s="263"/>
      <c r="G34" s="225"/>
    </row>
    <row r="35" spans="1:7" ht="13.5" customHeight="1">
      <c r="A35" s="888" t="s">
        <v>796</v>
      </c>
      <c r="B35" s="221" t="s">
        <v>2209</v>
      </c>
      <c r="C35" s="226">
        <f ca="1">ROUND(C34*F35,0)</f>
        <v>43082061</v>
      </c>
      <c r="D35" s="226"/>
      <c r="E35" s="226"/>
      <c r="F35" s="265">
        <f>'数据-取费表'!B33</f>
        <v>0.03</v>
      </c>
      <c r="G35" s="225" t="s">
        <v>2210</v>
      </c>
    </row>
    <row r="36" spans="1:7" ht="24">
      <c r="A36" s="888" t="s">
        <v>797</v>
      </c>
      <c r="B36" s="221" t="s">
        <v>2211</v>
      </c>
      <c r="C36" s="226">
        <f ca="1">ROUND(IF(B1="",SUM('数据-取费表'!AP6:AP13)*F36,IF(INDIRECT("'数据-取费表'!c"&amp;$G$1)="住宅",INDIRECT("'数据-取费表'!k"&amp;$G$1)*INDIRECT("'数据-取费表'!l"&amp;$G$1)*F36,0)),0)</f>
        <v>0</v>
      </c>
      <c r="D36" s="226"/>
      <c r="E36" s="226"/>
      <c r="F36" s="265">
        <f>'数据-取费表'!B34</f>
        <v>0.05</v>
      </c>
      <c r="G36" s="266" t="s">
        <v>2212</v>
      </c>
    </row>
    <row r="37" spans="1:7" s="264" customFormat="1" ht="13.5" customHeight="1">
      <c r="A37" s="888" t="s">
        <v>798</v>
      </c>
      <c r="B37" s="221" t="s">
        <v>2213</v>
      </c>
      <c r="C37" s="255">
        <f ca="1">ROUND(E37*D37,0)</f>
        <v>18721080</v>
      </c>
      <c r="D37" s="223">
        <f ca="1">D19</f>
        <v>93605.4</v>
      </c>
      <c r="E37" s="255">
        <f>'数据-取费表'!B35</f>
        <v>200</v>
      </c>
      <c r="F37" s="265"/>
      <c r="G37" s="267"/>
    </row>
    <row r="38" spans="1:7" ht="13.5" customHeight="1">
      <c r="A38" s="888" t="s">
        <v>799</v>
      </c>
      <c r="B38" s="221" t="s">
        <v>2215</v>
      </c>
      <c r="C38" s="226">
        <f ca="1">ROUND(C34*F38,0)</f>
        <v>21541031</v>
      </c>
      <c r="D38" s="226"/>
      <c r="E38" s="226"/>
      <c r="F38" s="265">
        <f>'数据-取费表'!B36</f>
        <v>1.4999999999999999E-2</v>
      </c>
      <c r="G38" s="225" t="s">
        <v>2210</v>
      </c>
    </row>
    <row r="39" spans="1:7" s="220" customFormat="1" ht="13.5" customHeight="1">
      <c r="A39" s="261" t="s">
        <v>2216</v>
      </c>
      <c r="B39" s="216" t="s">
        <v>2217</v>
      </c>
      <c r="C39" s="238">
        <f ca="1">ROUND(C33*F20,0)</f>
        <v>15194129</v>
      </c>
      <c r="D39" s="238"/>
      <c r="E39" s="238"/>
      <c r="F39" s="2535">
        <f>F20</f>
        <v>0.01</v>
      </c>
      <c r="G39" s="240" t="s">
        <v>2218</v>
      </c>
    </row>
    <row r="40" spans="1:7" s="220" customFormat="1" ht="13.5" customHeight="1">
      <c r="A40" s="261" t="s">
        <v>2219</v>
      </c>
      <c r="B40" s="216" t="s">
        <v>2220</v>
      </c>
      <c r="C40" s="1495">
        <f>F21</f>
        <v>0.01</v>
      </c>
      <c r="D40" s="242" t="s">
        <v>2221</v>
      </c>
      <c r="E40" s="238"/>
      <c r="F40" s="2535">
        <f>F21</f>
        <v>0.01</v>
      </c>
      <c r="G40" s="240" t="s">
        <v>2222</v>
      </c>
    </row>
    <row r="41" spans="1:7" s="220" customFormat="1" ht="13.5" customHeight="1">
      <c r="A41" s="261" t="s">
        <v>2223</v>
      </c>
      <c r="B41" s="216" t="s">
        <v>2224</v>
      </c>
      <c r="C41" s="238">
        <f ca="1">ROUND(SUM(C42:C43),0)</f>
        <v>66755405</v>
      </c>
      <c r="D41" s="241">
        <f ca="1">C44</f>
        <v>4.0000000000000002E-4</v>
      </c>
      <c r="E41" s="242" t="s">
        <v>2221</v>
      </c>
      <c r="F41" s="2536">
        <f ca="1">F22</f>
        <v>4.3499999999999997E-2</v>
      </c>
      <c r="G41" s="240" t="str">
        <f>IF('数据-取费表'!B22&lt;=1,"单利计息","复利计息")</f>
        <v>复利计息</v>
      </c>
    </row>
    <row r="42" spans="1:7" ht="13.5" customHeight="1">
      <c r="A42" s="888" t="s">
        <v>791</v>
      </c>
      <c r="B42" s="221" t="s">
        <v>2225</v>
      </c>
      <c r="C42" s="244">
        <f ca="1">ROUND(IF('数据-取费表'!B22&lt;=1,C33*F22*'数据-取费表'!B20/2,C33*(POWER((1+F22),'数据-取费表'!B20/2)-1)),0)</f>
        <v>66094460</v>
      </c>
      <c r="D42" s="244"/>
      <c r="E42" s="244"/>
      <c r="F42" s="245"/>
      <c r="G42" s="3359" t="s">
        <v>2273</v>
      </c>
    </row>
    <row r="43" spans="1:7" ht="13.5" customHeight="1">
      <c r="A43" s="888" t="s">
        <v>792</v>
      </c>
      <c r="B43" s="221" t="s">
        <v>2227</v>
      </c>
      <c r="C43" s="244">
        <f ca="1">ROUND(IF('数据-取费表'!B22&lt;=1,C39*F22*'数据-取费表'!B20/2,C39*(POWER((1+F22),'数据-取费表'!B20/2)-1)),0)</f>
        <v>660945</v>
      </c>
      <c r="D43" s="244"/>
      <c r="E43" s="244"/>
      <c r="F43" s="245"/>
      <c r="G43" s="3360"/>
    </row>
    <row r="44" spans="1:7" ht="13.5" customHeight="1">
      <c r="A44" s="888" t="s">
        <v>793</v>
      </c>
      <c r="B44" s="221" t="s">
        <v>2228</v>
      </c>
      <c r="C44" s="244">
        <f ca="1">ROUND(IF('数据-取费表'!B22&lt;=1,C40*F22*'数据-取费表'!B20/2,C40*(POWER((1+F22),'数据-取费表'!B20/2)-1)),4)</f>
        <v>4.0000000000000002E-4</v>
      </c>
      <c r="D44" s="244"/>
      <c r="E44" s="244"/>
      <c r="F44" s="245"/>
      <c r="G44" s="3361"/>
    </row>
    <row r="45" spans="1:7" s="220" customFormat="1" ht="13.5" customHeight="1">
      <c r="A45" s="261" t="s">
        <v>2229</v>
      </c>
      <c r="B45" s="250" t="s">
        <v>2195</v>
      </c>
      <c r="C45" s="251">
        <f ca="1">C46</f>
        <v>230191052</v>
      </c>
      <c r="D45" s="241">
        <f ca="1">C47</f>
        <v>1.5E-3</v>
      </c>
      <c r="E45" s="242" t="s">
        <v>2221</v>
      </c>
      <c r="F45" s="2537">
        <f ca="1">F27</f>
        <v>0.15</v>
      </c>
      <c r="G45" s="253" t="s">
        <v>2230</v>
      </c>
    </row>
    <row r="46" spans="1:7" s="220" customFormat="1" ht="13.5" customHeight="1">
      <c r="A46" s="888" t="s">
        <v>791</v>
      </c>
      <c r="B46" s="254" t="s">
        <v>2231</v>
      </c>
      <c r="C46" s="255">
        <f ca="1">ROUND((C33+C39)*F27,0)</f>
        <v>230191052</v>
      </c>
      <c r="D46" s="269"/>
      <c r="E46" s="242"/>
      <c r="F46" s="252"/>
      <c r="G46" s="253"/>
    </row>
    <row r="47" spans="1:7" s="220" customFormat="1" ht="13.5" customHeight="1">
      <c r="A47" s="888" t="s">
        <v>792</v>
      </c>
      <c r="B47" s="254" t="s">
        <v>2232</v>
      </c>
      <c r="C47" s="244">
        <f ca="1">ROUND(C40*F27,4)</f>
        <v>1.5E-3</v>
      </c>
      <c r="D47" s="269"/>
      <c r="E47" s="242"/>
      <c r="F47" s="252"/>
      <c r="G47" s="253"/>
    </row>
    <row r="48" spans="1:7" s="220" customFormat="1" ht="13.5" customHeight="1">
      <c r="A48" s="261" t="s">
        <v>2194</v>
      </c>
      <c r="B48" s="216" t="s">
        <v>2233</v>
      </c>
      <c r="C48" s="268">
        <f>ROUND(F30/(1+'数据-取费表'!C42),4)</f>
        <v>5.33E-2</v>
      </c>
      <c r="D48" s="242" t="s">
        <v>2221</v>
      </c>
      <c r="E48" s="238"/>
      <c r="F48" s="2536">
        <f>F30</f>
        <v>5.6000000000000001E-2</v>
      </c>
      <c r="G48" s="240" t="s">
        <v>2234</v>
      </c>
    </row>
    <row r="49" spans="1:7" ht="16.5" customHeight="1">
      <c r="A49" s="261" t="s">
        <v>2200</v>
      </c>
      <c r="B49" s="216" t="s">
        <v>2274</v>
      </c>
      <c r="C49" s="238">
        <f ca="1">ROUND((C33+C39+C41+C45)/(1-C40-D41-D45-C48),0)</f>
        <v>1959299816</v>
      </c>
      <c r="D49" s="238"/>
      <c r="E49" s="238"/>
      <c r="F49" s="270"/>
      <c r="G49" s="240" t="s">
        <v>2236</v>
      </c>
    </row>
    <row r="50" spans="1:7" s="264" customFormat="1">
      <c r="A50" s="261" t="s">
        <v>2237</v>
      </c>
      <c r="B50" s="216" t="s">
        <v>2238</v>
      </c>
      <c r="C50" s="238"/>
      <c r="D50" s="238"/>
      <c r="E50" s="238"/>
      <c r="F50" s="270">
        <f>IF('数据-取费表'!B24=0,'数据-取费表'!N16,1)</f>
        <v>0.97</v>
      </c>
      <c r="G50" s="253"/>
    </row>
    <row r="51" spans="1:7" ht="16.5" customHeight="1">
      <c r="A51" s="261" t="s">
        <v>2240</v>
      </c>
      <c r="B51" s="216" t="s">
        <v>2275</v>
      </c>
      <c r="C51" s="238">
        <f ca="1">ROUND(C49*F50,0)</f>
        <v>1900520822</v>
      </c>
      <c r="D51" s="238"/>
      <c r="E51" s="238"/>
      <c r="F51" s="270"/>
      <c r="G51" s="240" t="s">
        <v>2242</v>
      </c>
    </row>
    <row r="52" spans="1:7" s="214" customFormat="1" ht="16.5" thickBot="1">
      <c r="A52" s="271" t="s">
        <v>2243</v>
      </c>
      <c r="B52" s="272"/>
      <c r="C52" s="273">
        <f ca="1">C31+C51</f>
        <v>1948842473</v>
      </c>
      <c r="D52" s="272"/>
      <c r="E52" s="272"/>
      <c r="F52" s="272"/>
      <c r="G52" s="274"/>
    </row>
    <row r="55" spans="1:7" ht="15">
      <c r="B55" s="276" t="s">
        <v>2244</v>
      </c>
      <c r="C55" s="277"/>
    </row>
    <row r="56" spans="1:7">
      <c r="B56" s="279" t="s">
        <v>1474</v>
      </c>
      <c r="C56" s="281">
        <f ca="1">1-C57</f>
        <v>2.5000000000000022E-2</v>
      </c>
    </row>
    <row r="57" spans="1:7">
      <c r="B57" s="279" t="s">
        <v>1475</v>
      </c>
      <c r="C57" s="280">
        <f ca="1">ROUND(C51/C52,3)</f>
        <v>0.97499999999999998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2276</v>
      </c>
      <c r="B1" s="1353"/>
      <c r="C1" s="1354"/>
      <c r="D1" s="1352"/>
      <c r="E1" s="3037"/>
      <c r="F1" s="3037"/>
      <c r="G1" s="2900"/>
      <c r="H1" s="3037"/>
      <c r="I1" s="3037"/>
      <c r="J1" s="3037"/>
      <c r="K1" s="3038">
        <f>MATCH(C1,'数据-取费表'!A6:A16,0)+5</f>
        <v>8</v>
      </c>
    </row>
    <row r="2" spans="1:33" ht="18" customHeight="1">
      <c r="A2" s="207" t="s">
        <v>2144</v>
      </c>
      <c r="B2" s="210">
        <f ca="1">C32</f>
        <v>-1962</v>
      </c>
      <c r="C2" s="282" t="s">
        <v>2277</v>
      </c>
      <c r="D2" s="282"/>
      <c r="E2" s="3037"/>
      <c r="F2" s="3037"/>
      <c r="G2" s="3037"/>
      <c r="H2" s="3037"/>
      <c r="I2" s="3037"/>
      <c r="J2" s="3037"/>
      <c r="K2" s="3037"/>
    </row>
    <row r="3" spans="1:33" ht="18" customHeight="1" thickBot="1">
      <c r="A3" s="209" t="s">
        <v>2146</v>
      </c>
      <c r="B3" s="210">
        <f ca="1">ROUND(B2*10000/IF(C1="",'数据-汇总表'!E3,INDIRECT("'数据-取费表'!K"&amp;$K$1)),0)</f>
        <v>-210</v>
      </c>
      <c r="C3" s="282" t="s">
        <v>2278</v>
      </c>
      <c r="D3" s="282"/>
      <c r="E3" s="3037"/>
      <c r="F3" s="3037"/>
      <c r="G3" s="3037"/>
      <c r="H3" s="3037"/>
      <c r="I3" s="3037"/>
      <c r="J3" s="3037"/>
      <c r="K3" s="3037"/>
    </row>
    <row r="4" spans="1:33" s="893" customFormat="1" ht="16.5" customHeight="1">
      <c r="A4" s="890" t="s">
        <v>2279</v>
      </c>
      <c r="B4" s="891"/>
      <c r="C4" s="933">
        <f>SUM(C8:K8)</f>
        <v>0</v>
      </c>
      <c r="D4" s="891"/>
      <c r="E4" s="891"/>
      <c r="F4" s="891"/>
      <c r="G4" s="891"/>
      <c r="H4" s="891"/>
      <c r="I4" s="891"/>
      <c r="J4" s="891"/>
      <c r="K4" s="892"/>
    </row>
    <row r="5" spans="1:33" s="897" customFormat="1" ht="24.75">
      <c r="A5" s="894" t="s">
        <v>2280</v>
      </c>
      <c r="B5" s="895" t="s">
        <v>2281</v>
      </c>
      <c r="C5" s="2046" t="s">
        <v>2282</v>
      </c>
      <c r="D5" s="2046" t="s">
        <v>2283</v>
      </c>
      <c r="E5" s="2046" t="s">
        <v>2284</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2285</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2286</v>
      </c>
      <c r="B7" s="136" t="s">
        <v>2287</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2288</v>
      </c>
      <c r="B8" s="169" t="s">
        <v>2289</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2290</v>
      </c>
      <c r="B9" s="891"/>
      <c r="C9" s="891"/>
      <c r="D9" s="891"/>
      <c r="E9" s="891"/>
      <c r="F9" s="891"/>
      <c r="G9" s="891"/>
      <c r="H9" s="891"/>
      <c r="I9" s="891"/>
      <c r="J9" s="891"/>
      <c r="K9" s="892"/>
    </row>
    <row r="10" spans="1:33" s="907" customFormat="1" ht="13.5" customHeight="1">
      <c r="A10" s="894" t="s">
        <v>2291</v>
      </c>
      <c r="B10" s="8" t="s">
        <v>2292</v>
      </c>
      <c r="C10" s="903" t="s">
        <v>2293</v>
      </c>
      <c r="D10" s="904" t="s">
        <v>2294</v>
      </c>
      <c r="E10" s="904" t="s">
        <v>2295</v>
      </c>
      <c r="F10" s="904" t="s">
        <v>2296</v>
      </c>
      <c r="G10" s="8"/>
      <c r="H10" s="905"/>
      <c r="I10" s="905"/>
      <c r="J10" s="905"/>
      <c r="K10" s="906"/>
    </row>
    <row r="11" spans="1:33" s="912" customFormat="1" ht="13.5" customHeight="1">
      <c r="A11" s="908" t="s">
        <v>1300</v>
      </c>
      <c r="B11" s="909" t="s">
        <v>2297</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2298</v>
      </c>
      <c r="C12" s="24">
        <f ca="1">ROUND(C11*F12,0)</f>
        <v>0</v>
      </c>
      <c r="D12" s="910"/>
      <c r="E12" s="335"/>
      <c r="F12" s="913">
        <f>'数据-取费表'!B33</f>
        <v>0.03</v>
      </c>
      <c r="G12" s="8" t="s">
        <v>2299</v>
      </c>
      <c r="H12" s="905"/>
      <c r="I12" s="905"/>
      <c r="J12" s="905"/>
      <c r="K12" s="906"/>
    </row>
    <row r="13" spans="1:33" s="912" customFormat="1" ht="13.5" customHeight="1">
      <c r="A13" s="908" t="s">
        <v>1302</v>
      </c>
      <c r="B13" s="909" t="s">
        <v>2300</v>
      </c>
      <c r="C13" s="24">
        <f ca="1">ROUND(IF(C1="",SUMIF('数据-取费表'!C:C,"住宅",'数据-取费表'!P:P)*F13,IF(INDIRECT("'数据-取费表'!c"&amp;$K$1)="住宅",INDIRECT("'数据-取费表'!P"&amp;$K$1)*F13,0)),0)</f>
        <v>0</v>
      </c>
      <c r="D13" s="955"/>
      <c r="E13" s="335"/>
      <c r="F13" s="913">
        <f>'数据-取费表'!B34</f>
        <v>0.05</v>
      </c>
      <c r="G13" s="8" t="s">
        <v>2301</v>
      </c>
      <c r="H13" s="905"/>
      <c r="I13" s="905"/>
      <c r="J13" s="905"/>
      <c r="K13" s="906"/>
    </row>
    <row r="14" spans="1:33" s="914" customFormat="1" ht="13.5" customHeight="1">
      <c r="A14" s="908" t="s">
        <v>1303</v>
      </c>
      <c r="B14" s="909" t="s">
        <v>2302</v>
      </c>
      <c r="C14" s="24">
        <f ca="1">ROUND(D14*E14*F11/10000,0)</f>
        <v>0</v>
      </c>
      <c r="D14" s="955">
        <f ca="1">IF(C1="",'数据-汇总表'!E3,INDIRECT("'数据-取费表'!K"&amp;$K$1)+INDIRECT("'数据-取费表'!S"&amp;$K$1))</f>
        <v>93605.4</v>
      </c>
      <c r="E14" s="24">
        <f>'数据-取费表'!B35</f>
        <v>200</v>
      </c>
      <c r="F14" s="913"/>
      <c r="G14" s="8" t="s">
        <v>2303</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2304</v>
      </c>
      <c r="C15" s="920">
        <f ca="1">ROUND(C11*F15,0)</f>
        <v>0</v>
      </c>
      <c r="D15" s="915"/>
      <c r="E15" s="920"/>
      <c r="F15" s="921">
        <f>'数据-取费表'!B36</f>
        <v>1.4999999999999999E-2</v>
      </c>
      <c r="G15" s="136" t="s">
        <v>2305</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2306</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2307</v>
      </c>
      <c r="C17" s="24">
        <f ca="1">ROUND(D17*E17/10000,0)</f>
        <v>0</v>
      </c>
      <c r="D17" s="955">
        <f ca="1">D14</f>
        <v>93605.4</v>
      </c>
      <c r="E17" s="24">
        <f>'数据-取费表'!B32</f>
        <v>0</v>
      </c>
      <c r="F17" s="915"/>
      <c r="G17" s="136" t="s">
        <v>2308</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2309</v>
      </c>
      <c r="C18" s="24">
        <f ca="1">C19+C20-IF(C1="",'数据-取费表'!B29,IF(G18="已全部缴纳",C19+C20,H18))</f>
        <v>1739</v>
      </c>
      <c r="D18" s="955"/>
      <c r="E18" s="24"/>
      <c r="F18" s="913"/>
      <c r="G18" s="2048"/>
      <c r="H18" s="1349"/>
      <c r="I18" s="2049" t="s">
        <v>2310</v>
      </c>
      <c r="J18" s="916"/>
      <c r="K18" s="917"/>
    </row>
    <row r="19" spans="1:33" s="912" customFormat="1" ht="13.5" customHeight="1">
      <c r="A19" s="908" t="s">
        <v>805</v>
      </c>
      <c r="B19" s="909" t="s">
        <v>2311</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2312</v>
      </c>
      <c r="C20" s="24">
        <f ca="1">ROUND(D20*E20/10000,0)</f>
        <v>1739</v>
      </c>
      <c r="D20" s="955">
        <f ca="1">IF(C1="",'数据-汇总表'!E6,IF(INDIRECT("'数据-取费表'!c"&amp;$K$1)="住宅",INDIRECT("'数据-取费表'!s"&amp;$K$1),INDIRECT("'数据-取费表'!k"&amp;$K$1)+INDIRECT("'数据-取费表'!s"&amp;$K$1)))</f>
        <v>93605.4</v>
      </c>
      <c r="E20" s="24">
        <f>'数据-取费表'!B28</f>
        <v>185.8</v>
      </c>
      <c r="F20" s="913"/>
      <c r="G20" s="15"/>
      <c r="H20" s="918"/>
      <c r="I20" s="918"/>
      <c r="J20" s="918"/>
      <c r="K20" s="919"/>
    </row>
    <row r="21" spans="1:33" s="912" customFormat="1" ht="13.5" customHeight="1">
      <c r="A21" s="898" t="s">
        <v>802</v>
      </c>
      <c r="B21" s="922" t="s">
        <v>2313</v>
      </c>
      <c r="C21" s="923">
        <f ca="1">C16+C17+C18</f>
        <v>1739</v>
      </c>
      <c r="D21" s="924"/>
      <c r="E21" s="287"/>
      <c r="F21" s="287"/>
      <c r="G21" s="136" t="s">
        <v>2314</v>
      </c>
      <c r="H21" s="916"/>
      <c r="I21" s="916"/>
      <c r="J21" s="916"/>
      <c r="K21" s="917"/>
    </row>
    <row r="22" spans="1:33" s="912" customFormat="1" ht="13.5" customHeight="1">
      <c r="A22" s="898" t="s">
        <v>2286</v>
      </c>
      <c r="B22" s="922" t="s">
        <v>2315</v>
      </c>
      <c r="C22" s="923">
        <f ca="1">ROUND(C21*F22,0)</f>
        <v>17</v>
      </c>
      <c r="D22" s="287"/>
      <c r="E22" s="287"/>
      <c r="F22" s="925">
        <f>'数据-取费表'!B37</f>
        <v>0.01</v>
      </c>
      <c r="G22" s="8" t="s">
        <v>2316</v>
      </c>
      <c r="H22" s="905"/>
      <c r="I22" s="905"/>
      <c r="J22" s="905"/>
      <c r="K22" s="906"/>
    </row>
    <row r="23" spans="1:33" s="912" customFormat="1" ht="13.5" customHeight="1">
      <c r="A23" s="898" t="s">
        <v>2288</v>
      </c>
      <c r="B23" s="922" t="s">
        <v>2317</v>
      </c>
      <c r="C23" s="923">
        <f ca="1">ROUND(C4*F23*F11,0)</f>
        <v>0</v>
      </c>
      <c r="D23" s="287"/>
      <c r="E23" s="287"/>
      <c r="F23" s="925">
        <f>'数据-取费表'!B38</f>
        <v>0.01</v>
      </c>
      <c r="G23" s="8" t="s">
        <v>2318</v>
      </c>
      <c r="H23" s="905"/>
      <c r="I23" s="905"/>
      <c r="J23" s="905"/>
      <c r="K23" s="906"/>
    </row>
    <row r="24" spans="1:33" s="912" customFormat="1" ht="13.5" customHeight="1">
      <c r="A24" s="898" t="s">
        <v>2319</v>
      </c>
      <c r="B24" s="922" t="s">
        <v>2320</v>
      </c>
      <c r="C24" s="286">
        <f>ROUND(F24/(1+'数据-取费表'!C42),4)</f>
        <v>2.9000000000000001E-2</v>
      </c>
      <c r="D24" s="287" t="s">
        <v>15</v>
      </c>
      <c r="E24" s="287"/>
      <c r="F24" s="925">
        <f>IF(项目基本情况!B8="出让",0,'数据-取费表'!B48+'数据-取费表'!B49)</f>
        <v>3.0499999999999999E-2</v>
      </c>
      <c r="G24" s="8" t="s">
        <v>2321</v>
      </c>
      <c r="H24" s="927"/>
      <c r="I24" s="927"/>
      <c r="J24" s="927"/>
      <c r="K24" s="928"/>
    </row>
    <row r="25" spans="1:33" s="912" customFormat="1" ht="13.5" customHeight="1">
      <c r="A25" s="898" t="s">
        <v>2322</v>
      </c>
      <c r="B25" s="924" t="s">
        <v>2323</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2324</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2325</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2326</v>
      </c>
      <c r="B28" s="2051" t="s">
        <v>2327</v>
      </c>
      <c r="C28" s="293">
        <f ca="1">C30</f>
        <v>263</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2328</v>
      </c>
      <c r="C29" s="290">
        <f ca="1">ROUND((1+C24)*F28*'数据-取费表'!B24/'数据-取费表'!B20,4)</f>
        <v>0</v>
      </c>
      <c r="D29" s="290"/>
      <c r="E29" s="291"/>
      <c r="F29" s="296"/>
      <c r="G29" s="136" t="s">
        <v>2329</v>
      </c>
      <c r="H29" s="916"/>
      <c r="I29" s="916"/>
      <c r="J29" s="916"/>
      <c r="K29" s="917"/>
    </row>
    <row r="30" spans="1:33" s="297" customFormat="1" ht="13.5" customHeight="1">
      <c r="A30" s="908" t="s">
        <v>804</v>
      </c>
      <c r="B30" s="931" t="s">
        <v>2330</v>
      </c>
      <c r="C30" s="298">
        <f ca="1">ROUND((C21+C22+C23)*F28,0)</f>
        <v>263</v>
      </c>
      <c r="D30" s="290"/>
      <c r="E30" s="291"/>
      <c r="F30" s="296"/>
      <c r="G30" s="136"/>
      <c r="H30" s="916"/>
      <c r="I30" s="916"/>
      <c r="J30" s="916"/>
      <c r="K30" s="917"/>
    </row>
    <row r="31" spans="1:33" s="912" customFormat="1" ht="13.5" customHeight="1" thickBot="1">
      <c r="A31" s="2052" t="s">
        <v>2331</v>
      </c>
      <c r="B31" s="942" t="s">
        <v>2332</v>
      </c>
      <c r="C31" s="943">
        <f>ROUND(C4*F31/(1+'数据-取费表'!C42),0)</f>
        <v>0</v>
      </c>
      <c r="D31" s="944"/>
      <c r="E31" s="945"/>
      <c r="F31" s="946">
        <f>'数据-取费表'!B41</f>
        <v>5.6000000000000001E-2</v>
      </c>
      <c r="G31" s="947" t="s">
        <v>2333</v>
      </c>
      <c r="H31" s="948"/>
      <c r="I31" s="948"/>
      <c r="J31" s="948"/>
      <c r="K31" s="949"/>
    </row>
    <row r="32" spans="1:33" s="907" customFormat="1" ht="13.5" customHeight="1" thickBot="1">
      <c r="A32" s="937" t="s">
        <v>2334</v>
      </c>
      <c r="B32" s="938"/>
      <c r="C32" s="939">
        <f ca="1">ROUND((C4-C21-C22-C23-C25-C28-C31)/(1+C24+D25+D28),0)</f>
        <v>-1962</v>
      </c>
      <c r="D32" s="938"/>
      <c r="E32" s="938"/>
      <c r="F32" s="938"/>
      <c r="G32" s="940" t="s">
        <v>2335</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92D050"/>
    <pageSetUpPr fitToPage="1"/>
  </sheetPr>
  <dimension ref="A1:AD132"/>
  <sheetViews>
    <sheetView tabSelected="1" view="pageBreakPreview" topLeftCell="A25" zoomScale="90" zoomScaleNormal="60" zoomScaleSheetLayoutView="90" workbookViewId="0">
      <selection activeCell="C11" sqref="C11"/>
    </sheetView>
  </sheetViews>
  <sheetFormatPr defaultColWidth="9" defaultRowHeight="14.25"/>
  <cols>
    <col min="1" max="1" width="14.375" style="363" customWidth="1"/>
    <col min="2" max="2" width="15.75" style="363" customWidth="1"/>
    <col min="3" max="3" width="15.8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2561</v>
      </c>
      <c r="B1" s="355"/>
      <c r="C1" s="356" t="s">
        <v>2562</v>
      </c>
      <c r="D1" s="695"/>
      <c r="E1" s="695"/>
      <c r="F1" s="694" t="s">
        <v>2460</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2144</v>
      </c>
      <c r="B2" s="627">
        <f>F66</f>
        <v>46317</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2146</v>
      </c>
      <c r="B3" s="566">
        <f>ROUND(IF(D3="",B2*10000/'数据-汇总表'!E3,B2*10000/D3),0)</f>
        <v>4948</v>
      </c>
      <c r="C3" s="209" t="s">
        <v>2563</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2462</v>
      </c>
      <c r="B4" s="362"/>
      <c r="C4" s="3366" t="s">
        <v>2463</v>
      </c>
      <c r="D4" s="3379"/>
      <c r="E4" s="3380" t="s">
        <v>2464</v>
      </c>
      <c r="F4" s="3381"/>
      <c r="G4" s="3366" t="s">
        <v>2465</v>
      </c>
      <c r="H4" s="3379"/>
      <c r="I4" s="3366" t="s">
        <v>2466</v>
      </c>
      <c r="J4" s="3379"/>
      <c r="K4" s="567" t="s">
        <v>2467</v>
      </c>
      <c r="L4" s="2944"/>
      <c r="M4" s="2945"/>
      <c r="N4" s="2945"/>
      <c r="O4" s="2945"/>
      <c r="P4" s="3382" t="s">
        <v>2468</v>
      </c>
      <c r="Q4" s="3383"/>
      <c r="R4" s="3388" t="s">
        <v>2464</v>
      </c>
      <c r="S4" s="3389"/>
      <c r="T4" s="3388" t="s">
        <v>2465</v>
      </c>
      <c r="U4" s="3389"/>
      <c r="V4" s="3375" t="s">
        <v>2466</v>
      </c>
      <c r="W4" s="3375"/>
      <c r="X4" s="1539"/>
      <c r="Y4" s="3388" t="s">
        <v>2468</v>
      </c>
      <c r="Z4" s="3389"/>
      <c r="AA4" s="3376" t="s">
        <v>2464</v>
      </c>
      <c r="AB4" s="3377" t="s">
        <v>2465</v>
      </c>
      <c r="AC4" s="3376" t="s">
        <v>2466</v>
      </c>
    </row>
    <row r="5" spans="1:30" ht="15">
      <c r="A5" s="364"/>
      <c r="B5" s="365"/>
      <c r="C5" s="3396" t="s">
        <v>2359</v>
      </c>
      <c r="D5" s="3397"/>
      <c r="E5" s="3403" t="str">
        <f>Sheet2!A6</f>
        <v>张店区中润大道以南、丰悦路以东、龙凤北巷以北、淄博市职业病防治院以西</v>
      </c>
      <c r="F5" s="3404"/>
      <c r="G5" s="3396" t="str">
        <f>Sheet2!A10</f>
        <v>淄博新区人民路以北、钱裕路以东</v>
      </c>
      <c r="H5" s="3397"/>
      <c r="I5" s="3396" t="str">
        <f>Sheet2!A14</f>
        <v>张店区华光路以南、人民路以北、心环西路以东</v>
      </c>
      <c r="J5" s="3397"/>
      <c r="K5" s="567"/>
      <c r="L5" s="2944"/>
      <c r="M5" s="2945"/>
      <c r="N5" s="2945"/>
      <c r="O5" s="2945"/>
      <c r="P5" s="3384"/>
      <c r="Q5" s="3385"/>
      <c r="R5" s="3390"/>
      <c r="S5" s="3391"/>
      <c r="T5" s="3390"/>
      <c r="U5" s="3391"/>
      <c r="V5" s="3375"/>
      <c r="W5" s="3375"/>
      <c r="X5" s="1539"/>
      <c r="Y5" s="3390"/>
      <c r="Z5" s="3391"/>
      <c r="AA5" s="3377"/>
      <c r="AB5" s="3377"/>
      <c r="AC5" s="3377"/>
    </row>
    <row r="6" spans="1:30" ht="15.75" thickBot="1">
      <c r="A6" s="366"/>
      <c r="B6" s="367"/>
      <c r="C6" s="3394" t="s">
        <v>2363</v>
      </c>
      <c r="D6" s="3395"/>
      <c r="E6" s="3401" t="s">
        <v>2363</v>
      </c>
      <c r="F6" s="3402"/>
      <c r="G6" s="3394" t="s">
        <v>2363</v>
      </c>
      <c r="H6" s="3395"/>
      <c r="I6" s="3394" t="s">
        <v>2363</v>
      </c>
      <c r="J6" s="3395"/>
      <c r="K6" s="567" t="s">
        <v>2364</v>
      </c>
      <c r="L6" s="2944"/>
      <c r="M6" s="2945"/>
      <c r="N6" s="2945"/>
      <c r="O6" s="2945"/>
      <c r="P6" s="3386"/>
      <c r="Q6" s="3387"/>
      <c r="R6" s="3390"/>
      <c r="S6" s="3391"/>
      <c r="T6" s="3392"/>
      <c r="U6" s="3393"/>
      <c r="V6" s="3375"/>
      <c r="W6" s="3375"/>
      <c r="X6" s="1539"/>
      <c r="Y6" s="3392"/>
      <c r="Z6" s="3393"/>
      <c r="AA6" s="3378"/>
      <c r="AB6" s="3378"/>
      <c r="AC6" s="3378"/>
    </row>
    <row r="7" spans="1:30" s="113" customFormat="1" ht="15.75" thickBot="1">
      <c r="A7" s="368" t="s">
        <v>2365</v>
      </c>
      <c r="B7" s="369"/>
      <c r="C7" s="370">
        <f>'数据-取费表'!B2</f>
        <v>44555</v>
      </c>
      <c r="D7" s="371">
        <v>100</v>
      </c>
      <c r="E7" s="372" t="str">
        <f>Sheet2!J6</f>
        <v>2020-12-14</v>
      </c>
      <c r="F7" s="373">
        <f>SUMIF(70:70,YEAR(E7)&amp;"-"&amp;INT((MONTH(E7)+2)/3),71:71)</f>
        <v>98</v>
      </c>
      <c r="G7" s="2160" t="str">
        <f>Sheet2!J10</f>
        <v>2020-07-03</v>
      </c>
      <c r="H7" s="371">
        <f>SUMIF(70:70,YEAR(G7)&amp;"-"&amp;INT((MONTH(G7)+2)/3),71:71)</f>
        <v>97.5</v>
      </c>
      <c r="I7" s="2160" t="str">
        <f>Sheet2!J14</f>
        <v>2019-09-02</v>
      </c>
      <c r="J7" s="371">
        <f>SUMIF(70:70,YEAR(I7)&amp;"-"&amp;INT((MONTH(I7)+2)/3),71:71)</f>
        <v>95.5</v>
      </c>
      <c r="K7" s="568"/>
      <c r="L7" s="2946"/>
      <c r="M7" s="2947"/>
      <c r="N7" s="2947"/>
      <c r="O7" s="2947"/>
      <c r="P7" s="3398" t="s">
        <v>2366</v>
      </c>
      <c r="Q7" s="3400"/>
      <c r="R7" s="710" t="s">
        <v>17</v>
      </c>
      <c r="S7" s="711">
        <f t="shared" ref="S7:S15" si="0">F7</f>
        <v>98</v>
      </c>
      <c r="T7" s="710" t="s">
        <v>17</v>
      </c>
      <c r="U7" s="711">
        <f t="shared" ref="U7:U15" si="1">H7</f>
        <v>97.5</v>
      </c>
      <c r="V7" s="710" t="s">
        <v>17</v>
      </c>
      <c r="W7" s="711">
        <f t="shared" ref="W7:W15" si="2">J7</f>
        <v>95.5</v>
      </c>
      <c r="X7" s="712"/>
      <c r="Y7" s="3398" t="s">
        <v>2366</v>
      </c>
      <c r="Z7" s="3399"/>
      <c r="AA7" s="713">
        <f>D7/F7</f>
        <v>1.0204081632653061</v>
      </c>
      <c r="AB7" s="713">
        <f>D7/H7</f>
        <v>1.0256410256410255</v>
      </c>
      <c r="AC7" s="713">
        <f>D7/J7</f>
        <v>1.0471204188481675</v>
      </c>
    </row>
    <row r="8" spans="1:30" s="113" customFormat="1" ht="15.75" thickBot="1">
      <c r="A8" s="368" t="s">
        <v>2367</v>
      </c>
      <c r="B8" s="369"/>
      <c r="C8" s="374" t="s">
        <v>2368</v>
      </c>
      <c r="D8" s="371">
        <v>100</v>
      </c>
      <c r="E8" s="3085" t="s">
        <v>3152</v>
      </c>
      <c r="F8" s="373">
        <f>SUMIF(73:73,E8,74:74)-SUMIF(73:73,C8,74:74)+100</f>
        <v>100</v>
      </c>
      <c r="G8" s="3085" t="s">
        <v>3152</v>
      </c>
      <c r="H8" s="371">
        <f>SUMIF(73:73,G8,74:74)-SUMIF(73:73,C8,74:74)+100</f>
        <v>100</v>
      </c>
      <c r="I8" s="3085" t="s">
        <v>3152</v>
      </c>
      <c r="J8" s="371">
        <f>SUMIF(73:73,I8,74:74)-SUMIF(73:73,C8,74:74)+100</f>
        <v>100</v>
      </c>
      <c r="K8" s="568"/>
      <c r="L8" s="2946"/>
      <c r="M8" s="2947"/>
      <c r="N8" s="2947"/>
      <c r="O8" s="2947"/>
      <c r="P8" s="3398" t="s">
        <v>2369</v>
      </c>
      <c r="Q8" s="3399"/>
      <c r="R8" s="710" t="s">
        <v>17</v>
      </c>
      <c r="S8" s="711">
        <f t="shared" si="0"/>
        <v>100</v>
      </c>
      <c r="T8" s="710" t="s">
        <v>17</v>
      </c>
      <c r="U8" s="711">
        <f t="shared" si="1"/>
        <v>100</v>
      </c>
      <c r="V8" s="710" t="s">
        <v>17</v>
      </c>
      <c r="W8" s="711">
        <f t="shared" si="2"/>
        <v>100</v>
      </c>
      <c r="X8" s="712"/>
      <c r="Y8" s="3398" t="s">
        <v>2369</v>
      </c>
      <c r="Z8" s="3399"/>
      <c r="AA8" s="713">
        <f t="shared" ref="AA8:AA45" si="3">D8/F8</f>
        <v>1</v>
      </c>
      <c r="AB8" s="713">
        <f t="shared" ref="AB8:AB45" si="4">D8/H8</f>
        <v>1</v>
      </c>
      <c r="AC8" s="713">
        <f t="shared" ref="AC8:AC45" si="5">D8/J8</f>
        <v>1</v>
      </c>
    </row>
    <row r="9" spans="1:30" s="113" customFormat="1" ht="15">
      <c r="A9" s="375" t="s">
        <v>2370</v>
      </c>
      <c r="B9" s="3532" t="s">
        <v>2371</v>
      </c>
      <c r="C9" s="3163" t="s">
        <v>3516</v>
      </c>
      <c r="D9" s="131">
        <v>100</v>
      </c>
      <c r="E9" s="3163" t="s">
        <v>3517</v>
      </c>
      <c r="F9" s="131">
        <f>SUMIF(75:75,E9,76:76)-SUMIF(75:75,C9,76:76)+100</f>
        <v>105</v>
      </c>
      <c r="G9" s="3163" t="s">
        <v>3517</v>
      </c>
      <c r="H9" s="131">
        <f>SUMIF(75:75,G9,76:76)-SUMIF(75:75,C9,76:76)+100</f>
        <v>105</v>
      </c>
      <c r="I9" s="3163" t="s">
        <v>3517</v>
      </c>
      <c r="J9" s="131">
        <f>SUMIF(75:75,I9,76:76)-SUMIF(75:75,C9,76:76)+100</f>
        <v>105</v>
      </c>
      <c r="K9" s="568"/>
      <c r="L9" s="2946"/>
      <c r="M9" s="2947"/>
      <c r="N9" s="2947"/>
      <c r="O9" s="3001"/>
      <c r="P9" s="3369" t="s">
        <v>2372</v>
      </c>
      <c r="Q9" s="1527" t="str">
        <f t="shared" ref="Q9:Q15" si="6">B9</f>
        <v>用途</v>
      </c>
      <c r="R9" s="710" t="s">
        <v>17</v>
      </c>
      <c r="S9" s="711">
        <f t="shared" si="0"/>
        <v>105</v>
      </c>
      <c r="T9" s="710" t="s">
        <v>17</v>
      </c>
      <c r="U9" s="711">
        <f t="shared" si="1"/>
        <v>105</v>
      </c>
      <c r="V9" s="710" t="s">
        <v>17</v>
      </c>
      <c r="W9" s="711">
        <f t="shared" si="2"/>
        <v>105</v>
      </c>
      <c r="X9" s="712"/>
      <c r="Y9" s="3263" t="s">
        <v>2373</v>
      </c>
      <c r="Z9" s="55" t="str">
        <f t="shared" ref="Z9:Z15" si="7">Q9</f>
        <v>用途</v>
      </c>
      <c r="AA9" s="713">
        <f t="shared" si="3"/>
        <v>0.95238095238095233</v>
      </c>
      <c r="AB9" s="713">
        <f t="shared" si="4"/>
        <v>0.95238095238095233</v>
      </c>
      <c r="AC9" s="713">
        <f t="shared" si="5"/>
        <v>0.95238095238095233</v>
      </c>
    </row>
    <row r="10" spans="1:30" s="386" customFormat="1" ht="27">
      <c r="A10" s="380"/>
      <c r="B10" s="381" t="s">
        <v>2374</v>
      </c>
      <c r="C10" s="391"/>
      <c r="D10" s="132">
        <v>100</v>
      </c>
      <c r="E10" s="424"/>
      <c r="F10" s="132">
        <f>ROUND(100/'数据-取费表'!G16,0)</f>
        <v>104</v>
      </c>
      <c r="G10" s="422"/>
      <c r="H10" s="132">
        <f>ROUND(100/'数据-取费表'!G16,0)</f>
        <v>104</v>
      </c>
      <c r="I10" s="422"/>
      <c r="J10" s="132">
        <f>ROUND(100/'数据-取费表'!G16,0)</f>
        <v>104</v>
      </c>
      <c r="K10" s="628"/>
      <c r="L10" s="2948"/>
      <c r="M10" s="2949"/>
      <c r="N10" s="2949"/>
      <c r="O10" s="3002"/>
      <c r="P10" s="3369"/>
      <c r="Q10" s="1527" t="str">
        <f t="shared" si="6"/>
        <v>土地使用年限（年）</v>
      </c>
      <c r="R10" s="710" t="s">
        <v>17</v>
      </c>
      <c r="S10" s="711">
        <f t="shared" si="0"/>
        <v>104</v>
      </c>
      <c r="T10" s="710" t="s">
        <v>17</v>
      </c>
      <c r="U10" s="711">
        <f t="shared" si="1"/>
        <v>104</v>
      </c>
      <c r="V10" s="710" t="s">
        <v>17</v>
      </c>
      <c r="W10" s="711">
        <f t="shared" si="2"/>
        <v>104</v>
      </c>
      <c r="X10" s="712"/>
      <c r="Y10" s="3263"/>
      <c r="Z10" s="55" t="str">
        <f t="shared" si="7"/>
        <v>土地使用年限（年）</v>
      </c>
      <c r="AA10" s="713">
        <f t="shared" si="3"/>
        <v>0.96153846153846156</v>
      </c>
      <c r="AB10" s="713">
        <f t="shared" si="4"/>
        <v>0.96153846153846156</v>
      </c>
      <c r="AC10" s="713">
        <f t="shared" si="5"/>
        <v>0.96153846153846156</v>
      </c>
    </row>
    <row r="11" spans="1:30" ht="15">
      <c r="A11" s="387"/>
      <c r="B11" s="3538" t="s">
        <v>2375</v>
      </c>
      <c r="C11" s="3540">
        <v>0.57999999999999996</v>
      </c>
      <c r="D11" s="132">
        <v>100</v>
      </c>
      <c r="E11" s="388">
        <v>2.5</v>
      </c>
      <c r="F11" s="132">
        <f>LOOKUP(E11,80:80,81:81)-LOOKUP(C11,80:80,81:81)+100</f>
        <v>104</v>
      </c>
      <c r="G11" s="389">
        <v>1.6759999999999999</v>
      </c>
      <c r="H11" s="132">
        <f>LOOKUP(G11,80:80,81:81)-LOOKUP(C11,80:80,81:81)+100</f>
        <v>102</v>
      </c>
      <c r="I11" s="388">
        <v>1.5</v>
      </c>
      <c r="J11" s="132">
        <f>LOOKUP(I11,80:80,81:81)-LOOKUP(C11,80:80,81:81)+100</f>
        <v>102</v>
      </c>
      <c r="K11" s="629">
        <v>2</v>
      </c>
      <c r="L11" s="2950"/>
      <c r="M11" s="2945"/>
      <c r="N11" s="2945"/>
      <c r="O11" s="3003"/>
      <c r="P11" s="3369"/>
      <c r="Q11" s="1527" t="str">
        <f t="shared" si="6"/>
        <v>容积率</v>
      </c>
      <c r="R11" s="710" t="s">
        <v>17</v>
      </c>
      <c r="S11" s="711">
        <f t="shared" si="0"/>
        <v>104</v>
      </c>
      <c r="T11" s="710" t="s">
        <v>17</v>
      </c>
      <c r="U11" s="711">
        <f t="shared" si="1"/>
        <v>102</v>
      </c>
      <c r="V11" s="710" t="s">
        <v>17</v>
      </c>
      <c r="W11" s="711">
        <f t="shared" si="2"/>
        <v>102</v>
      </c>
      <c r="X11" s="712"/>
      <c r="Y11" s="3263"/>
      <c r="Z11" s="55" t="str">
        <f t="shared" si="7"/>
        <v>容积率</v>
      </c>
      <c r="AA11" s="713">
        <f t="shared" si="3"/>
        <v>0.96153846153846156</v>
      </c>
      <c r="AB11" s="713">
        <f t="shared" si="4"/>
        <v>0.98039215686274506</v>
      </c>
      <c r="AC11" s="713">
        <f t="shared" si="5"/>
        <v>0.98039215686274506</v>
      </c>
    </row>
    <row r="12" spans="1:30" s="113" customFormat="1" ht="15">
      <c r="A12" s="390"/>
      <c r="B12" s="2079" t="s">
        <v>2564</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369"/>
      <c r="Q12" s="1527" t="str">
        <f t="shared" si="6"/>
        <v>配建</v>
      </c>
      <c r="R12" s="710" t="s">
        <v>17</v>
      </c>
      <c r="S12" s="711">
        <f t="shared" si="0"/>
        <v>100</v>
      </c>
      <c r="T12" s="710" t="s">
        <v>17</v>
      </c>
      <c r="U12" s="711">
        <f t="shared" si="1"/>
        <v>100</v>
      </c>
      <c r="V12" s="710" t="s">
        <v>17</v>
      </c>
      <c r="W12" s="711">
        <f t="shared" si="2"/>
        <v>100</v>
      </c>
      <c r="X12" s="712"/>
      <c r="Y12" s="3263"/>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369"/>
      <c r="Q13" s="1527">
        <f t="shared" si="6"/>
        <v>111</v>
      </c>
      <c r="R13" s="710" t="s">
        <v>17</v>
      </c>
      <c r="S13" s="711">
        <f t="shared" si="0"/>
        <v>100</v>
      </c>
      <c r="T13" s="710" t="s">
        <v>17</v>
      </c>
      <c r="U13" s="711">
        <f t="shared" si="1"/>
        <v>100</v>
      </c>
      <c r="V13" s="710" t="s">
        <v>17</v>
      </c>
      <c r="W13" s="711">
        <f t="shared" si="2"/>
        <v>100</v>
      </c>
      <c r="X13" s="712"/>
      <c r="Y13" s="3263"/>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369"/>
      <c r="Q14" s="1527">
        <f t="shared" si="6"/>
        <v>111</v>
      </c>
      <c r="R14" s="710" t="s">
        <v>17</v>
      </c>
      <c r="S14" s="711">
        <f t="shared" si="0"/>
        <v>100</v>
      </c>
      <c r="T14" s="710" t="s">
        <v>17</v>
      </c>
      <c r="U14" s="711">
        <f t="shared" si="1"/>
        <v>100</v>
      </c>
      <c r="V14" s="710" t="s">
        <v>17</v>
      </c>
      <c r="W14" s="711">
        <f t="shared" si="2"/>
        <v>100</v>
      </c>
      <c r="X14" s="712"/>
      <c r="Y14" s="3263"/>
      <c r="Z14" s="55">
        <f t="shared" si="7"/>
        <v>111</v>
      </c>
      <c r="AA14" s="713">
        <f>D14/F14</f>
        <v>1</v>
      </c>
      <c r="AB14" s="713">
        <f>D14/H14</f>
        <v>1</v>
      </c>
      <c r="AC14" s="713">
        <f>D14/J14</f>
        <v>1</v>
      </c>
    </row>
    <row r="15" spans="1:30" ht="85.5">
      <c r="A15" s="3531" t="s">
        <v>2376</v>
      </c>
      <c r="B15" s="65" t="s">
        <v>1939</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371" t="s">
        <v>2377</v>
      </c>
      <c r="Q15" s="1536" t="str">
        <f t="shared" si="6"/>
        <v>居住社区成熟度</v>
      </c>
      <c r="R15" s="714" t="s">
        <v>17</v>
      </c>
      <c r="S15" s="715">
        <f t="shared" si="0"/>
        <v>100</v>
      </c>
      <c r="T15" s="714" t="s">
        <v>17</v>
      </c>
      <c r="U15" s="715">
        <f t="shared" si="1"/>
        <v>100</v>
      </c>
      <c r="V15" s="714" t="s">
        <v>17</v>
      </c>
      <c r="W15" s="715">
        <f t="shared" si="2"/>
        <v>100</v>
      </c>
      <c r="X15" s="1539"/>
      <c r="Y15" s="3371" t="s">
        <v>2377</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1"/>
      <c r="M16" s="2945"/>
      <c r="N16" s="2945"/>
      <c r="O16" s="3003"/>
      <c r="P16" s="3372"/>
      <c r="Q16" s="1536"/>
      <c r="R16" s="714"/>
      <c r="S16" s="715"/>
      <c r="T16" s="714"/>
      <c r="U16" s="715"/>
      <c r="V16" s="714"/>
      <c r="W16" s="715"/>
      <c r="X16" s="1539"/>
      <c r="Y16" s="3372"/>
      <c r="Z16" s="1540"/>
      <c r="AA16" s="1537">
        <v>1</v>
      </c>
      <c r="AB16" s="1537">
        <v>1</v>
      </c>
      <c r="AC16" s="1537">
        <v>1</v>
      </c>
    </row>
    <row r="17" spans="1:29" ht="57">
      <c r="A17" s="387"/>
      <c r="B17" s="410" t="s">
        <v>2470</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372"/>
      <c r="Q17" s="1536" t="str">
        <f>B17</f>
        <v>商业繁华度</v>
      </c>
      <c r="R17" s="714" t="s">
        <v>17</v>
      </c>
      <c r="S17" s="715">
        <f>F17</f>
        <v>100</v>
      </c>
      <c r="T17" s="714" t="s">
        <v>17</v>
      </c>
      <c r="U17" s="715">
        <f>H17</f>
        <v>100</v>
      </c>
      <c r="V17" s="714" t="s">
        <v>17</v>
      </c>
      <c r="W17" s="715">
        <f>J17</f>
        <v>100</v>
      </c>
      <c r="X17" s="1539"/>
      <c r="Y17" s="3372"/>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1"/>
      <c r="M18" s="2945"/>
      <c r="N18" s="2945"/>
      <c r="O18" s="3003"/>
      <c r="P18" s="3372"/>
      <c r="Q18" s="1536"/>
      <c r="R18" s="714"/>
      <c r="S18" s="715"/>
      <c r="T18" s="714"/>
      <c r="U18" s="715"/>
      <c r="V18" s="714"/>
      <c r="W18" s="715"/>
      <c r="X18" s="1539"/>
      <c r="Y18" s="3372"/>
      <c r="Z18" s="1540"/>
      <c r="AA18" s="1537">
        <v>1</v>
      </c>
      <c r="AB18" s="1537">
        <v>1</v>
      </c>
      <c r="AC18" s="1537">
        <v>1</v>
      </c>
    </row>
    <row r="19" spans="1:29" ht="71.25">
      <c r="A19" s="387"/>
      <c r="B19" s="410" t="s">
        <v>2504</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372"/>
      <c r="Q19" s="1536" t="str">
        <f>B19</f>
        <v>办公集聚程度</v>
      </c>
      <c r="R19" s="714" t="s">
        <v>17</v>
      </c>
      <c r="S19" s="715">
        <f>F19</f>
        <v>100</v>
      </c>
      <c r="T19" s="714" t="s">
        <v>17</v>
      </c>
      <c r="U19" s="715">
        <f>H19</f>
        <v>100</v>
      </c>
      <c r="V19" s="714" t="s">
        <v>17</v>
      </c>
      <c r="W19" s="715">
        <f>J19</f>
        <v>100</v>
      </c>
      <c r="X19" s="1539"/>
      <c r="Y19" s="3372"/>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1"/>
      <c r="M20" s="2945"/>
      <c r="N20" s="2945"/>
      <c r="O20" s="3003"/>
      <c r="P20" s="3372"/>
      <c r="Q20" s="1536"/>
      <c r="R20" s="714"/>
      <c r="S20" s="715"/>
      <c r="T20" s="714"/>
      <c r="U20" s="715"/>
      <c r="V20" s="714"/>
      <c r="W20" s="715"/>
      <c r="X20" s="1539"/>
      <c r="Y20" s="3372"/>
      <c r="Z20" s="1540"/>
      <c r="AA20" s="1537">
        <v>1</v>
      </c>
      <c r="AB20" s="1537">
        <v>1</v>
      </c>
      <c r="AC20" s="1537">
        <v>1</v>
      </c>
    </row>
    <row r="21" spans="1:29" ht="71.25">
      <c r="A21" s="387"/>
      <c r="B21" s="410" t="s">
        <v>2526</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372"/>
      <c r="Q21" s="1536" t="str">
        <f>B21</f>
        <v>交通便捷度</v>
      </c>
      <c r="R21" s="714" t="s">
        <v>17</v>
      </c>
      <c r="S21" s="715">
        <f>F21</f>
        <v>100</v>
      </c>
      <c r="T21" s="714" t="s">
        <v>17</v>
      </c>
      <c r="U21" s="715">
        <f>H21</f>
        <v>100</v>
      </c>
      <c r="V21" s="714" t="s">
        <v>17</v>
      </c>
      <c r="W21" s="715">
        <f>J21</f>
        <v>100</v>
      </c>
      <c r="X21" s="1539"/>
      <c r="Y21" s="3372"/>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1"/>
      <c r="M22" s="2945"/>
      <c r="N22" s="2945"/>
      <c r="O22" s="3003"/>
      <c r="P22" s="3372"/>
      <c r="Q22" s="1536"/>
      <c r="R22" s="714"/>
      <c r="S22" s="715"/>
      <c r="T22" s="714"/>
      <c r="U22" s="715"/>
      <c r="V22" s="714"/>
      <c r="W22" s="715"/>
      <c r="X22" s="1539"/>
      <c r="Y22" s="3372"/>
      <c r="Z22" s="1540"/>
      <c r="AA22" s="1537">
        <v>1</v>
      </c>
      <c r="AB22" s="1537">
        <v>1</v>
      </c>
      <c r="AC22" s="1537">
        <v>1</v>
      </c>
    </row>
    <row r="23" spans="1:29" ht="15">
      <c r="A23" s="364"/>
      <c r="B23" s="410" t="s">
        <v>2565</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372"/>
      <c r="Q23" s="1536" t="str">
        <f t="shared" ref="Q23:Q37" si="8">B23</f>
        <v>区域土地利用方向</v>
      </c>
      <c r="R23" s="714" t="s">
        <v>17</v>
      </c>
      <c r="S23" s="715">
        <f>F23</f>
        <v>100</v>
      </c>
      <c r="T23" s="714" t="s">
        <v>17</v>
      </c>
      <c r="U23" s="715">
        <f>H23</f>
        <v>100</v>
      </c>
      <c r="V23" s="714" t="s">
        <v>17</v>
      </c>
      <c r="W23" s="715">
        <f>J23</f>
        <v>100</v>
      </c>
      <c r="X23" s="1539"/>
      <c r="Y23" s="3372"/>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1"/>
      <c r="M24" s="2945"/>
      <c r="N24" s="2945"/>
      <c r="O24" s="3003"/>
      <c r="P24" s="3372"/>
      <c r="Q24" s="1536"/>
      <c r="R24" s="714"/>
      <c r="S24" s="715"/>
      <c r="T24" s="714"/>
      <c r="U24" s="715"/>
      <c r="V24" s="714"/>
      <c r="W24" s="715"/>
      <c r="X24" s="1539"/>
      <c r="Y24" s="3372"/>
      <c r="Z24" s="1540"/>
      <c r="AA24" s="1537"/>
      <c r="AB24" s="1537"/>
      <c r="AC24" s="1537"/>
    </row>
    <row r="25" spans="1:29" ht="42.75">
      <c r="A25" s="364"/>
      <c r="B25" s="1293" t="s">
        <v>2566</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372"/>
      <c r="Q25" s="1536" t="str">
        <f t="shared" si="8"/>
        <v>自然及人文环境状况</v>
      </c>
      <c r="R25" s="714" t="s">
        <v>17</v>
      </c>
      <c r="S25" s="715">
        <f>F25</f>
        <v>100</v>
      </c>
      <c r="T25" s="714" t="s">
        <v>17</v>
      </c>
      <c r="U25" s="715">
        <f>H25</f>
        <v>100</v>
      </c>
      <c r="V25" s="714" t="s">
        <v>17</v>
      </c>
      <c r="W25" s="715">
        <f>J25</f>
        <v>100</v>
      </c>
      <c r="X25" s="1539"/>
      <c r="Y25" s="3372"/>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1"/>
      <c r="M26" s="2945"/>
      <c r="N26" s="2945"/>
      <c r="O26" s="3003"/>
      <c r="P26" s="3372"/>
      <c r="Q26" s="1536"/>
      <c r="R26" s="714"/>
      <c r="S26" s="715"/>
      <c r="T26" s="714"/>
      <c r="U26" s="715"/>
      <c r="V26" s="714"/>
      <c r="W26" s="715"/>
      <c r="X26" s="1539"/>
      <c r="Y26" s="3372"/>
      <c r="Z26" s="1540"/>
      <c r="AA26" s="1537">
        <v>1</v>
      </c>
      <c r="AB26" s="1537">
        <v>1</v>
      </c>
      <c r="AC26" s="1537">
        <v>1</v>
      </c>
    </row>
    <row r="27" spans="1:29" s="113" customFormat="1" ht="42.75">
      <c r="A27" s="605"/>
      <c r="B27" s="1293" t="s">
        <v>2471</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372"/>
      <c r="Q27" s="1527" t="str">
        <f t="shared" si="8"/>
        <v>公共配套设施</v>
      </c>
      <c r="R27" s="710" t="s">
        <v>17</v>
      </c>
      <c r="S27" s="711">
        <f>F27</f>
        <v>100</v>
      </c>
      <c r="T27" s="710" t="s">
        <v>17</v>
      </c>
      <c r="U27" s="711">
        <f>H27</f>
        <v>100</v>
      </c>
      <c r="V27" s="710" t="s">
        <v>17</v>
      </c>
      <c r="W27" s="711">
        <f>J27</f>
        <v>100</v>
      </c>
      <c r="X27" s="712"/>
      <c r="Y27" s="3372"/>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6"/>
      <c r="M28" s="2947"/>
      <c r="N28" s="2947"/>
      <c r="O28" s="3001"/>
      <c r="P28" s="3372"/>
      <c r="Q28" s="1527"/>
      <c r="R28" s="710"/>
      <c r="S28" s="711"/>
      <c r="T28" s="710"/>
      <c r="U28" s="711"/>
      <c r="V28" s="710"/>
      <c r="W28" s="711"/>
      <c r="X28" s="712"/>
      <c r="Y28" s="3372"/>
      <c r="Z28" s="55"/>
      <c r="AA28" s="1537">
        <v>1</v>
      </c>
      <c r="AB28" s="1537">
        <v>1</v>
      </c>
      <c r="AC28" s="1537">
        <v>1</v>
      </c>
    </row>
    <row r="29" spans="1:29" s="113" customFormat="1" ht="28.5">
      <c r="A29" s="605"/>
      <c r="B29" s="1293" t="s">
        <v>2472</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372"/>
      <c r="Q29" s="1527" t="str">
        <f t="shared" ref="Q29" si="9">B29</f>
        <v>基础设施水平</v>
      </c>
      <c r="R29" s="710" t="s">
        <v>17</v>
      </c>
      <c r="S29" s="711">
        <f>F29</f>
        <v>100</v>
      </c>
      <c r="T29" s="710" t="s">
        <v>17</v>
      </c>
      <c r="U29" s="711">
        <f>H29</f>
        <v>100</v>
      </c>
      <c r="V29" s="710" t="s">
        <v>17</v>
      </c>
      <c r="W29" s="711">
        <f>J29</f>
        <v>100</v>
      </c>
      <c r="X29" s="712"/>
      <c r="Y29" s="3372"/>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6"/>
      <c r="M30" s="2947"/>
      <c r="N30" s="2947"/>
      <c r="O30" s="3001"/>
      <c r="P30" s="3372"/>
      <c r="Q30" s="1527"/>
      <c r="R30" s="710"/>
      <c r="S30" s="711"/>
      <c r="T30" s="710"/>
      <c r="U30" s="711"/>
      <c r="V30" s="710"/>
      <c r="W30" s="711"/>
      <c r="X30" s="712"/>
      <c r="Y30" s="3372"/>
      <c r="Z30" s="55"/>
      <c r="AA30" s="1537">
        <v>1</v>
      </c>
      <c r="AB30" s="1537">
        <v>1</v>
      </c>
      <c r="AC30" s="1537">
        <v>1</v>
      </c>
    </row>
    <row r="31" spans="1:29" ht="15">
      <c r="A31" s="387"/>
      <c r="B31" s="415" t="s">
        <v>2473</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372"/>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72"/>
      <c r="Z31" s="1540" t="str">
        <f t="shared" ref="Z31:Z45" si="13">Q31</f>
        <v>临街状况</v>
      </c>
      <c r="AA31" s="1537">
        <f t="shared" si="3"/>
        <v>1</v>
      </c>
      <c r="AB31" s="1537">
        <f t="shared" si="4"/>
        <v>1</v>
      </c>
      <c r="AC31" s="1537">
        <f t="shared" si="5"/>
        <v>1</v>
      </c>
    </row>
    <row r="32" spans="1:29" ht="27">
      <c r="A32" s="387"/>
      <c r="B32" s="1293" t="s">
        <v>2508</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372"/>
      <c r="Q32" s="1536" t="str">
        <f t="shared" si="8"/>
        <v>毗邻道路的类型与等级</v>
      </c>
      <c r="R32" s="714" t="s">
        <v>17</v>
      </c>
      <c r="S32" s="715">
        <f t="shared" si="10"/>
        <v>100</v>
      </c>
      <c r="T32" s="714" t="s">
        <v>17</v>
      </c>
      <c r="U32" s="715">
        <f t="shared" si="11"/>
        <v>100</v>
      </c>
      <c r="V32" s="714" t="s">
        <v>17</v>
      </c>
      <c r="W32" s="715">
        <f t="shared" si="12"/>
        <v>100</v>
      </c>
      <c r="X32" s="1539"/>
      <c r="Y32" s="3372"/>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1"/>
      <c r="M33" s="2945"/>
      <c r="N33" s="2945"/>
      <c r="O33" s="3003"/>
      <c r="P33" s="3372"/>
      <c r="Q33" s="1536"/>
      <c r="R33" s="714"/>
      <c r="S33" s="715"/>
      <c r="T33" s="714"/>
      <c r="U33" s="715"/>
      <c r="V33" s="714"/>
      <c r="W33" s="715"/>
      <c r="X33" s="1539"/>
      <c r="Y33" s="3372"/>
      <c r="Z33" s="1540"/>
      <c r="AA33" s="1537">
        <v>1</v>
      </c>
      <c r="AB33" s="1537">
        <v>1</v>
      </c>
      <c r="AC33" s="1537">
        <v>1</v>
      </c>
    </row>
    <row r="34" spans="1:29" ht="15">
      <c r="A34" s="387"/>
      <c r="B34" s="381" t="s">
        <v>2567</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372"/>
      <c r="Q34" s="1536" t="str">
        <f t="shared" si="8"/>
        <v>土地级别</v>
      </c>
      <c r="R34" s="714" t="s">
        <v>17</v>
      </c>
      <c r="S34" s="715">
        <f t="shared" si="10"/>
        <v>100</v>
      </c>
      <c r="T34" s="714" t="s">
        <v>17</v>
      </c>
      <c r="U34" s="715">
        <f t="shared" si="11"/>
        <v>100</v>
      </c>
      <c r="V34" s="714" t="s">
        <v>17</v>
      </c>
      <c r="W34" s="715">
        <f t="shared" si="12"/>
        <v>100</v>
      </c>
      <c r="X34" s="1539"/>
      <c r="Y34" s="3372"/>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372"/>
      <c r="Q35" s="1536">
        <f t="shared" si="8"/>
        <v>111</v>
      </c>
      <c r="R35" s="714" t="s">
        <v>17</v>
      </c>
      <c r="S35" s="715">
        <f t="shared" si="10"/>
        <v>100</v>
      </c>
      <c r="T35" s="714" t="s">
        <v>17</v>
      </c>
      <c r="U35" s="715">
        <f t="shared" si="11"/>
        <v>100</v>
      </c>
      <c r="V35" s="714" t="s">
        <v>17</v>
      </c>
      <c r="W35" s="715">
        <f t="shared" si="12"/>
        <v>100</v>
      </c>
      <c r="X35" s="1539"/>
      <c r="Y35" s="3372"/>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373" t="s">
        <v>2382</v>
      </c>
      <c r="Q36" s="1536">
        <f t="shared" si="8"/>
        <v>111</v>
      </c>
      <c r="R36" s="714" t="s">
        <v>17</v>
      </c>
      <c r="S36" s="715">
        <f t="shared" si="10"/>
        <v>100</v>
      </c>
      <c r="T36" s="714" t="s">
        <v>17</v>
      </c>
      <c r="U36" s="715">
        <f t="shared" si="11"/>
        <v>100</v>
      </c>
      <c r="V36" s="714" t="s">
        <v>17</v>
      </c>
      <c r="W36" s="715">
        <f t="shared" si="12"/>
        <v>100</v>
      </c>
      <c r="X36" s="1539"/>
      <c r="Y36" s="3374" t="s">
        <v>2382</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374"/>
      <c r="Q37" s="1536">
        <f t="shared" si="8"/>
        <v>111</v>
      </c>
      <c r="R37" s="717" t="s">
        <v>17</v>
      </c>
      <c r="S37" s="718">
        <f t="shared" si="10"/>
        <v>100</v>
      </c>
      <c r="T37" s="717" t="s">
        <v>17</v>
      </c>
      <c r="U37" s="718">
        <f t="shared" si="11"/>
        <v>100</v>
      </c>
      <c r="V37" s="717" t="s">
        <v>17</v>
      </c>
      <c r="W37" s="718">
        <f t="shared" si="12"/>
        <v>100</v>
      </c>
      <c r="X37" s="719"/>
      <c r="Y37" s="3374"/>
      <c r="Z37" s="720">
        <f t="shared" si="13"/>
        <v>111</v>
      </c>
      <c r="AA37" s="1537">
        <f t="shared" si="3"/>
        <v>1</v>
      </c>
      <c r="AB37" s="1537">
        <f t="shared" si="4"/>
        <v>1</v>
      </c>
      <c r="AC37" s="1537">
        <f t="shared" si="5"/>
        <v>1</v>
      </c>
    </row>
    <row r="38" spans="1:29" ht="15">
      <c r="A38" s="431" t="s">
        <v>2380</v>
      </c>
      <c r="B38" s="415" t="s">
        <v>2568</v>
      </c>
      <c r="C38" s="635">
        <f>面积!C6</f>
        <v>131807</v>
      </c>
      <c r="D38" s="426">
        <v>100</v>
      </c>
      <c r="E38" s="635">
        <f>Sheet2!D6</f>
        <v>10059</v>
      </c>
      <c r="F38" s="426">
        <f>LOOKUP(E38,117:117,118:118)-LOOKUP(C38,117:117,118:118)+100</f>
        <v>96</v>
      </c>
      <c r="G38" s="635">
        <f>Sheet2!D10</f>
        <v>13191.24</v>
      </c>
      <c r="H38" s="426">
        <f>LOOKUP(G38,117:117,118:118)-LOOKUP(C38,117:117,118:118)+100</f>
        <v>96</v>
      </c>
      <c r="I38" s="487">
        <f>Sheet2!D14</f>
        <v>139020</v>
      </c>
      <c r="J38" s="426">
        <f>LOOKUP(I38,117:117,118:118)-LOOKUP(C38,117:117,118:118)+100</f>
        <v>100</v>
      </c>
      <c r="K38" s="570"/>
      <c r="L38" s="2951"/>
      <c r="M38" s="2945"/>
      <c r="N38" s="2945"/>
      <c r="O38" s="3003"/>
      <c r="P38" s="3374"/>
      <c r="Q38" s="1536" t="str">
        <f>B38</f>
        <v>宗地面积</v>
      </c>
      <c r="R38" s="714" t="s">
        <v>17</v>
      </c>
      <c r="S38" s="715">
        <f t="shared" si="10"/>
        <v>96</v>
      </c>
      <c r="T38" s="714" t="s">
        <v>17</v>
      </c>
      <c r="U38" s="715">
        <f t="shared" si="11"/>
        <v>96</v>
      </c>
      <c r="V38" s="714" t="s">
        <v>17</v>
      </c>
      <c r="W38" s="715">
        <f t="shared" si="12"/>
        <v>100</v>
      </c>
      <c r="X38" s="1539"/>
      <c r="Y38" s="3374"/>
      <c r="Z38" s="1540" t="str">
        <f t="shared" si="13"/>
        <v>宗地面积</v>
      </c>
      <c r="AA38" s="1537">
        <f t="shared" si="3"/>
        <v>1.0416666666666667</v>
      </c>
      <c r="AB38" s="1537">
        <f t="shared" si="4"/>
        <v>1.0416666666666667</v>
      </c>
      <c r="AC38" s="1537">
        <f t="shared" si="5"/>
        <v>1</v>
      </c>
    </row>
    <row r="39" spans="1:29" ht="15">
      <c r="A39" s="431"/>
      <c r="B39" s="381" t="s">
        <v>2569</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1"/>
      <c r="M39" s="2945"/>
      <c r="N39" s="2945"/>
      <c r="O39" s="3003"/>
      <c r="P39" s="3374"/>
      <c r="Q39" s="1536" t="str">
        <f t="shared" ref="Q39:Q45" si="14">B39</f>
        <v>宗地形状</v>
      </c>
      <c r="R39" s="714" t="s">
        <v>17</v>
      </c>
      <c r="S39" s="715">
        <f t="shared" si="10"/>
        <v>100</v>
      </c>
      <c r="T39" s="714" t="s">
        <v>17</v>
      </c>
      <c r="U39" s="715">
        <f t="shared" si="11"/>
        <v>100</v>
      </c>
      <c r="V39" s="714" t="s">
        <v>17</v>
      </c>
      <c r="W39" s="715">
        <f t="shared" si="12"/>
        <v>100</v>
      </c>
      <c r="X39" s="1539"/>
      <c r="Y39" s="3374"/>
      <c r="Z39" s="1540" t="str">
        <f t="shared" si="13"/>
        <v>宗地形状</v>
      </c>
      <c r="AA39" s="1537">
        <f t="shared" si="3"/>
        <v>1</v>
      </c>
      <c r="AB39" s="1537">
        <f t="shared" si="4"/>
        <v>1</v>
      </c>
      <c r="AC39" s="1537">
        <f t="shared" si="5"/>
        <v>1</v>
      </c>
    </row>
    <row r="40" spans="1:29" ht="15">
      <c r="A40" s="431"/>
      <c r="B40" s="381" t="s">
        <v>2570</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1"/>
      <c r="M40" s="2945"/>
      <c r="N40" s="2945"/>
      <c r="O40" s="3003"/>
      <c r="P40" s="3374"/>
      <c r="Q40" s="1536" t="str">
        <f t="shared" si="14"/>
        <v>临街宽度及深度</v>
      </c>
      <c r="R40" s="714" t="s">
        <v>17</v>
      </c>
      <c r="S40" s="715">
        <f t="shared" si="10"/>
        <v>100</v>
      </c>
      <c r="T40" s="714" t="s">
        <v>17</v>
      </c>
      <c r="U40" s="715">
        <f t="shared" si="11"/>
        <v>100</v>
      </c>
      <c r="V40" s="714" t="s">
        <v>17</v>
      </c>
      <c r="W40" s="715">
        <f t="shared" si="12"/>
        <v>100</v>
      </c>
      <c r="X40" s="1539"/>
      <c r="Y40" s="3374"/>
      <c r="Z40" s="1540" t="str">
        <f t="shared" si="13"/>
        <v>临街宽度及深度</v>
      </c>
      <c r="AA40" s="1537">
        <f t="shared" si="3"/>
        <v>1</v>
      </c>
      <c r="AB40" s="1537">
        <f t="shared" si="4"/>
        <v>1</v>
      </c>
      <c r="AC40" s="1537">
        <f t="shared" si="5"/>
        <v>1</v>
      </c>
    </row>
    <row r="41" spans="1:29" s="113" customFormat="1" ht="15">
      <c r="A41" s="432"/>
      <c r="B41" s="381" t="s">
        <v>2571</v>
      </c>
      <c r="C41" s="3166" t="s">
        <v>3521</v>
      </c>
      <c r="D41" s="132">
        <v>100</v>
      </c>
      <c r="E41" s="3166" t="s">
        <v>3522</v>
      </c>
      <c r="F41" s="394">
        <f>SUMIF(123:123,E41,124:124)-SUMIF(123:123,C41,124:124)+100</f>
        <v>96</v>
      </c>
      <c r="G41" s="3166" t="s">
        <v>3522</v>
      </c>
      <c r="H41" s="394">
        <f>SUMIF(123:123,G41,124:124)-SUMIF(123:123,C41,124:124)+100</f>
        <v>96</v>
      </c>
      <c r="I41" s="3166" t="s">
        <v>3522</v>
      </c>
      <c r="J41" s="394">
        <f>SUMIF(123:123,I41,124:124)-SUMIF(123:123,C41,124:124)+100</f>
        <v>96</v>
      </c>
      <c r="K41" s="569">
        <v>2</v>
      </c>
      <c r="L41" s="2946"/>
      <c r="M41" s="2947"/>
      <c r="N41" s="2947"/>
      <c r="O41" s="3001"/>
      <c r="P41" s="3374"/>
      <c r="Q41" s="1536" t="str">
        <f t="shared" si="14"/>
        <v>宗地开发程度</v>
      </c>
      <c r="R41" s="710" t="s">
        <v>17</v>
      </c>
      <c r="S41" s="711">
        <f t="shared" si="10"/>
        <v>96</v>
      </c>
      <c r="T41" s="710" t="s">
        <v>17</v>
      </c>
      <c r="U41" s="711">
        <f t="shared" si="11"/>
        <v>96</v>
      </c>
      <c r="V41" s="710" t="s">
        <v>17</v>
      </c>
      <c r="W41" s="711">
        <f t="shared" si="12"/>
        <v>96</v>
      </c>
      <c r="X41" s="712"/>
      <c r="Y41" s="3374"/>
      <c r="Z41" s="55" t="str">
        <f t="shared" si="13"/>
        <v>宗地开发程度</v>
      </c>
      <c r="AA41" s="713">
        <f t="shared" si="3"/>
        <v>1.0416666666666667</v>
      </c>
      <c r="AB41" s="713">
        <f t="shared" si="4"/>
        <v>1.0416666666666667</v>
      </c>
      <c r="AC41" s="713">
        <f t="shared" si="5"/>
        <v>1.0416666666666667</v>
      </c>
    </row>
    <row r="42" spans="1:29" ht="15">
      <c r="A42" s="431"/>
      <c r="B42" s="381" t="s">
        <v>2572</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1"/>
      <c r="M42" s="2945"/>
      <c r="N42" s="2945"/>
      <c r="O42" s="3003"/>
      <c r="P42" s="3374" t="s">
        <v>2382</v>
      </c>
      <c r="Q42" s="1536" t="str">
        <f t="shared" si="14"/>
        <v>工程地质条件</v>
      </c>
      <c r="R42" s="714" t="s">
        <v>17</v>
      </c>
      <c r="S42" s="715">
        <f t="shared" si="10"/>
        <v>100</v>
      </c>
      <c r="T42" s="714" t="s">
        <v>17</v>
      </c>
      <c r="U42" s="715">
        <f t="shared" si="11"/>
        <v>100</v>
      </c>
      <c r="V42" s="714" t="s">
        <v>17</v>
      </c>
      <c r="W42" s="715">
        <f t="shared" si="12"/>
        <v>100</v>
      </c>
      <c r="X42" s="1539"/>
      <c r="Y42" s="3374" t="s">
        <v>2382</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374"/>
      <c r="Q43" s="1536">
        <f t="shared" si="14"/>
        <v>111</v>
      </c>
      <c r="R43" s="714" t="s">
        <v>17</v>
      </c>
      <c r="S43" s="715">
        <f t="shared" si="10"/>
        <v>100</v>
      </c>
      <c r="T43" s="714" t="s">
        <v>17</v>
      </c>
      <c r="U43" s="715">
        <f t="shared" si="11"/>
        <v>100</v>
      </c>
      <c r="V43" s="714" t="s">
        <v>17</v>
      </c>
      <c r="W43" s="715">
        <f t="shared" si="12"/>
        <v>100</v>
      </c>
      <c r="X43" s="1539"/>
      <c r="Y43" s="3374"/>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374"/>
      <c r="Q44" s="1536">
        <f t="shared" si="14"/>
        <v>111</v>
      </c>
      <c r="R44" s="714" t="s">
        <v>17</v>
      </c>
      <c r="S44" s="715">
        <f t="shared" si="10"/>
        <v>100</v>
      </c>
      <c r="T44" s="714" t="s">
        <v>17</v>
      </c>
      <c r="U44" s="715">
        <f t="shared" si="11"/>
        <v>100</v>
      </c>
      <c r="V44" s="714" t="s">
        <v>17</v>
      </c>
      <c r="W44" s="715">
        <f t="shared" si="12"/>
        <v>100</v>
      </c>
      <c r="X44" s="1539"/>
      <c r="Y44" s="3374"/>
      <c r="Z44" s="1540">
        <f t="shared" si="13"/>
        <v>111</v>
      </c>
      <c r="AA44" s="1537">
        <f t="shared" si="3"/>
        <v>1</v>
      </c>
      <c r="AB44" s="1537">
        <f t="shared" si="4"/>
        <v>1</v>
      </c>
      <c r="AC44" s="1537">
        <f t="shared" si="5"/>
        <v>1</v>
      </c>
    </row>
    <row r="45" spans="1:29" s="430" customFormat="1" ht="15.75" thickBot="1">
      <c r="A45" s="427"/>
      <c r="B45" s="1296">
        <v>1.0551999999999999</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374"/>
      <c r="Q45" s="1536">
        <f t="shared" si="14"/>
        <v>1.0551999999999999</v>
      </c>
      <c r="R45" s="717" t="s">
        <v>17</v>
      </c>
      <c r="S45" s="718">
        <f t="shared" si="10"/>
        <v>100</v>
      </c>
      <c r="T45" s="717" t="s">
        <v>17</v>
      </c>
      <c r="U45" s="718">
        <f t="shared" si="11"/>
        <v>100</v>
      </c>
      <c r="V45" s="717" t="s">
        <v>17</v>
      </c>
      <c r="W45" s="718">
        <f t="shared" si="12"/>
        <v>100</v>
      </c>
      <c r="X45" s="719"/>
      <c r="Y45" s="3374"/>
      <c r="Z45" s="720">
        <f t="shared" si="13"/>
        <v>1.0551999999999999</v>
      </c>
      <c r="AA45" s="1537">
        <f t="shared" si="3"/>
        <v>1</v>
      </c>
      <c r="AB45" s="1537">
        <f t="shared" si="4"/>
        <v>1</v>
      </c>
      <c r="AC45" s="1537">
        <f t="shared" si="5"/>
        <v>1</v>
      </c>
    </row>
    <row r="46" spans="1:29" ht="15">
      <c r="A46" s="438" t="s">
        <v>2537</v>
      </c>
      <c r="B46" s="2168" t="s">
        <v>3153</v>
      </c>
      <c r="C46" s="638" t="s">
        <v>1</v>
      </c>
      <c r="D46" s="440"/>
      <c r="E46" s="441">
        <f>ROUND(B45*Sheet2!O6,0)</f>
        <v>4115</v>
      </c>
      <c r="F46" s="442"/>
      <c r="G46" s="443">
        <f>ROUND(B45*Sheet2!O10,0)</f>
        <v>3641</v>
      </c>
      <c r="H46" s="444"/>
      <c r="I46" s="441">
        <f>ROUND(B45*Sheet2!O14,0)</f>
        <v>2952</v>
      </c>
      <c r="J46" s="444"/>
      <c r="K46" s="723"/>
      <c r="L46" s="2953"/>
      <c r="M46" s="2954"/>
      <c r="N46" s="2945"/>
      <c r="O46" s="2954"/>
      <c r="P46" s="3369" t="str">
        <f>A46</f>
        <v>成交单价</v>
      </c>
      <c r="Q46" s="3369"/>
      <c r="R46" s="3375">
        <f>E46</f>
        <v>4115</v>
      </c>
      <c r="S46" s="3375"/>
      <c r="T46" s="3375">
        <f>G46</f>
        <v>3641</v>
      </c>
      <c r="U46" s="3375"/>
      <c r="V46" s="3375">
        <f>I46</f>
        <v>2952</v>
      </c>
      <c r="W46" s="3375"/>
      <c r="X46" s="699"/>
      <c r="Y46" s="721"/>
      <c r="Z46" s="699"/>
      <c r="AA46" s="699"/>
      <c r="AB46" s="699"/>
      <c r="AC46" s="699"/>
    </row>
    <row r="47" spans="1:29" ht="15.75" thickBot="1">
      <c r="A47" s="445" t="s">
        <v>2486</v>
      </c>
      <c r="B47" s="639"/>
      <c r="C47" s="448">
        <f>R48</f>
        <v>3514</v>
      </c>
      <c r="D47" s="2538" t="s">
        <v>2876</v>
      </c>
      <c r="E47" s="448">
        <f>R47</f>
        <v>4012</v>
      </c>
      <c r="F47" s="2539"/>
      <c r="G47" s="447">
        <f>T47</f>
        <v>3638</v>
      </c>
      <c r="H47" s="2539"/>
      <c r="I47" s="448">
        <f>V47</f>
        <v>2891</v>
      </c>
      <c r="J47" s="2539"/>
      <c r="K47" s="2541">
        <f>F47+H47+J47</f>
        <v>0</v>
      </c>
      <c r="L47" s="2953"/>
      <c r="M47" s="2954"/>
      <c r="N47" s="2954"/>
      <c r="O47" s="2954"/>
      <c r="P47" s="3369" t="str">
        <f>A47</f>
        <v>比较价值（元/平方米）</v>
      </c>
      <c r="Q47" s="3369"/>
      <c r="R47" s="3362">
        <f>ROUND(PRODUCT(R46,AA7:AA45),0)</f>
        <v>4012</v>
      </c>
      <c r="S47" s="3362"/>
      <c r="T47" s="3362">
        <f>ROUND(PRODUCT(T46,AB7:AB45),0)</f>
        <v>3638</v>
      </c>
      <c r="U47" s="3362"/>
      <c r="V47" s="3362">
        <f>ROUND(PRODUCT(V46,AC7:AC45),0)</f>
        <v>2891</v>
      </c>
      <c r="W47" s="3362"/>
      <c r="X47" s="699"/>
      <c r="Y47" s="699"/>
      <c r="Z47" s="699"/>
      <c r="AA47" s="699"/>
      <c r="AB47" s="699"/>
      <c r="AC47" s="699"/>
    </row>
    <row r="48" spans="1:29" ht="15.75" thickBot="1">
      <c r="A48" s="449" t="s">
        <v>2573</v>
      </c>
      <c r="B48" s="450"/>
      <c r="C48" s="451">
        <f>R48</f>
        <v>3514</v>
      </c>
      <c r="D48" s="451"/>
      <c r="E48" s="451"/>
      <c r="F48" s="451"/>
      <c r="G48" s="451"/>
      <c r="H48" s="451"/>
      <c r="I48" s="451"/>
      <c r="J48" s="451"/>
      <c r="K48" s="724"/>
      <c r="L48" s="2953"/>
      <c r="M48" s="2954"/>
      <c r="N48" s="2954"/>
      <c r="O48" s="2954"/>
      <c r="P48" s="3363" t="str">
        <f>A48</f>
        <v>估价对象XX用房的比较价值（楼面单价，元/平方米）</v>
      </c>
      <c r="Q48" s="3364"/>
      <c r="R48" s="3365">
        <f>ROUND(IF(D47="简单平均",AVERAGE(R47:W47),R47*F47+T47*H47+V47*J47),0)</f>
        <v>3514</v>
      </c>
      <c r="S48" s="3365"/>
      <c r="T48" s="3365"/>
      <c r="U48" s="3365"/>
      <c r="V48" s="3365"/>
      <c r="W48" s="3365"/>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2488</v>
      </c>
      <c r="D51" s="455"/>
      <c r="E51" s="456">
        <f>IF(E46&lt;E47,E47/E46-1,E46/E47-1)</f>
        <v>2.5672981056829469E-2</v>
      </c>
      <c r="F51" s="457" t="str">
        <f>IF(OR(E51&gt;=0.3,E51&lt;=-0.3),"超过30%","")</f>
        <v/>
      </c>
      <c r="G51" s="456">
        <f>IF(G46&lt;G47,G47/G46-1,G46/G47-1)</f>
        <v>8.2462891698731333E-4</v>
      </c>
      <c r="H51" s="457" t="str">
        <f>IF(OR(G51&gt;=0.3,G51&lt;=-0.3),"超过30%","")</f>
        <v/>
      </c>
      <c r="I51" s="456">
        <f>IF(I46&lt;I47,I47/I46-1,I46/I47-1)</f>
        <v>2.1099965409892674E-2</v>
      </c>
      <c r="J51" s="457" t="str">
        <f>IF(OR(I51&gt;=0.3,I51&lt;=-0.3),"超过30%","")</f>
        <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2489</v>
      </c>
      <c r="D52" s="458"/>
      <c r="E52" s="456">
        <f>IF(E47&lt;G47,G47/E47-1,E47/G47-1)</f>
        <v>0.10280373831775691</v>
      </c>
      <c r="F52" s="457" t="str">
        <f>IF(OR(E52&gt;=0.2,E52&lt;=-0.2),"超过20%","")</f>
        <v/>
      </c>
      <c r="G52" s="456">
        <f>IF(G47&lt;I47,I47/G47-1,G47/I47-1)</f>
        <v>0.25838810100311305</v>
      </c>
      <c r="H52" s="457" t="str">
        <f>IF(OR(G52&gt;=0.2,G52&lt;=-0.2),"超过20%","")</f>
        <v>超过20%</v>
      </c>
      <c r="I52" s="456">
        <f>IF(I47&lt;E47,E47/I47-1,I47/E47-1)</f>
        <v>0.38775510204081631</v>
      </c>
      <c r="J52" s="457" t="str">
        <f>IF(OR(I52&gt;=0.2,I52&lt;=-0.2),"超过20%","")</f>
        <v>超过20%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2490</v>
      </c>
      <c r="D53" s="458"/>
      <c r="E53" s="456">
        <f>IF(E46&lt;G46,G46/E46-1,E46/G46-1)</f>
        <v>0.13018401538038993</v>
      </c>
      <c r="F53" s="457" t="str">
        <f>IF(OR(E53&gt;=0.3,E53&lt;=-0.3),"超过30%","")</f>
        <v/>
      </c>
      <c r="G53" s="456">
        <f>IF(G46&lt;I46,I46/G46-1,G46/I46-1)</f>
        <v>0.23340108401084003</v>
      </c>
      <c r="H53" s="457" t="str">
        <f>IF(OR(G53&gt;=0.3,G53&lt;=-0.3),"超过30%","")</f>
        <v/>
      </c>
      <c r="I53" s="456">
        <f>IF(I46&lt;E46,E46/I46-1,I46/E46-1)</f>
        <v>0.39397018970189701</v>
      </c>
      <c r="J53" s="457" t="str">
        <f>IF(OR(I53&gt;=0.3,I53&lt;=-0.3),"超过30%","")</f>
        <v>超过30%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2574</v>
      </c>
      <c r="B55" s="641" t="s">
        <v>2575</v>
      </c>
      <c r="C55" s="2169" t="s">
        <v>2576</v>
      </c>
      <c r="D55" s="2170" t="s">
        <v>2577</v>
      </c>
      <c r="E55" s="642" t="s">
        <v>2578</v>
      </c>
      <c r="F55" s="1021" t="s">
        <v>2579</v>
      </c>
      <c r="G55" s="3366" t="s">
        <v>2580</v>
      </c>
      <c r="H55" s="3367"/>
      <c r="I55" s="140" t="s">
        <v>2581</v>
      </c>
      <c r="J55" s="2171">
        <f>项目基本情况!F35</f>
        <v>0</v>
      </c>
      <c r="K55" s="2172" t="s">
        <v>2582</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2583</v>
      </c>
      <c r="B56" s="645">
        <f>C48</f>
        <v>3514</v>
      </c>
      <c r="C56" s="646">
        <v>1</v>
      </c>
      <c r="D56" s="1075">
        <v>1</v>
      </c>
      <c r="E56" s="646">
        <f>'数据-汇总表'!E8+'数据-汇总表'!E9</f>
        <v>93605.4</v>
      </c>
      <c r="F56" s="1017">
        <f t="shared" ref="F56:F65" si="15">ROUND(B56*E56/10000,0)</f>
        <v>32893</v>
      </c>
      <c r="G56" s="3368"/>
      <c r="H56" s="3369"/>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2584</v>
      </c>
      <c r="B57" s="224">
        <f>ROUND($C$48*C57*D57,0)</f>
        <v>0</v>
      </c>
      <c r="C57" s="176">
        <f t="shared" ref="C57:C65" si="16">IF($C$55="北京市系数",I57,J57)</f>
        <v>0</v>
      </c>
      <c r="D57" s="1076">
        <v>0.25</v>
      </c>
      <c r="E57" s="650"/>
      <c r="F57" s="1017">
        <f t="shared" si="15"/>
        <v>0</v>
      </c>
      <c r="G57" s="3370" t="s">
        <v>2585</v>
      </c>
      <c r="H57" s="1018">
        <f>项目基本情况!B37</f>
        <v>0</v>
      </c>
      <c r="I57" s="1022">
        <f>SUMIF(修正!A45:A56,H57,修正!B45:B56)</f>
        <v>0</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2586</v>
      </c>
      <c r="B58" s="224">
        <f t="shared" ref="B58:B65" si="17">ROUND($C$48*C58*D58,0)</f>
        <v>0</v>
      </c>
      <c r="C58" s="176">
        <f t="shared" si="16"/>
        <v>0</v>
      </c>
      <c r="D58" s="1076">
        <v>0.25</v>
      </c>
      <c r="E58" s="650"/>
      <c r="F58" s="1017">
        <f t="shared" si="15"/>
        <v>0</v>
      </c>
      <c r="G58" s="3370"/>
      <c r="H58" s="1018">
        <f>项目基本情况!B37</f>
        <v>0</v>
      </c>
      <c r="I58" s="1022">
        <f>SUMIF(修正!A45:A56,H58,修正!C45:C56)</f>
        <v>0</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2587</v>
      </c>
      <c r="B59" s="224">
        <f t="shared" si="17"/>
        <v>0</v>
      </c>
      <c r="C59" s="176">
        <f t="shared" si="16"/>
        <v>0</v>
      </c>
      <c r="D59" s="1076">
        <v>0.25</v>
      </c>
      <c r="E59" s="650"/>
      <c r="F59" s="1017">
        <f t="shared" si="15"/>
        <v>0</v>
      </c>
      <c r="G59" s="3370"/>
      <c r="H59" s="1018">
        <f>项目基本情况!B37</f>
        <v>0</v>
      </c>
      <c r="I59" s="1022">
        <f>SUMIF(修正!A45:A56,H59,修正!D45:D56)</f>
        <v>0</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2588</v>
      </c>
      <c r="B60" s="224">
        <f t="shared" si="17"/>
        <v>0</v>
      </c>
      <c r="C60" s="176">
        <f t="shared" si="16"/>
        <v>0</v>
      </c>
      <c r="D60" s="1076">
        <v>0.25</v>
      </c>
      <c r="E60" s="650"/>
      <c r="F60" s="1017">
        <f t="shared" si="15"/>
        <v>0</v>
      </c>
      <c r="G60" s="3370"/>
      <c r="H60" s="1018">
        <f>项目基本情况!B37</f>
        <v>0</v>
      </c>
      <c r="I60" s="1022">
        <f>SUMIF(修正!A45:A56,H60,修正!E45:E56)</f>
        <v>0</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2589</v>
      </c>
      <c r="B61" s="224">
        <f t="shared" si="17"/>
        <v>0</v>
      </c>
      <c r="C61" s="176">
        <f t="shared" si="16"/>
        <v>0</v>
      </c>
      <c r="D61" s="1076">
        <v>0.25</v>
      </c>
      <c r="E61" s="223">
        <f>'数据-汇总表'!E11</f>
        <v>0</v>
      </c>
      <c r="F61" s="1017">
        <f t="shared" si="15"/>
        <v>0</v>
      </c>
      <c r="G61" s="2173" t="s">
        <v>2590</v>
      </c>
      <c r="H61" s="1018">
        <f>项目基本情况!C37</f>
        <v>0</v>
      </c>
      <c r="I61" s="1022">
        <f>SUMIF(修正!A45:A56,H61,修正!F45:F56)</f>
        <v>0</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2591</v>
      </c>
      <c r="B62" s="224">
        <f t="shared" si="17"/>
        <v>0</v>
      </c>
      <c r="C62" s="176">
        <f t="shared" si="16"/>
        <v>0</v>
      </c>
      <c r="D62" s="1076">
        <v>0.25</v>
      </c>
      <c r="E62" s="223">
        <f>'数据-汇总表'!E12</f>
        <v>0</v>
      </c>
      <c r="F62" s="1017">
        <f t="shared" si="15"/>
        <v>0</v>
      </c>
      <c r="G62" s="1023" t="s">
        <v>2592</v>
      </c>
      <c r="H62" s="1018">
        <f>IF(G62="商业",项目基本情况!B37,IF(G62="办公",项目基本情况!C37,IF(G62="住宅",项目基本情况!D37,项目基本情况!E37)))</f>
        <v>0</v>
      </c>
      <c r="I62" s="1022">
        <f>SUMIF(修正!A45:A56,H62,修正!G45:G56)</f>
        <v>0</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2593</v>
      </c>
      <c r="B63" s="224">
        <f t="shared" si="17"/>
        <v>0</v>
      </c>
      <c r="C63" s="176">
        <f t="shared" si="16"/>
        <v>0</v>
      </c>
      <c r="D63" s="1076">
        <v>0.25</v>
      </c>
      <c r="E63" s="223">
        <f>'数据-汇总表'!E13</f>
        <v>0</v>
      </c>
      <c r="F63" s="1017">
        <f t="shared" si="15"/>
        <v>0</v>
      </c>
      <c r="G63" s="1023" t="s">
        <v>2594</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2595</v>
      </c>
      <c r="B64" s="224">
        <f t="shared" si="17"/>
        <v>0</v>
      </c>
      <c r="C64" s="176">
        <f t="shared" si="16"/>
        <v>0</v>
      </c>
      <c r="D64" s="1076">
        <v>0.25</v>
      </c>
      <c r="E64" s="223">
        <f>'数据-汇总表'!E14</f>
        <v>0</v>
      </c>
      <c r="F64" s="1017">
        <f t="shared" si="15"/>
        <v>0</v>
      </c>
      <c r="G64" s="2173" t="s">
        <v>2585</v>
      </c>
      <c r="H64" s="1018">
        <f>项目基本情况!B37</f>
        <v>0</v>
      </c>
      <c r="I64" s="1022">
        <f>SUMIF(修正!A45:A56,H64,修正!H45:H56)</f>
        <v>0</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2596</v>
      </c>
      <c r="B65" s="224">
        <f t="shared" si="17"/>
        <v>0</v>
      </c>
      <c r="C65" s="176">
        <f t="shared" si="16"/>
        <v>0</v>
      </c>
      <c r="D65" s="1076">
        <v>0.25</v>
      </c>
      <c r="E65" s="223">
        <f>'数据-汇总表'!E15</f>
        <v>0</v>
      </c>
      <c r="F65" s="1017">
        <f t="shared" si="15"/>
        <v>0</v>
      </c>
      <c r="G65" s="2174" t="s">
        <v>2590</v>
      </c>
      <c r="H65" s="1028">
        <f>项目基本情况!C37</f>
        <v>0</v>
      </c>
      <c r="I65" s="1024">
        <f>SUMIF(修正!A45:A56,H65,修正!H45:H56)</f>
        <v>0</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2597</v>
      </c>
      <c r="B66" s="652" t="s">
        <v>28</v>
      </c>
      <c r="C66" s="652" t="s">
        <v>29</v>
      </c>
      <c r="D66" s="652" t="s">
        <v>997</v>
      </c>
      <c r="E66" s="652">
        <f>IF(B46="楼面地价",SUM(E56:E65),'数据-汇总表'!D3)</f>
        <v>131807</v>
      </c>
      <c r="F66" s="653">
        <f>IF(B46="楼面地价",SUM(F56:F65),ROUND(C48*E66/10000,0))</f>
        <v>46317</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2021-12-1</v>
      </c>
      <c r="D68" s="701">
        <f>EDATE(C68,-3)</f>
        <v>44440</v>
      </c>
      <c r="E68" s="701">
        <f>EDATE(D68,-3)</f>
        <v>44348</v>
      </c>
      <c r="F68" s="701">
        <f t="shared" ref="F68:O68" si="18">EDATE(E68,-3)</f>
        <v>44256</v>
      </c>
      <c r="G68" s="701">
        <f t="shared" si="18"/>
        <v>44166</v>
      </c>
      <c r="H68" s="701">
        <f t="shared" si="18"/>
        <v>44075</v>
      </c>
      <c r="I68" s="701">
        <f t="shared" si="18"/>
        <v>43983</v>
      </c>
      <c r="J68" s="701">
        <f t="shared" si="18"/>
        <v>43891</v>
      </c>
      <c r="K68" s="701">
        <f t="shared" si="18"/>
        <v>43800</v>
      </c>
      <c r="L68" s="701">
        <f t="shared" si="18"/>
        <v>43709</v>
      </c>
      <c r="M68" s="701">
        <f t="shared" si="18"/>
        <v>43617</v>
      </c>
      <c r="N68" s="701">
        <f t="shared" si="18"/>
        <v>43525</v>
      </c>
      <c r="O68" s="701">
        <f t="shared" si="18"/>
        <v>43435</v>
      </c>
      <c r="P68" s="2954"/>
      <c r="Q68" s="2954"/>
      <c r="R68" s="2954"/>
      <c r="S68" s="2954"/>
      <c r="T68" s="2954"/>
      <c r="U68" s="2954"/>
      <c r="V68" s="2954"/>
      <c r="W68" s="2954"/>
      <c r="X68" s="2954"/>
      <c r="Y68" s="2954"/>
      <c r="Z68" s="2954"/>
      <c r="AA68" s="2954"/>
      <c r="AB68" s="2954"/>
      <c r="AC68" s="2954"/>
    </row>
    <row r="69" spans="1:29" ht="21.75" thickBot="1">
      <c r="A69" s="703" t="s">
        <v>2491</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5" t="s">
        <v>2598</v>
      </c>
      <c r="B70" s="1269"/>
      <c r="C70" s="1344" t="str">
        <f>YEAR(C68)&amp;"-"&amp;ROUNDUP(MONTH(C68)/3,0)</f>
        <v>2021-4</v>
      </c>
      <c r="D70" s="1344" t="str">
        <f>YEAR(D68)&amp;"-"&amp;ROUNDUP(MONTH(D68)/3,0)</f>
        <v>2021-3</v>
      </c>
      <c r="E70" s="1344" t="str">
        <f t="shared" ref="E70:O70" si="19">YEAR(E68)&amp;"-"&amp;ROUNDUP(MONTH(E68)/3,0)</f>
        <v>2021-2</v>
      </c>
      <c r="F70" s="1344" t="str">
        <f t="shared" si="19"/>
        <v>2021-1</v>
      </c>
      <c r="G70" s="1344" t="str">
        <f t="shared" si="19"/>
        <v>2020-4</v>
      </c>
      <c r="H70" s="1344" t="str">
        <f t="shared" si="19"/>
        <v>2020-3</v>
      </c>
      <c r="I70" s="1344" t="str">
        <f t="shared" si="19"/>
        <v>2020-2</v>
      </c>
      <c r="J70" s="1344" t="str">
        <f t="shared" si="19"/>
        <v>2020-1</v>
      </c>
      <c r="K70" s="1344" t="str">
        <f t="shared" si="19"/>
        <v>2019-4</v>
      </c>
      <c r="L70" s="1344" t="str">
        <f t="shared" si="19"/>
        <v>2019-3</v>
      </c>
      <c r="M70" s="1344" t="str">
        <f t="shared" si="19"/>
        <v>2019-2</v>
      </c>
      <c r="N70" s="1344" t="str">
        <f t="shared" si="19"/>
        <v>2019-1</v>
      </c>
      <c r="O70" s="1344" t="str">
        <f t="shared" si="19"/>
        <v>2018-4</v>
      </c>
      <c r="P70" s="3005"/>
      <c r="Q70" s="2970"/>
      <c r="R70" s="2970"/>
      <c r="S70" s="2970"/>
      <c r="T70" s="2970"/>
      <c r="U70" s="2970"/>
      <c r="V70" s="2970"/>
      <c r="W70" s="2970"/>
      <c r="X70" s="2970"/>
      <c r="Y70" s="2970"/>
      <c r="Z70" s="2970"/>
      <c r="AA70" s="2970"/>
      <c r="AB70" s="2970"/>
      <c r="AC70" s="2970"/>
    </row>
    <row r="71" spans="1:29" s="113" customFormat="1" ht="30" customHeight="1">
      <c r="A71" s="2176" t="s">
        <v>2599</v>
      </c>
      <c r="B71" s="294" t="str">
        <f>"北京市平均增长率"&amp;TEXT(SUMIF(基准地价修正!N21:N25,A71,基准地价修正!P21:P25),"0.00%")</f>
        <v>北京市平均增长率1.83%</v>
      </c>
      <c r="C71" s="560">
        <v>100</v>
      </c>
      <c r="D71" s="552">
        <v>99.5</v>
      </c>
      <c r="E71" s="552">
        <v>99</v>
      </c>
      <c r="F71" s="552">
        <v>98.5</v>
      </c>
      <c r="G71" s="552">
        <v>98</v>
      </c>
      <c r="H71" s="552">
        <v>97.5</v>
      </c>
      <c r="I71" s="552">
        <v>97</v>
      </c>
      <c r="J71" s="552">
        <v>96.5</v>
      </c>
      <c r="K71" s="552">
        <v>96</v>
      </c>
      <c r="L71" s="552">
        <v>95.5</v>
      </c>
      <c r="M71" s="552">
        <v>95</v>
      </c>
      <c r="N71" s="552">
        <v>94.5</v>
      </c>
      <c r="O71" s="1341"/>
      <c r="P71" s="2968"/>
      <c r="Q71" s="2888"/>
      <c r="R71" s="2888"/>
      <c r="S71" s="2888"/>
      <c r="T71" s="2888"/>
      <c r="U71" s="2888"/>
      <c r="V71" s="2888"/>
      <c r="W71" s="2888"/>
      <c r="X71" s="2888"/>
      <c r="Y71" s="2888"/>
      <c r="Z71" s="2888"/>
      <c r="AA71" s="2888"/>
      <c r="AB71" s="2888"/>
      <c r="AC71" s="2888"/>
    </row>
    <row r="72" spans="1:29" s="113" customFormat="1" ht="15.75" thickBot="1">
      <c r="A72" s="472" t="s">
        <v>2402</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2367</v>
      </c>
      <c r="B73" s="467"/>
      <c r="C73" s="479" t="s">
        <v>2469</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2405</v>
      </c>
      <c r="B75" s="485" t="s">
        <v>2371</v>
      </c>
      <c r="C75" s="3164" t="s">
        <v>3517</v>
      </c>
      <c r="D75" s="3164" t="s">
        <v>3516</v>
      </c>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v>100</v>
      </c>
      <c r="D76" s="493">
        <v>95</v>
      </c>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2374</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2375</v>
      </c>
      <c r="C79" s="504" t="str">
        <f>C80&amp;"（含）"&amp;"-"&amp;D80</f>
        <v>0（含）-1</v>
      </c>
      <c r="D79" s="504" t="str">
        <f t="shared" ref="D79:L79" si="20">D80&amp;"（含）"&amp;"-"&amp;E80</f>
        <v>1（含）-2</v>
      </c>
      <c r="E79" s="504" t="str">
        <f t="shared" si="20"/>
        <v>2（含）-3</v>
      </c>
      <c r="F79" s="504" t="str">
        <f t="shared" si="20"/>
        <v>3（含）-4</v>
      </c>
      <c r="G79" s="504" t="str">
        <f t="shared" si="20"/>
        <v>4（含）-5</v>
      </c>
      <c r="H79" s="504" t="str">
        <f t="shared" si="20"/>
        <v>5（含）-6</v>
      </c>
      <c r="I79" s="504" t="str">
        <f t="shared" si="20"/>
        <v>6（含）-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v>0</v>
      </c>
      <c r="D80" s="506">
        <v>1</v>
      </c>
      <c r="E80" s="506">
        <v>2</v>
      </c>
      <c r="F80" s="506">
        <v>3</v>
      </c>
      <c r="G80" s="506">
        <v>4</v>
      </c>
      <c r="H80" s="506">
        <v>5</v>
      </c>
      <c r="I80" s="506">
        <v>6</v>
      </c>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102</v>
      </c>
      <c r="E81" s="501">
        <f t="shared" si="21"/>
        <v>104</v>
      </c>
      <c r="F81" s="501">
        <f t="shared" si="21"/>
        <v>106</v>
      </c>
      <c r="G81" s="501">
        <f t="shared" si="21"/>
        <v>108</v>
      </c>
      <c r="H81" s="501">
        <f t="shared" si="21"/>
        <v>110</v>
      </c>
      <c r="I81" s="501">
        <f t="shared" si="21"/>
        <v>112</v>
      </c>
      <c r="J81" s="501">
        <f t="shared" si="21"/>
        <v>114</v>
      </c>
      <c r="K81" s="501">
        <f t="shared" si="21"/>
        <v>116</v>
      </c>
      <c r="L81" s="501">
        <f t="shared" si="21"/>
        <v>118</v>
      </c>
      <c r="M81" s="501">
        <f t="shared" si="21"/>
        <v>120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2376</v>
      </c>
      <c r="B88" s="485" t="s">
        <v>2413</v>
      </c>
      <c r="C88" s="530" t="s">
        <v>2414</v>
      </c>
      <c r="D88" s="530" t="s">
        <v>2415</v>
      </c>
      <c r="E88" s="530" t="s">
        <v>2416</v>
      </c>
      <c r="F88" s="530" t="s">
        <v>2417</v>
      </c>
      <c r="G88" s="530" t="s">
        <v>2418</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2600</v>
      </c>
      <c r="C90" s="535" t="s">
        <v>2414</v>
      </c>
      <c r="D90" s="535" t="s">
        <v>2415</v>
      </c>
      <c r="E90" s="535" t="s">
        <v>2416</v>
      </c>
      <c r="F90" s="535" t="s">
        <v>2417</v>
      </c>
      <c r="G90" s="535" t="s">
        <v>2418</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2514</v>
      </c>
      <c r="C92" s="535" t="s">
        <v>2414</v>
      </c>
      <c r="D92" s="535" t="s">
        <v>2415</v>
      </c>
      <c r="E92" s="535" t="s">
        <v>2416</v>
      </c>
      <c r="F92" s="535" t="s">
        <v>2417</v>
      </c>
      <c r="G92" s="535" t="s">
        <v>2418</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2419</v>
      </c>
      <c r="C94" s="535" t="s">
        <v>2414</v>
      </c>
      <c r="D94" s="535" t="s">
        <v>2415</v>
      </c>
      <c r="E94" s="535" t="s">
        <v>2416</v>
      </c>
      <c r="F94" s="535" t="s">
        <v>2417</v>
      </c>
      <c r="G94" s="535" t="s">
        <v>2418</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2601</v>
      </c>
      <c r="C96" s="535" t="s">
        <v>2414</v>
      </c>
      <c r="D96" s="535" t="s">
        <v>2415</v>
      </c>
      <c r="E96" s="535" t="s">
        <v>2416</v>
      </c>
      <c r="F96" s="535" t="s">
        <v>2417</v>
      </c>
      <c r="G96" s="535" t="s">
        <v>2418</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2602</v>
      </c>
      <c r="C98" s="530" t="s">
        <v>2414</v>
      </c>
      <c r="D98" s="530" t="s">
        <v>2415</v>
      </c>
      <c r="E98" s="530" t="s">
        <v>2416</v>
      </c>
      <c r="F98" s="530" t="s">
        <v>2417</v>
      </c>
      <c r="G98" s="530" t="s">
        <v>2418</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2471</v>
      </c>
      <c r="C100" s="530" t="s">
        <v>2414</v>
      </c>
      <c r="D100" s="530" t="s">
        <v>2415</v>
      </c>
      <c r="E100" s="530" t="s">
        <v>2416</v>
      </c>
      <c r="F100" s="530" t="s">
        <v>2417</v>
      </c>
      <c r="G100" s="530" t="s">
        <v>2418</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2472</v>
      </c>
      <c r="C102" s="616" t="s">
        <v>2492</v>
      </c>
      <c r="D102" s="616" t="s">
        <v>2493</v>
      </c>
      <c r="E102" s="616" t="s">
        <v>2494</v>
      </c>
      <c r="F102" s="616" t="s">
        <v>2495</v>
      </c>
      <c r="G102" s="616" t="s">
        <v>2496</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2603</v>
      </c>
      <c r="D104" s="496" t="s">
        <v>2604</v>
      </c>
      <c r="E104" s="496" t="s">
        <v>2605</v>
      </c>
      <c r="F104" s="496" t="s">
        <v>2606</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2508</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2567</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ht="28.5">
      <c r="A116" s="484" t="s">
        <v>2380</v>
      </c>
      <c r="B116" s="485" t="s">
        <v>2607</v>
      </c>
      <c r="C116" s="486" t="str">
        <f>C117&amp;"(含)"&amp;"-"&amp;D117</f>
        <v>0(含)-50000</v>
      </c>
      <c r="D116" s="486" t="str">
        <f t="shared" ref="D116:M116" si="25">D117&amp;"(含)"&amp;"-"&amp;E117</f>
        <v>50000(含)-100000</v>
      </c>
      <c r="E116" s="486" t="str">
        <f t="shared" si="25"/>
        <v>100000(含)-150000</v>
      </c>
      <c r="F116" s="486" t="str">
        <f t="shared" si="25"/>
        <v>150000(含)-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v>0</v>
      </c>
      <c r="D117" s="552">
        <v>50000</v>
      </c>
      <c r="E117" s="552">
        <v>100000</v>
      </c>
      <c r="F117" s="552">
        <v>150000</v>
      </c>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v>100</v>
      </c>
      <c r="D118" s="548">
        <v>102</v>
      </c>
      <c r="E118" s="548">
        <v>104</v>
      </c>
      <c r="F118" s="548">
        <v>106</v>
      </c>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2608</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2609</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2610</v>
      </c>
      <c r="C123" s="3167" t="s">
        <v>3523</v>
      </c>
      <c r="D123" s="3167" t="s">
        <v>3524</v>
      </c>
      <c r="E123" s="3167" t="s">
        <v>3522</v>
      </c>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98</v>
      </c>
      <c r="E124" s="501">
        <f t="shared" ref="E124:M124" si="28">D124-$K41</f>
        <v>96</v>
      </c>
      <c r="F124" s="501">
        <f t="shared" si="28"/>
        <v>94</v>
      </c>
      <c r="G124" s="501">
        <f t="shared" si="28"/>
        <v>92</v>
      </c>
      <c r="H124" s="501">
        <f t="shared" si="28"/>
        <v>90</v>
      </c>
      <c r="I124" s="501">
        <f t="shared" si="28"/>
        <v>88</v>
      </c>
      <c r="J124" s="501">
        <f t="shared" si="28"/>
        <v>86</v>
      </c>
      <c r="K124" s="501">
        <f t="shared" si="28"/>
        <v>84</v>
      </c>
      <c r="L124" s="501">
        <f t="shared" si="28"/>
        <v>82</v>
      </c>
      <c r="M124" s="502">
        <f t="shared" si="28"/>
        <v>80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2611</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1.0551999999999999</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0" priority="18" stopIfTrue="1" operator="containsText" text="超过">
      <formula>NOT(ISERROR(SEARCH("超过",F51)))</formula>
    </cfRule>
  </conditionalFormatting>
  <conditionalFormatting sqref="J53">
    <cfRule type="containsText" dxfId="179" priority="17" stopIfTrue="1" operator="containsText" text="超过">
      <formula>NOT(ISERROR(SEARCH("超过",J53)))</formula>
    </cfRule>
  </conditionalFormatting>
  <conditionalFormatting sqref="H53">
    <cfRule type="containsText" dxfId="178" priority="16" stopIfTrue="1" operator="containsText" text="超过">
      <formula>NOT(ISERROR(SEARCH("超过",H53)))</formula>
    </cfRule>
  </conditionalFormatting>
  <conditionalFormatting sqref="F53">
    <cfRule type="containsText" dxfId="177" priority="15" stopIfTrue="1" operator="containsText" text="超过">
      <formula>NOT(ISERROR(SEARCH("超过",F53)))</formula>
    </cfRule>
  </conditionalFormatting>
  <conditionalFormatting sqref="F52 H52 J52">
    <cfRule type="containsText" dxfId="176" priority="14" stopIfTrue="1" operator="containsText" text="超过">
      <formula>NOT(ISERROR(SEARCH("超过",F52)))</formula>
    </cfRule>
  </conditionalFormatting>
  <conditionalFormatting sqref="E51">
    <cfRule type="expression" dxfId="175" priority="13" stopIfTrue="1">
      <formula>$F$51="超过30%"</formula>
    </cfRule>
  </conditionalFormatting>
  <conditionalFormatting sqref="G53">
    <cfRule type="expression" dxfId="174" priority="12" stopIfTrue="1">
      <formula>$H$53="超过30%"</formula>
    </cfRule>
  </conditionalFormatting>
  <conditionalFormatting sqref="E52">
    <cfRule type="expression" dxfId="173" priority="11" stopIfTrue="1">
      <formula>$F$52="超过20%"</formula>
    </cfRule>
  </conditionalFormatting>
  <conditionalFormatting sqref="E53">
    <cfRule type="expression" dxfId="172" priority="10" stopIfTrue="1">
      <formula>$F$53="超过30%"</formula>
    </cfRule>
  </conditionalFormatting>
  <conditionalFormatting sqref="G51">
    <cfRule type="expression" dxfId="171" priority="9" stopIfTrue="1">
      <formula>$H$53+$H$51="超过30%"</formula>
    </cfRule>
  </conditionalFormatting>
  <conditionalFormatting sqref="G52">
    <cfRule type="expression" dxfId="170" priority="8" stopIfTrue="1">
      <formula>$H$52="超过20%"</formula>
    </cfRule>
  </conditionalFormatting>
  <conditionalFormatting sqref="I51">
    <cfRule type="expression" dxfId="169" priority="7" stopIfTrue="1">
      <formula>$J$51="超过30%"</formula>
    </cfRule>
  </conditionalFormatting>
  <conditionalFormatting sqref="I52">
    <cfRule type="expression" dxfId="168" priority="6" stopIfTrue="1">
      <formula>$J$52="超过20%"</formula>
    </cfRule>
  </conditionalFormatting>
  <conditionalFormatting sqref="I53">
    <cfRule type="expression" dxfId="167" priority="5" stopIfTrue="1">
      <formula>$J$53="超过30%"</formula>
    </cfRule>
  </conditionalFormatting>
  <conditionalFormatting sqref="F47">
    <cfRule type="expression" dxfId="166" priority="4">
      <formula>$D$47="简单平均"</formula>
    </cfRule>
  </conditionalFormatting>
  <conditionalFormatting sqref="H47">
    <cfRule type="expression" dxfId="165" priority="3">
      <formula>$D$47="简单平均"</formula>
    </cfRule>
  </conditionalFormatting>
  <conditionalFormatting sqref="J47">
    <cfRule type="expression" dxfId="164" priority="2">
      <formula>$D$47="简单平均"</formula>
    </cfRule>
  </conditionalFormatting>
  <conditionalFormatting sqref="F7:F45 H7:H45 J7:J45">
    <cfRule type="cellIs" dxfId="163" priority="1" operator="notEqual">
      <formula>100</formula>
    </cfRule>
  </conditionalFormatting>
  <dataValidations count="25">
    <dataValidation type="list" allowBlank="1" showInputMessage="1" showErrorMessage="1" sqref="C25" xr:uid="{00000000-0002-0000-1600-000000000000}">
      <formula1>住宅朝向</formula1>
    </dataValidation>
    <dataValidation type="list" allowBlank="1" showInputMessage="1" showErrorMessage="1" sqref="E28 C28 G28 I28" xr:uid="{00000000-0002-0000-1600-000001000000}">
      <formula1>公共配套设施</formula1>
    </dataValidation>
    <dataValidation type="list" allowBlank="1" showInputMessage="1" showErrorMessage="1" sqref="E22 C22 G22 I22" xr:uid="{00000000-0002-0000-1600-000002000000}">
      <formula1>交通便捷度</formula1>
    </dataValidation>
    <dataValidation type="list" allowBlank="1" showInputMessage="1" showErrorMessage="1" sqref="E16 G16 I16 C16" xr:uid="{00000000-0002-0000-1600-000003000000}">
      <formula1>居住社区成熟度</formula1>
    </dataValidation>
    <dataValidation type="list" allowBlank="1" showInputMessage="1" showErrorMessage="1" sqref="C26 E26 G26 I26" xr:uid="{00000000-0002-0000-1600-000004000000}">
      <formula1>环境</formula1>
    </dataValidation>
    <dataValidation type="list" allowBlank="1" showInputMessage="1" showErrorMessage="1" sqref="B46" xr:uid="{00000000-0002-0000-1600-000005000000}">
      <formula1>单价内涵</formula1>
    </dataValidation>
    <dataValidation type="list" allowBlank="1" showInputMessage="1" showErrorMessage="1" sqref="C8 E8 G8 I8" xr:uid="{00000000-0002-0000-1600-000006000000}">
      <formula1>套综交易情况</formula1>
    </dataValidation>
    <dataValidation type="list" allowBlank="1" showInputMessage="1" showErrorMessage="1" sqref="C9 E9 G9 I9" xr:uid="{00000000-0002-0000-1600-000007000000}">
      <formula1>套综用途</formula1>
    </dataValidation>
    <dataValidation type="list" allowBlank="1" showInputMessage="1" showErrorMessage="1" sqref="E18 C18 G18 I18" xr:uid="{00000000-0002-0000-1600-000008000000}">
      <formula1>商业繁华度</formula1>
    </dataValidation>
    <dataValidation type="list" allowBlank="1" showInputMessage="1" showErrorMessage="1" sqref="E20 C20 G20 I20" xr:uid="{00000000-0002-0000-1600-000009000000}">
      <formula1>办公集聚程度</formula1>
    </dataValidation>
    <dataValidation type="list" allowBlank="1" showInputMessage="1" showErrorMessage="1" sqref="C33 E33 G33 I33" xr:uid="{00000000-0002-0000-1600-00000A000000}">
      <formula1>套综道路等级</formula1>
    </dataValidation>
    <dataValidation type="list" allowBlank="1" showInputMessage="1" showErrorMessage="1" sqref="C34 E34 G34 I34" xr:uid="{00000000-0002-0000-1600-00000B000000}">
      <formula1>套综土地级别</formula1>
    </dataValidation>
    <dataValidation type="list" allowBlank="1" showInputMessage="1" showErrorMessage="1" sqref="C39 E39 G39 I39" xr:uid="{00000000-0002-0000-1600-00000C000000}">
      <formula1>套综宗地形状</formula1>
    </dataValidation>
    <dataValidation type="list" allowBlank="1" showInputMessage="1" showErrorMessage="1" sqref="C40 E40 G40 I40" xr:uid="{00000000-0002-0000-1600-00000D000000}">
      <formula1>套综临街宽度及深度</formula1>
    </dataValidation>
    <dataValidation type="list" allowBlank="1" showInputMessage="1" showErrorMessage="1" sqref="C41 E41 G41 I41" xr:uid="{00000000-0002-0000-1600-00000E000000}">
      <formula1>套综宗地内开发程度</formula1>
    </dataValidation>
    <dataValidation type="list" allowBlank="1" showInputMessage="1" showErrorMessage="1" sqref="C42 E42 G42 I42" xr:uid="{00000000-0002-0000-1600-00000F000000}">
      <formula1>套综工程地质条件</formula1>
    </dataValidation>
    <dataValidation type="list" allowBlank="1" showInputMessage="1" showErrorMessage="1" sqref="C31 E31 G31 I31" xr:uid="{00000000-0002-0000-1600-000010000000}">
      <formula1>临街状况</formula1>
    </dataValidation>
    <dataValidation type="list" allowBlank="1" showInputMessage="1" showErrorMessage="1" sqref="E24 G24 I24 C24" xr:uid="{00000000-0002-0000-1600-000011000000}">
      <formula1>区域土地利用方向</formula1>
    </dataValidation>
    <dataValidation type="list" allowBlank="1" showInputMessage="1" showErrorMessage="1" sqref="C55" xr:uid="{00000000-0002-0000-1600-000012000000}">
      <formula1>"北京市系数,其他省市系数"</formula1>
    </dataValidation>
    <dataValidation type="list" allowBlank="1" showInputMessage="1" showErrorMessage="1" sqref="G62" xr:uid="{00000000-0002-0000-1600-000013000000}">
      <formula1>"商业,办公,住宅,工业"</formula1>
    </dataValidation>
    <dataValidation type="list" allowBlank="1" showInputMessage="1" showErrorMessage="1" sqref="G63" xr:uid="{00000000-0002-0000-1600-000014000000}">
      <formula1>"住宅,工业"</formula1>
    </dataValidation>
    <dataValidation type="list" allowBlank="1" showInputMessage="1" showErrorMessage="1" sqref="D57:D65" xr:uid="{00000000-0002-0000-1600-000015000000}">
      <formula1>"25%,1"</formula1>
    </dataValidation>
    <dataValidation type="list" allowBlank="1" showInputMessage="1" showErrorMessage="1" sqref="C30 E30 G30 I30" xr:uid="{00000000-0002-0000-1600-000016000000}">
      <formula1>基础设施水平</formula1>
    </dataValidation>
    <dataValidation type="list" allowBlank="1" showInputMessage="1" showErrorMessage="1" sqref="A71" xr:uid="{00000000-0002-0000-1600-000017000000}">
      <formula1>"综合,商业,办公,住宅"</formula1>
    </dataValidation>
    <dataValidation type="list" allowBlank="1" showInputMessage="1" showErrorMessage="1" sqref="D47" xr:uid="{00000000-0002-0000-1600-000018000000}">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1550</v>
      </c>
      <c r="B1" s="722"/>
      <c r="C1" s="1563" t="s">
        <v>1008</v>
      </c>
      <c r="D1" s="1546" t="s">
        <v>70</v>
      </c>
      <c r="E1" s="1547" t="s">
        <v>1348</v>
      </c>
      <c r="F1" s="1193">
        <f ca="1">J53</f>
        <v>42.08</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1476</v>
      </c>
      <c r="B2" s="1570">
        <f ca="1">C40+J29+L46</f>
        <v>14593</v>
      </c>
      <c r="C2" s="1571" t="s">
        <v>1477</v>
      </c>
      <c r="D2" s="1571"/>
      <c r="E2" s="1572"/>
      <c r="F2" s="1573"/>
      <c r="G2" s="2935"/>
      <c r="H2" s="2924"/>
      <c r="I2" s="2924"/>
      <c r="J2" s="2924"/>
      <c r="K2" s="2925"/>
      <c r="L2" s="2924"/>
      <c r="M2" s="2924"/>
    </row>
    <row r="3" spans="1:37" ht="18" customHeight="1" thickBot="1">
      <c r="A3" s="1574" t="s">
        <v>1478</v>
      </c>
      <c r="B3" s="1575">
        <f ca="1">IF(ISERROR(B2*10000/F43),0,ROUND(B2*10000/F43,0))</f>
        <v>3232</v>
      </c>
      <c r="C3" s="1571" t="s">
        <v>1479</v>
      </c>
      <c r="D3" s="1571"/>
      <c r="E3" s="1572"/>
      <c r="F3" s="1573"/>
      <c r="G3" s="2935"/>
      <c r="H3" s="692" t="s">
        <v>1549</v>
      </c>
      <c r="I3" s="1566"/>
      <c r="J3" s="1566"/>
      <c r="K3" s="1567"/>
      <c r="L3" s="1566"/>
      <c r="M3" s="1566"/>
    </row>
    <row r="4" spans="1:37" ht="18" customHeight="1">
      <c r="A4" s="301" t="s">
        <v>1357</v>
      </c>
      <c r="B4" s="302" t="s">
        <v>1358</v>
      </c>
      <c r="C4" s="302" t="s">
        <v>1359</v>
      </c>
      <c r="D4" s="302" t="s">
        <v>1360</v>
      </c>
      <c r="E4" s="303" t="s">
        <v>1361</v>
      </c>
      <c r="F4" s="304"/>
      <c r="G4" s="1568"/>
      <c r="H4" s="301" t="s">
        <v>1357</v>
      </c>
      <c r="I4" s="302" t="s">
        <v>1358</v>
      </c>
      <c r="J4" s="302" t="s">
        <v>1359</v>
      </c>
      <c r="K4" s="302" t="s">
        <v>1360</v>
      </c>
      <c r="L4" s="303" t="s">
        <v>1361</v>
      </c>
      <c r="M4" s="304"/>
    </row>
    <row r="5" spans="1:37" ht="18" customHeight="1">
      <c r="A5" s="305">
        <v>1</v>
      </c>
      <c r="B5" s="306" t="s">
        <v>1362</v>
      </c>
      <c r="C5" s="1202">
        <f ca="1">C6+C10+C12</f>
        <v>2311</v>
      </c>
      <c r="D5" s="1548" t="s">
        <v>1363</v>
      </c>
      <c r="E5" s="1203"/>
      <c r="F5" s="1204"/>
      <c r="G5" s="1568"/>
      <c r="H5" s="305">
        <v>1</v>
      </c>
      <c r="I5" s="306" t="s">
        <v>1362</v>
      </c>
      <c r="J5" s="1202">
        <f ca="1">J6+J10+J12</f>
        <v>0</v>
      </c>
      <c r="K5" s="1548" t="s">
        <v>1363</v>
      </c>
      <c r="L5" s="1203"/>
      <c r="M5" s="1204"/>
    </row>
    <row r="6" spans="1:37" ht="18" customHeight="1">
      <c r="A6" s="1201" t="s">
        <v>1003</v>
      </c>
      <c r="B6" s="3407" t="s">
        <v>1364</v>
      </c>
      <c r="C6" s="1206">
        <f ca="1">ROUND(F6*F8*F7*(1-F9)/10000,0)</f>
        <v>2308</v>
      </c>
      <c r="D6" s="160" t="s">
        <v>2846</v>
      </c>
      <c r="E6" s="308" t="s">
        <v>1366</v>
      </c>
      <c r="F6" s="309">
        <f ca="1">INDIRECT("'数据-取费表'!u"&amp;$G$1)</f>
        <v>2</v>
      </c>
      <c r="G6" s="1568"/>
      <c r="H6" s="1201" t="s">
        <v>1003</v>
      </c>
      <c r="I6" s="3407" t="s">
        <v>1364</v>
      </c>
      <c r="J6" s="307">
        <f ca="1">ROUND(M6*M8*M7*(1-M9)/10000,0)</f>
        <v>0</v>
      </c>
      <c r="K6" s="160" t="s">
        <v>2845</v>
      </c>
      <c r="L6" s="308" t="s">
        <v>1366</v>
      </c>
      <c r="M6" s="309">
        <f ca="1">INDIRECT("'数据-取费表'!z"&amp;$G$1)</f>
        <v>0</v>
      </c>
    </row>
    <row r="7" spans="1:37" ht="18" customHeight="1">
      <c r="A7" s="1205"/>
      <c r="B7" s="3408"/>
      <c r="C7" s="1207"/>
      <c r="D7" s="313"/>
      <c r="E7" s="1208" t="s">
        <v>1367</v>
      </c>
      <c r="F7" s="309">
        <f ca="1">IF(INDIRECT("'数据-取费表'!ah"&amp;$G$1)="",INDIRECT("'数据-取费表'!k"&amp;$G$1),INDIRECT("'数据-取费表'!ah"&amp;$G$1))</f>
        <v>45156.59</v>
      </c>
      <c r="G7" s="1568"/>
      <c r="H7" s="310"/>
      <c r="I7" s="3408"/>
      <c r="J7" s="312"/>
      <c r="K7" s="313"/>
      <c r="L7" s="308" t="s">
        <v>1367</v>
      </c>
      <c r="M7" s="309">
        <f ca="1">F7</f>
        <v>45156.59</v>
      </c>
    </row>
    <row r="8" spans="1:37" ht="18" customHeight="1">
      <c r="A8" s="310"/>
      <c r="B8" s="3408"/>
      <c r="C8" s="312"/>
      <c r="D8" s="313"/>
      <c r="E8" s="308" t="s">
        <v>1368</v>
      </c>
      <c r="F8" s="309">
        <f ca="1">INDIRECT("'数据-取费表'!ai"&amp;$G$1)</f>
        <v>365</v>
      </c>
      <c r="G8" s="1568"/>
      <c r="H8" s="310"/>
      <c r="I8" s="3408"/>
      <c r="J8" s="312"/>
      <c r="K8" s="313"/>
      <c r="L8" s="308" t="s">
        <v>1368</v>
      </c>
      <c r="M8" s="309">
        <f ca="1">INDIRECT("'数据-取费表'!ai"&amp;$G$1)</f>
        <v>365</v>
      </c>
    </row>
    <row r="9" spans="1:37" ht="18" customHeight="1">
      <c r="A9" s="310"/>
      <c r="B9" s="3409"/>
      <c r="C9" s="312"/>
      <c r="D9" s="313"/>
      <c r="E9" s="308" t="s">
        <v>1369</v>
      </c>
      <c r="F9" s="318">
        <f ca="1">INDIRECT("'数据-取费表'!w"&amp;$G$1)</f>
        <v>0.3</v>
      </c>
      <c r="G9" s="1568"/>
      <c r="H9" s="310"/>
      <c r="I9" s="3409"/>
      <c r="J9" s="312"/>
      <c r="K9" s="313"/>
      <c r="L9" s="319" t="s">
        <v>1369</v>
      </c>
      <c r="M9" s="320">
        <f ca="1">INDIRECT("'数据-取费表'!ab"&amp;$G$1)</f>
        <v>0</v>
      </c>
    </row>
    <row r="10" spans="1:37" ht="18" customHeight="1">
      <c r="A10" s="1201" t="s">
        <v>1007</v>
      </c>
      <c r="B10" s="1549" t="s">
        <v>1370</v>
      </c>
      <c r="C10" s="322">
        <f ca="1">ROUND(IF(F10="押一",C6/12*F11,IF(F10="押二",C6/12*2*F11,IF(F10="押三",C6/12*3*F11,C11*F11))),0)</f>
        <v>3</v>
      </c>
      <c r="D10" s="1550" t="s">
        <v>2854</v>
      </c>
      <c r="E10" s="319" t="s">
        <v>1371</v>
      </c>
      <c r="F10" s="1276" t="s">
        <v>3164</v>
      </c>
      <c r="G10" s="1568"/>
      <c r="H10" s="1201" t="s">
        <v>1007</v>
      </c>
      <c r="I10" s="1549" t="s">
        <v>1370</v>
      </c>
      <c r="J10" s="307">
        <f ca="1">ROUND(IF(M10="押一",J6/12*M11,IF(M10="押二",J6/12*2*M11,IF(M10="押三",J6/12*3*M11,J11*M11))),0)</f>
        <v>0</v>
      </c>
      <c r="K10" s="1550" t="s">
        <v>2853</v>
      </c>
      <c r="L10" s="319" t="s">
        <v>1371</v>
      </c>
      <c r="M10" s="1276" t="s">
        <v>1372</v>
      </c>
    </row>
    <row r="11" spans="1:37" ht="18" customHeight="1">
      <c r="A11" s="314"/>
      <c r="B11" s="1551" t="s">
        <v>1349</v>
      </c>
      <c r="C11" s="1090"/>
      <c r="D11" s="1552"/>
      <c r="E11" s="319" t="s">
        <v>1373</v>
      </c>
      <c r="F11" s="320">
        <f ca="1">'数据-取费表'!B39</f>
        <v>1.4999999999999999E-2</v>
      </c>
      <c r="G11" s="1568"/>
      <c r="H11" s="1209"/>
      <c r="I11" s="1551" t="s">
        <v>1349</v>
      </c>
      <c r="J11" s="1090"/>
      <c r="K11" s="693"/>
      <c r="L11" s="319" t="s">
        <v>1373</v>
      </c>
      <c r="M11" s="971">
        <f ca="1">'数据-取费表'!B39</f>
        <v>1.4999999999999999E-2</v>
      </c>
    </row>
    <row r="12" spans="1:37" ht="18" customHeight="1" thickBot="1">
      <c r="A12" s="1243" t="s">
        <v>1043</v>
      </c>
      <c r="B12" s="1553" t="s">
        <v>1374</v>
      </c>
      <c r="C12" s="1244"/>
      <c r="D12" s="1245"/>
      <c r="E12" s="1250"/>
      <c r="F12" s="1246"/>
      <c r="G12" s="1568"/>
      <c r="H12" s="1243" t="s">
        <v>1043</v>
      </c>
      <c r="I12" s="1553" t="s">
        <v>1374</v>
      </c>
      <c r="J12" s="1244"/>
      <c r="K12" s="1258"/>
      <c r="L12" s="1250"/>
      <c r="M12" s="1259"/>
    </row>
    <row r="13" spans="1:37" ht="18" customHeight="1" thickTop="1">
      <c r="A13" s="1239">
        <v>2</v>
      </c>
      <c r="B13" s="1240" t="s">
        <v>1375</v>
      </c>
      <c r="C13" s="316">
        <f ca="1">ROUND(C29*F13,0)</f>
        <v>119179</v>
      </c>
      <c r="D13" s="1241" t="s">
        <v>1376</v>
      </c>
      <c r="E13" s="1241" t="s">
        <v>1377</v>
      </c>
      <c r="F13" s="1242">
        <f ca="1">INDIRECT("'数据-取费表'!y"&amp;$G$1)</f>
        <v>0.97</v>
      </c>
      <c r="G13" s="1568"/>
      <c r="H13" s="1239">
        <v>2</v>
      </c>
      <c r="I13" s="1240" t="s">
        <v>1375</v>
      </c>
      <c r="J13" s="1200">
        <f ca="1">ROUND(J14*J15,0)</f>
        <v>0</v>
      </c>
      <c r="K13" s="1247" t="s">
        <v>1376</v>
      </c>
      <c r="L13" s="1576"/>
      <c r="M13" s="1577"/>
    </row>
    <row r="14" spans="1:37" ht="18" customHeight="1">
      <c r="A14" s="1113" t="s">
        <v>1002</v>
      </c>
      <c r="B14" s="308" t="s">
        <v>1378</v>
      </c>
      <c r="C14" s="324">
        <f ca="1">INDIRECT("'数据-取费表'!m"&amp;$G$1)+INDIRECT("'数据-取费表'!t"&amp;$G$1)</f>
        <v>90313</v>
      </c>
      <c r="D14" s="1529" t="s">
        <v>1379</v>
      </c>
      <c r="E14" s="1526"/>
      <c r="F14" s="325"/>
      <c r="G14" s="1568"/>
      <c r="H14" s="1113" t="s">
        <v>1003</v>
      </c>
      <c r="I14" s="308" t="s">
        <v>1380</v>
      </c>
      <c r="J14" s="24">
        <f ca="1">C29</f>
        <v>122865</v>
      </c>
      <c r="K14" s="15"/>
      <c r="L14" s="916"/>
      <c r="M14" s="917"/>
    </row>
    <row r="15" spans="1:37" s="1581" customFormat="1" ht="18" customHeight="1" thickBot="1">
      <c r="A15" s="1113" t="s">
        <v>1004</v>
      </c>
      <c r="B15" s="308" t="s">
        <v>1381</v>
      </c>
      <c r="C15" s="24">
        <f ca="1">ROUND(C14*F15,0)</f>
        <v>2709</v>
      </c>
      <c r="D15" s="326" t="s">
        <v>1382</v>
      </c>
      <c r="E15" s="326" t="s">
        <v>1383</v>
      </c>
      <c r="F15" s="327">
        <f>'数据-取费表'!B33</f>
        <v>0.03</v>
      </c>
      <c r="G15" s="1580"/>
      <c r="H15" s="1249" t="s">
        <v>1007</v>
      </c>
      <c r="I15" s="1250" t="s">
        <v>1377</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1350</v>
      </c>
      <c r="B16" s="308" t="s">
        <v>1384</v>
      </c>
      <c r="C16" s="24">
        <f ca="1">ROUND(INDIRECT("'数据-取费表'!m"&amp;$G$1)*F16,0)</f>
        <v>0</v>
      </c>
      <c r="D16" s="308" t="s">
        <v>1382</v>
      </c>
      <c r="E16" s="308" t="s">
        <v>1383</v>
      </c>
      <c r="F16" s="328">
        <f ca="1">IF(INDIRECT("'数据-取费表'!c"&amp;$G$1)="住宅",'数据-取费表'!B34,0)</f>
        <v>0</v>
      </c>
      <c r="G16" s="1568"/>
      <c r="H16" s="1239" t="s">
        <v>998</v>
      </c>
      <c r="I16" s="1240" t="s">
        <v>1385</v>
      </c>
      <c r="J16" s="316">
        <f ca="1">ROUND(J17+J22+J23+J24,0)</f>
        <v>2086</v>
      </c>
      <c r="K16" s="1247" t="s">
        <v>1386</v>
      </c>
      <c r="L16" s="1248"/>
      <c r="M16" s="1204"/>
    </row>
    <row r="17" spans="1:37" s="1581" customFormat="1" ht="18" customHeight="1">
      <c r="A17" s="1113" t="s">
        <v>1351</v>
      </c>
      <c r="B17" s="308" t="s">
        <v>1387</v>
      </c>
      <c r="C17" s="24">
        <f ca="1">ROUND(F17*(F43+INDIRECT("'数据-取费表'!S"&amp;$G$1))/10000,0)</f>
        <v>903</v>
      </c>
      <c r="D17" s="308" t="s">
        <v>1388</v>
      </c>
      <c r="E17" s="308" t="s">
        <v>1389</v>
      </c>
      <c r="F17" s="26">
        <f>'数据-取费表'!B35</f>
        <v>200</v>
      </c>
      <c r="G17" s="1580"/>
      <c r="H17" s="1113" t="s">
        <v>1003</v>
      </c>
      <c r="I17" s="308" t="s">
        <v>1390</v>
      </c>
      <c r="J17" s="2534">
        <f ca="1">ROUND(IF(AND(项目基本情况!B11="自然人",项目基本情况!B10="北京市"),J6*M17/(1+'数据-取费表'!C42),J18+J19+J20),0)</f>
        <v>1103</v>
      </c>
      <c r="K17" s="1529" t="s">
        <v>1391</v>
      </c>
      <c r="L17" s="1528" t="s">
        <v>1392</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1352</v>
      </c>
      <c r="B18" s="308" t="s">
        <v>1393</v>
      </c>
      <c r="C18" s="24">
        <f ca="1">ROUND(C14*F18,0)</f>
        <v>1355</v>
      </c>
      <c r="D18" s="308" t="s">
        <v>1382</v>
      </c>
      <c r="E18" s="308" t="s">
        <v>1383</v>
      </c>
      <c r="F18" s="328">
        <f>'数据-取费表'!B36</f>
        <v>1.4999999999999999E-2</v>
      </c>
      <c r="G18" s="1580"/>
      <c r="H18" s="1113" t="s">
        <v>1002</v>
      </c>
      <c r="I18" s="308" t="s">
        <v>1394</v>
      </c>
      <c r="J18" s="24">
        <f ca="1">ROUND(J6*M18/(1+'数据-取费表'!C42),2)</f>
        <v>0</v>
      </c>
      <c r="K18" s="1528" t="s">
        <v>1395</v>
      </c>
      <c r="L18" s="308" t="s">
        <v>1383</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1396</v>
      </c>
      <c r="C19" s="24">
        <f ca="1">SUM(C14:C18)</f>
        <v>95280</v>
      </c>
      <c r="D19" s="136" t="s">
        <v>1397</v>
      </c>
      <c r="E19" s="1544"/>
      <c r="F19" s="26"/>
      <c r="G19" s="1568"/>
      <c r="H19" s="1113" t="s">
        <v>1004</v>
      </c>
      <c r="I19" s="308" t="s">
        <v>1398</v>
      </c>
      <c r="J19" s="24">
        <f ca="1">IF(K19="按租金收入计税",ROUND(J6*M19/(1+'数据-取费表'!C42),2),ROUND(C29*M19*0.7,2))</f>
        <v>1032.07</v>
      </c>
      <c r="K19" s="1554" t="s">
        <v>1399</v>
      </c>
      <c r="L19" s="308" t="s">
        <v>1383</v>
      </c>
      <c r="M19" s="328">
        <f>IF(K19="按租金收入计税",'数据-取费表'!B51,'数据-取费表'!B50)</f>
        <v>1.2E-2</v>
      </c>
    </row>
    <row r="20" spans="1:37" s="1581" customFormat="1" ht="18" customHeight="1">
      <c r="A20" s="1113" t="s">
        <v>1007</v>
      </c>
      <c r="B20" s="308" t="s">
        <v>1400</v>
      </c>
      <c r="C20" s="24">
        <f ca="1">ROUND(C19*F20,0)</f>
        <v>953</v>
      </c>
      <c r="D20" s="329" t="s">
        <v>1401</v>
      </c>
      <c r="E20" s="308" t="s">
        <v>1383</v>
      </c>
      <c r="F20" s="328">
        <f>'数据-取费表'!B37</f>
        <v>0.01</v>
      </c>
      <c r="G20" s="1580"/>
      <c r="H20" s="1113" t="s">
        <v>1350</v>
      </c>
      <c r="I20" s="160" t="s">
        <v>1402</v>
      </c>
      <c r="J20" s="25">
        <f ca="1">ROUND(M20*M21/10000,2)</f>
        <v>71.22</v>
      </c>
      <c r="K20" s="330" t="s">
        <v>1403</v>
      </c>
      <c r="L20" s="308" t="s">
        <v>1404</v>
      </c>
      <c r="M20" s="331">
        <f>'数据-取费表'!B52</f>
        <v>11.2</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1405</v>
      </c>
      <c r="C21" s="24" t="s">
        <v>18</v>
      </c>
      <c r="D21" s="329" t="s">
        <v>1406</v>
      </c>
      <c r="E21" s="308" t="s">
        <v>1407</v>
      </c>
      <c r="F21" s="328">
        <f>'数据-取费表'!B38</f>
        <v>0.01</v>
      </c>
      <c r="G21" s="1580"/>
      <c r="H21" s="332"/>
      <c r="I21" s="317"/>
      <c r="J21" s="29"/>
      <c r="K21" s="333"/>
      <c r="L21" s="308" t="s">
        <v>1408</v>
      </c>
      <c r="M21" s="309">
        <f ca="1">INDIRECT("'数据-取费表'!r"&amp;$G$1)</f>
        <v>63585.59</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1353</v>
      </c>
      <c r="B22" s="308" t="s">
        <v>1409</v>
      </c>
      <c r="C22" s="24"/>
      <c r="D22" s="136" t="str">
        <f>IF(F23&lt;=1,"单利计息。","复利计息。")&amp;"建造成本、管理费用、销售费用产生的利息。"</f>
        <v>复利计息。建造成本、管理费用、销售费用产生的利息。</v>
      </c>
      <c r="E22" s="1544"/>
      <c r="F22" s="26"/>
      <c r="G22" s="1568"/>
      <c r="H22" s="1113" t="s">
        <v>1007</v>
      </c>
      <c r="I22" s="308" t="s">
        <v>1410</v>
      </c>
      <c r="J22" s="24">
        <f ca="1">ROUND(J14*M22,1)</f>
        <v>982.9</v>
      </c>
      <c r="K22" s="1528" t="s">
        <v>1411</v>
      </c>
      <c r="L22" s="308" t="s">
        <v>1383</v>
      </c>
      <c r="M22" s="334">
        <f ca="1">INDIRECT("'数据-取费表'!Ak"&amp;$G$1)</f>
        <v>8.0000000000000002E-3</v>
      </c>
    </row>
    <row r="23" spans="1:37" s="1581" customFormat="1" ht="18" customHeight="1">
      <c r="A23" s="1113" t="s">
        <v>1002</v>
      </c>
      <c r="B23" s="308" t="s">
        <v>1412</v>
      </c>
      <c r="C23" s="24">
        <f ca="1">IF('数据-取费表'!B22&lt;=1,ROUND(C19*F24*F23/2,0)+ROUND(C20*F24*F23/2,0),ROUND(C19*(POWER((1+F24),F23/2)-1),0)+ROUND(C20*(POWER((1+F24),F23/2)-1),0))</f>
        <v>4186</v>
      </c>
      <c r="D23" s="335" t="str">
        <f>IF(F23&lt;=1,"(建造成本+管理费用)×利率×(建设周期÷2)","(建造成本+管理费用)×((1+利率)^(建设周期÷2)-1)")</f>
        <v>(建造成本+管理费用)×((1+利率)^(建设周期÷2)-1)</v>
      </c>
      <c r="E23" s="308" t="s">
        <v>1413</v>
      </c>
      <c r="F23" s="331">
        <f>'数据-取费表'!B20</f>
        <v>2</v>
      </c>
      <c r="G23" s="1580"/>
      <c r="H23" s="1113" t="s">
        <v>1043</v>
      </c>
      <c r="I23" s="308" t="s">
        <v>1414</v>
      </c>
      <c r="J23" s="24">
        <f ca="1">ROUND(J13*M23,1)</f>
        <v>0</v>
      </c>
      <c r="K23" s="1528" t="s">
        <v>1415</v>
      </c>
      <c r="L23" s="308" t="s">
        <v>1416</v>
      </c>
      <c r="M23" s="336">
        <f ca="1">INDIRECT("'数据-取费表'!Al"&amp;$G$1)</f>
        <v>1E-3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1417</v>
      </c>
      <c r="B24" s="308" t="s">
        <v>1418</v>
      </c>
      <c r="C24" s="24">
        <f ca="1">ROUND(IF('数据-取费表'!B22&lt;=1,F21*F24*F23/2,F21*(POWER((1+F24),F23/2)-1)),4)</f>
        <v>4.0000000000000002E-4</v>
      </c>
      <c r="D24" s="335" t="str">
        <f>IF(F23&lt;=1,"销售费用×利率×(建设周期÷2)","销售费用×((1+利率)^(建设周期÷2)-1)")</f>
        <v>销售费用×((1+利率)^(建设周期÷2)-1)</v>
      </c>
      <c r="E24" s="308" t="s">
        <v>1419</v>
      </c>
      <c r="F24" s="337">
        <f ca="1">'数据-取费表'!B40</f>
        <v>4.3499999999999997E-2</v>
      </c>
      <c r="G24" s="1580"/>
      <c r="H24" s="1249" t="s">
        <v>1354</v>
      </c>
      <c r="I24" s="1250" t="s">
        <v>1400</v>
      </c>
      <c r="J24" s="1251">
        <f ca="1">ROUND(J5*M24,1)</f>
        <v>0</v>
      </c>
      <c r="K24" s="1252" t="s">
        <v>1420</v>
      </c>
      <c r="L24" s="1250" t="s">
        <v>1416</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1421</v>
      </c>
      <c r="B25" s="308" t="s">
        <v>1422</v>
      </c>
      <c r="C25" s="24"/>
      <c r="D25" s="136" t="s">
        <v>1423</v>
      </c>
      <c r="E25" s="1544"/>
      <c r="F25" s="26"/>
      <c r="G25" s="1568"/>
      <c r="H25" s="1239" t="s">
        <v>999</v>
      </c>
      <c r="I25" s="1254" t="s">
        <v>1424</v>
      </c>
      <c r="J25" s="316">
        <f ca="1">J5-J16</f>
        <v>-2086</v>
      </c>
      <c r="K25" s="1255" t="s">
        <v>1425</v>
      </c>
      <c r="L25" s="1256"/>
      <c r="M25" s="1257"/>
    </row>
    <row r="26" spans="1:37">
      <c r="A26" s="1113" t="s">
        <v>1002</v>
      </c>
      <c r="B26" s="308" t="s">
        <v>1426</v>
      </c>
      <c r="C26" s="24">
        <f ca="1">ROUND((C19+C20)*F26,0)</f>
        <v>14435</v>
      </c>
      <c r="D26" s="329" t="s">
        <v>1427</v>
      </c>
      <c r="E26" s="319" t="s">
        <v>1428</v>
      </c>
      <c r="F26" s="318">
        <f ca="1">INDIRECT("'数据-取费表'!q"&amp;$G$1)</f>
        <v>0.15</v>
      </c>
      <c r="G26" s="1568"/>
      <c r="H26" s="305" t="s">
        <v>1000</v>
      </c>
      <c r="I26" s="306" t="s">
        <v>1429</v>
      </c>
      <c r="J26" s="307">
        <f ca="1">IF(J5&lt;&gt;0,ROUND(J25*(1-((1+M28)/(1+M26))^M27)/(M26-M28),0),0)</f>
        <v>0</v>
      </c>
      <c r="K26" s="330" t="s">
        <v>1430</v>
      </c>
      <c r="L26" s="308" t="s">
        <v>1431</v>
      </c>
      <c r="M26" s="318">
        <f ca="1">INDIRECT("'数据-取费表'!I"&amp;$G$1)</f>
        <v>0.06</v>
      </c>
    </row>
    <row r="27" spans="1:37" ht="18" customHeight="1">
      <c r="A27" s="1113" t="s">
        <v>1004</v>
      </c>
      <c r="B27" s="308" t="s">
        <v>1432</v>
      </c>
      <c r="C27" s="24">
        <f ca="1">ROUND(F21*F26,4)</f>
        <v>1.5E-3</v>
      </c>
      <c r="D27" s="329" t="s">
        <v>1433</v>
      </c>
      <c r="E27" s="326"/>
      <c r="F27" s="327"/>
      <c r="G27" s="1568"/>
      <c r="H27" s="310"/>
      <c r="I27" s="311"/>
      <c r="J27" s="312"/>
      <c r="K27" s="338" t="s">
        <v>1434</v>
      </c>
      <c r="L27" s="308" t="s">
        <v>1435</v>
      </c>
      <c r="M27" s="339">
        <f ca="1">INDIRECT("'数据-取费表'!ag"&amp;$G$1)</f>
        <v>0</v>
      </c>
    </row>
    <row r="28" spans="1:37" s="1581" customFormat="1" ht="18" customHeight="1">
      <c r="A28" s="1113" t="s">
        <v>1005</v>
      </c>
      <c r="B28" s="308" t="s">
        <v>1436</v>
      </c>
      <c r="C28" s="24">
        <f>ROUND(F28/(1+'数据-取费表'!C42),4)</f>
        <v>5.33E-2</v>
      </c>
      <c r="D28" s="329" t="s">
        <v>1437</v>
      </c>
      <c r="E28" s="308" t="s">
        <v>1383</v>
      </c>
      <c r="F28" s="328">
        <f>'数据-取费表'!B41</f>
        <v>5.6000000000000001E-2</v>
      </c>
      <c r="G28" s="1580"/>
      <c r="H28" s="314"/>
      <c r="I28" s="315"/>
      <c r="J28" s="316"/>
      <c r="K28" s="333"/>
      <c r="L28" s="308" t="s">
        <v>1438</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1439</v>
      </c>
      <c r="C29" s="1251">
        <f ca="1">ROUND((C19+C20+C23+C26)/(1-F21-C24-C27-C28),0)</f>
        <v>122865</v>
      </c>
      <c r="D29" s="1252"/>
      <c r="E29" s="1250"/>
      <c r="F29" s="1253"/>
      <c r="G29" s="1580"/>
      <c r="H29" s="340" t="s">
        <v>1001</v>
      </c>
      <c r="I29" s="341" t="s">
        <v>1440</v>
      </c>
      <c r="J29" s="342">
        <f ca="1">ROUND(J26/(1+F40)^F41,0)</f>
        <v>0</v>
      </c>
      <c r="K29" s="343" t="s">
        <v>1441</v>
      </c>
      <c r="L29" s="344"/>
      <c r="M29" s="345">
        <f ca="1">INDIRECT("'数据-取费表'!k"&amp;$G$1)</f>
        <v>45156.59</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1385</v>
      </c>
      <c r="C30" s="316">
        <f ca="1">ROUND(C31+C36+C37+C38,0)</f>
        <v>1583</v>
      </c>
      <c r="D30" s="1247" t="s">
        <v>1386</v>
      </c>
      <c r="E30" s="1248"/>
      <c r="F30" s="1204"/>
      <c r="G30" s="1568"/>
      <c r="H30" s="2926"/>
      <c r="I30" s="1582"/>
      <c r="J30" s="1583"/>
      <c r="K30" s="2701"/>
      <c r="L30" s="2927"/>
      <c r="M30" s="2928"/>
    </row>
    <row r="31" spans="1:37" ht="18" customHeight="1">
      <c r="A31" s="1113" t="s">
        <v>1003</v>
      </c>
      <c r="B31" s="308" t="s">
        <v>1390</v>
      </c>
      <c r="C31" s="2534">
        <f ca="1">ROUND(IF(AND(项目基本情况!B11="自然人",项目基本情况!B10="北京市"),C6*F31/(1+'数据-取费表'!C42),C32+C33+C34),0)</f>
        <v>458</v>
      </c>
      <c r="D31" s="1529" t="s">
        <v>1391</v>
      </c>
      <c r="E31" s="1528" t="s">
        <v>1442</v>
      </c>
      <c r="F31" s="2533" t="str">
        <f>IF(项目基本情况!B11="企业","——",IF('数据-取费表'!B10="住宅",IF(F6*F7*F8/12/(1+'数据-取费表'!F30)&gt;100000,4%,2.5%),IF(F6*F7*F8/12/(1+'数据-取费表'!F30)&gt;100000,12%,7%)))</f>
        <v>——</v>
      </c>
      <c r="G31" s="1568"/>
      <c r="H31" s="3039" t="s">
        <v>3053</v>
      </c>
      <c r="I31" s="1582"/>
      <c r="J31" s="1583"/>
      <c r="K31" s="2701"/>
      <c r="L31" s="2927"/>
      <c r="M31" s="2928"/>
    </row>
    <row r="32" spans="1:37" ht="18" customHeight="1">
      <c r="A32" s="1113" t="s">
        <v>1002</v>
      </c>
      <c r="B32" s="308" t="s">
        <v>1394</v>
      </c>
      <c r="C32" s="24">
        <f ca="1">IF(项目基本情况!B11="自然人","——",ROUND(C6*F32/(1+'数据-取费表'!C42),2))</f>
        <v>123.09</v>
      </c>
      <c r="D32" s="1528" t="s">
        <v>1395</v>
      </c>
      <c r="E32" s="308" t="s">
        <v>1383</v>
      </c>
      <c r="F32" s="337">
        <f>'数据-取费表'!B41</f>
        <v>5.6000000000000001E-2</v>
      </c>
      <c r="G32" s="1568"/>
      <c r="H32" s="2926"/>
      <c r="I32" s="1582"/>
      <c r="J32" s="1583"/>
      <c r="K32" s="2701"/>
      <c r="L32" s="2927"/>
      <c r="M32" s="2928"/>
    </row>
    <row r="33" spans="1:18" ht="18" customHeight="1">
      <c r="A33" s="1113" t="s">
        <v>1004</v>
      </c>
      <c r="B33" s="308" t="s">
        <v>1398</v>
      </c>
      <c r="C33" s="24">
        <f ca="1">IF(项目基本情况!B11="自然人","——",IF(D33="按租金收入计税",ROUND(C6*F33/(1+'数据-取费表'!C42),2),IF(D33="按房产原值计税",ROUND(C29*F33*0.7,2),INDIRECT("'数据-取费表'!Aj"&amp;$G$1))))</f>
        <v>263.77</v>
      </c>
      <c r="D33" s="1554" t="s">
        <v>3165</v>
      </c>
      <c r="E33" s="308" t="s">
        <v>1383</v>
      </c>
      <c r="F33" s="328">
        <f>IF(D33="按票据","——",IF(D33="按租金收入计税",'数据-取费表'!B51,'数据-取费表'!B50))</f>
        <v>0.12</v>
      </c>
      <c r="G33" s="1568"/>
      <c r="H33" s="2929"/>
      <c r="I33" s="1582"/>
      <c r="J33" s="1583"/>
      <c r="K33" s="2930"/>
      <c r="L33" s="2929"/>
      <c r="M33" s="2929"/>
    </row>
    <row r="34" spans="1:18" ht="18" customHeight="1">
      <c r="A34" s="1201" t="s">
        <v>1350</v>
      </c>
      <c r="B34" s="160" t="s">
        <v>1402</v>
      </c>
      <c r="C34" s="25">
        <f ca="1">IF(项目基本情况!B11="自然人","——",ROUND(F34*F35/10000,2))</f>
        <v>71.22</v>
      </c>
      <c r="D34" s="330" t="s">
        <v>1403</v>
      </c>
      <c r="E34" s="308" t="s">
        <v>1404</v>
      </c>
      <c r="F34" s="331">
        <f>'数据-取费表'!B52</f>
        <v>11.2</v>
      </c>
      <c r="G34" s="1568"/>
      <c r="H34" s="2926"/>
      <c r="I34" s="1582"/>
      <c r="J34" s="1583"/>
      <c r="K34" s="2931"/>
      <c r="L34" s="2932"/>
      <c r="M34" s="2932"/>
    </row>
    <row r="35" spans="1:18" ht="18" customHeight="1">
      <c r="A35" s="1263"/>
      <c r="B35" s="1261"/>
      <c r="C35" s="29"/>
      <c r="D35" s="333"/>
      <c r="E35" s="308" t="s">
        <v>1408</v>
      </c>
      <c r="F35" s="309">
        <f ca="1">INDIRECT("'数据-取费表'!r"&amp;$G$1)</f>
        <v>63585.59</v>
      </c>
      <c r="G35" s="1568"/>
      <c r="H35" s="2926"/>
      <c r="I35" s="1582"/>
      <c r="J35" s="1583"/>
      <c r="K35" s="2930"/>
      <c r="L35" s="2929"/>
      <c r="M35" s="2929"/>
    </row>
    <row r="36" spans="1:18" ht="18" customHeight="1">
      <c r="A36" s="1262" t="s">
        <v>1007</v>
      </c>
      <c r="B36" s="308" t="s">
        <v>1410</v>
      </c>
      <c r="C36" s="24">
        <f ca="1">ROUND(C29*F36,1)</f>
        <v>982.9</v>
      </c>
      <c r="D36" s="1528" t="s">
        <v>1443</v>
      </c>
      <c r="E36" s="308" t="s">
        <v>1383</v>
      </c>
      <c r="F36" s="334">
        <f ca="1">INDIRECT("'数据-取费表'!Ak"&amp;$G$1)</f>
        <v>8.0000000000000002E-3</v>
      </c>
      <c r="G36" s="1568"/>
      <c r="H36" s="2929"/>
      <c r="I36" s="1582"/>
      <c r="J36" s="1583"/>
      <c r="K36" s="2770"/>
      <c r="L36" s="2929"/>
      <c r="M36" s="2929"/>
    </row>
    <row r="37" spans="1:18" ht="18" customHeight="1">
      <c r="A37" s="1113" t="s">
        <v>1043</v>
      </c>
      <c r="B37" s="308" t="s">
        <v>1414</v>
      </c>
      <c r="C37" s="24">
        <f ca="1">ROUND(C13*F37,1)</f>
        <v>119.2</v>
      </c>
      <c r="D37" s="1528" t="s">
        <v>1415</v>
      </c>
      <c r="E37" s="308" t="s">
        <v>1416</v>
      </c>
      <c r="F37" s="336">
        <f ca="1">INDIRECT("'数据-取费表'!Al"&amp;$G$1)</f>
        <v>1E-3</v>
      </c>
      <c r="G37" s="1568"/>
      <c r="H37" s="2929"/>
      <c r="I37" s="1582"/>
      <c r="J37" s="1583"/>
      <c r="K37" s="2770"/>
      <c r="L37" s="2929"/>
      <c r="M37" s="2929"/>
    </row>
    <row r="38" spans="1:18" ht="18" customHeight="1" thickBot="1">
      <c r="A38" s="1249" t="s">
        <v>1354</v>
      </c>
      <c r="B38" s="1250" t="s">
        <v>1400</v>
      </c>
      <c r="C38" s="1251">
        <f ca="1">ROUND(C5*F38,1)</f>
        <v>23.1</v>
      </c>
      <c r="D38" s="1252" t="s">
        <v>1420</v>
      </c>
      <c r="E38" s="1250" t="s">
        <v>1416</v>
      </c>
      <c r="F38" s="1246">
        <f ca="1">INDIRECT("'数据-取费表'!Am"&amp;$G$1)</f>
        <v>0.01</v>
      </c>
      <c r="G38" s="1568"/>
      <c r="H38" s="2929"/>
      <c r="I38" s="1582"/>
      <c r="J38" s="1583"/>
      <c r="K38" s="2933"/>
      <c r="L38" s="2929"/>
      <c r="M38" s="2929"/>
    </row>
    <row r="39" spans="1:18" ht="24.6" customHeight="1" thickTop="1">
      <c r="A39" s="1239" t="s">
        <v>999</v>
      </c>
      <c r="B39" s="1254" t="s">
        <v>1444</v>
      </c>
      <c r="C39" s="316">
        <f ca="1">C5-C30</f>
        <v>728</v>
      </c>
      <c r="D39" s="1255" t="s">
        <v>1445</v>
      </c>
      <c r="E39" s="1256"/>
      <c r="F39" s="1257"/>
      <c r="G39" s="1568"/>
      <c r="H39" s="2929"/>
      <c r="I39" s="1582"/>
      <c r="J39" s="1583"/>
      <c r="K39" s="2933"/>
      <c r="L39" s="2929"/>
      <c r="M39" s="2929"/>
    </row>
    <row r="40" spans="1:18" ht="18" customHeight="1">
      <c r="A40" s="305" t="s">
        <v>1000</v>
      </c>
      <c r="B40" s="306" t="s">
        <v>1446</v>
      </c>
      <c r="C40" s="307">
        <f ca="1">ROUND(C39*(1-((1+F42)/(1+F40))^F41)/(F40-F42),0)</f>
        <v>14593</v>
      </c>
      <c r="D40" s="330" t="s">
        <v>1430</v>
      </c>
      <c r="E40" s="308" t="s">
        <v>1431</v>
      </c>
      <c r="F40" s="318">
        <f ca="1">INDIRECT("'数据-取费表'!I"&amp;$G$1)</f>
        <v>0.06</v>
      </c>
      <c r="G40" s="1568"/>
      <c r="H40" s="1645"/>
      <c r="I40" s="1582"/>
      <c r="J40" s="1583"/>
      <c r="K40" s="2933"/>
      <c r="L40" s="1645"/>
      <c r="M40" s="1645"/>
    </row>
    <row r="41" spans="1:18" ht="18" customHeight="1">
      <c r="A41" s="310"/>
      <c r="B41" s="311"/>
      <c r="C41" s="312"/>
      <c r="D41" s="338" t="s">
        <v>1447</v>
      </c>
      <c r="E41" s="308" t="s">
        <v>1435</v>
      </c>
      <c r="F41" s="339">
        <f ca="1">IF(INDIRECT("'数据-取费表'!af"&amp;$G$1)=0,INDIRECT("'数据-取费表'!ae"&amp;$G$1),INDIRECT("'数据-取费表'!af"&amp;$G$1))</f>
        <v>42.08</v>
      </c>
      <c r="G41" s="1568"/>
      <c r="H41" s="1353"/>
      <c r="I41" s="1582"/>
      <c r="J41" s="1583"/>
      <c r="K41" s="2770"/>
      <c r="L41" s="1353"/>
      <c r="M41" s="1353"/>
    </row>
    <row r="42" spans="1:18" ht="18" customHeight="1">
      <c r="A42" s="314"/>
      <c r="B42" s="315"/>
      <c r="C42" s="316"/>
      <c r="D42" s="333"/>
      <c r="E42" s="308" t="s">
        <v>1438</v>
      </c>
      <c r="F42" s="318">
        <f ca="1">INDIRECT("'数据-取费表'!v"&amp;$G$1)</f>
        <v>0.02</v>
      </c>
      <c r="G42" s="1568"/>
      <c r="H42" s="1353"/>
      <c r="I42" s="1582"/>
      <c r="J42" s="1583"/>
      <c r="K42" s="2770"/>
      <c r="L42" s="1353"/>
      <c r="M42" s="1353"/>
    </row>
    <row r="43" spans="1:18" ht="18" customHeight="1" thickBot="1">
      <c r="A43" s="340" t="s">
        <v>1001</v>
      </c>
      <c r="B43" s="341" t="s">
        <v>1448</v>
      </c>
      <c r="C43" s="342">
        <f ca="1">ROUND(C40*10000/F43,0)</f>
        <v>3232</v>
      </c>
      <c r="D43" s="343" t="s">
        <v>1449</v>
      </c>
      <c r="E43" s="344" t="s">
        <v>1450</v>
      </c>
      <c r="F43" s="345">
        <f ca="1">INDIRECT("'数据-取费表'!k"&amp;$G$1)</f>
        <v>45156.59</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1480</v>
      </c>
      <c r="P45" s="1645"/>
      <c r="Q45" s="1645"/>
      <c r="R45" s="1645"/>
    </row>
    <row r="46" spans="1:18" s="1568" customFormat="1" ht="13.5" thickBot="1">
      <c r="A46" s="1588" t="s">
        <v>1481</v>
      </c>
      <c r="C46" s="1589">
        <f ca="1">C68-C40</f>
        <v>-189661</v>
      </c>
      <c r="D46" s="1590" t="str">
        <f>C2</f>
        <v>万元</v>
      </c>
      <c r="E46" s="1584"/>
      <c r="F46" s="1584"/>
      <c r="I46" s="1591" t="s">
        <v>1482</v>
      </c>
      <c r="J46" s="1592"/>
      <c r="K46" s="1593"/>
      <c r="L46" s="1594" t="str">
        <f ca="1">IF(M47="住宅",0,IF(L48&gt;J51,L60,J60))</f>
        <v>0</v>
      </c>
      <c r="O46" s="1595" t="s">
        <v>1483</v>
      </c>
      <c r="P46" s="1596" t="s">
        <v>1484</v>
      </c>
      <c r="Q46" s="1597" t="s">
        <v>1485</v>
      </c>
      <c r="R46" s="1597" t="s">
        <v>1486</v>
      </c>
    </row>
    <row r="47" spans="1:18" s="1568" customFormat="1" ht="13.5" thickBot="1">
      <c r="A47" s="1077" t="s">
        <v>1357</v>
      </c>
      <c r="B47" s="1109" t="s">
        <v>1358</v>
      </c>
      <c r="C47" s="1277" t="s">
        <v>1359</v>
      </c>
      <c r="D47" s="1109" t="s">
        <v>1360</v>
      </c>
      <c r="E47" s="1189" t="s">
        <v>1361</v>
      </c>
      <c r="F47" s="1190"/>
      <c r="G47" s="731"/>
      <c r="I47" s="1598" t="s">
        <v>1487</v>
      </c>
      <c r="J47" s="1599" t="s">
        <v>3167</v>
      </c>
      <c r="K47" s="1600" t="s">
        <v>1488</v>
      </c>
      <c r="L47" s="1601">
        <f ca="1">INDIRECT("'数据-取费表'!d"&amp;$G$1)</f>
        <v>50</v>
      </c>
      <c r="M47" s="1564" t="str">
        <f>IF(ISNUMBER(FIND("住宅",C1)),"住宅","非住宅")</f>
        <v>非住宅</v>
      </c>
      <c r="O47" s="1602" t="s">
        <v>1008</v>
      </c>
      <c r="P47" s="1603" t="s">
        <v>1489</v>
      </c>
      <c r="Q47" s="1604">
        <f ca="1">C40+J29</f>
        <v>14593</v>
      </c>
      <c r="R47" s="1604" t="s">
        <v>1490</v>
      </c>
    </row>
    <row r="48" spans="1:18" s="1568" customFormat="1" ht="28.5" thickBot="1">
      <c r="A48" s="1270" t="s">
        <v>1103</v>
      </c>
      <c r="B48" s="306" t="s">
        <v>1362</v>
      </c>
      <c r="C48" s="1543">
        <f ca="1">C49+C53+C55</f>
        <v>0</v>
      </c>
      <c r="D48" s="1272"/>
      <c r="E48" s="1273"/>
      <c r="F48" s="1093"/>
      <c r="G48" s="731"/>
      <c r="H48" s="732"/>
      <c r="I48" s="1605" t="s">
        <v>1491</v>
      </c>
      <c r="J48" s="1606" t="s">
        <v>3166</v>
      </c>
      <c r="K48" s="1607" t="s">
        <v>1492</v>
      </c>
      <c r="L48" s="1608">
        <f ca="1">INDIRECT("'数据-取费表'!f"&amp;$G$1)</f>
        <v>42.08</v>
      </c>
      <c r="O48" s="1602" t="s">
        <v>1009</v>
      </c>
      <c r="P48" s="1603" t="s">
        <v>1493</v>
      </c>
      <c r="Q48" s="1604" t="str">
        <f ca="1">J60</f>
        <v>0</v>
      </c>
      <c r="R48" s="1604" t="s">
        <v>1494</v>
      </c>
    </row>
    <row r="49" spans="1:18" s="1568" customFormat="1" ht="13.5" thickBot="1">
      <c r="A49" s="1106" t="s">
        <v>1104</v>
      </c>
      <c r="B49" s="1555" t="s">
        <v>1451</v>
      </c>
      <c r="C49" s="1274">
        <f ca="1">ROUND(F49*F51*F50*(1-F52)/10000,0)</f>
        <v>0</v>
      </c>
      <c r="D49" s="1186" t="s">
        <v>2847</v>
      </c>
      <c r="E49" s="1556" t="s">
        <v>1452</v>
      </c>
      <c r="F49" s="1191"/>
      <c r="G49" s="1609"/>
      <c r="H49" s="732"/>
      <c r="I49" s="1605" t="s">
        <v>1495</v>
      </c>
      <c r="J49" s="1610">
        <v>2019</v>
      </c>
      <c r="K49" s="1607" t="s">
        <v>1496</v>
      </c>
      <c r="L49" s="1611"/>
      <c r="O49" s="1612" t="s">
        <v>1010</v>
      </c>
      <c r="P49" s="1603" t="s">
        <v>1497</v>
      </c>
      <c r="Q49" s="1604">
        <f ca="1">C29</f>
        <v>122865</v>
      </c>
      <c r="R49" s="1604" t="s">
        <v>1490</v>
      </c>
    </row>
    <row r="50" spans="1:18" s="1568" customFormat="1" ht="13.5" thickBot="1">
      <c r="A50" s="1107"/>
      <c r="B50" s="1110"/>
      <c r="C50" s="1278"/>
      <c r="D50" s="1084"/>
      <c r="E50" s="1187" t="s">
        <v>1367</v>
      </c>
      <c r="F50" s="1188">
        <f ca="1">F7</f>
        <v>45156.59</v>
      </c>
      <c r="H50" s="732"/>
      <c r="I50" s="1605" t="s">
        <v>1498</v>
      </c>
      <c r="J50" s="1613">
        <f>SUMPRODUCT((I63:I65=J47)*(J62:L62=J48)*(J63:L65))</f>
        <v>60</v>
      </c>
      <c r="K50" s="1607" t="s">
        <v>1499</v>
      </c>
      <c r="L50" s="1611"/>
      <c r="M50" s="1614"/>
      <c r="O50" s="1612" t="s">
        <v>1011</v>
      </c>
      <c r="P50" s="1603" t="s">
        <v>1500</v>
      </c>
      <c r="Q50" s="1615" t="e">
        <f ca="1">J58</f>
        <v>#VALUE!</v>
      </c>
      <c r="R50" s="1604"/>
    </row>
    <row r="51" spans="1:18" s="1568" customFormat="1" ht="13.5" thickBot="1">
      <c r="A51" s="1108"/>
      <c r="B51" s="1110"/>
      <c r="C51" s="1111"/>
      <c r="D51" s="1084"/>
      <c r="E51" s="1112" t="s">
        <v>1368</v>
      </c>
      <c r="F51" s="309">
        <f ca="1">F8</f>
        <v>365</v>
      </c>
      <c r="I51" s="1616" t="s">
        <v>1501</v>
      </c>
      <c r="J51" s="1617">
        <f>IF(J49="",J50,J49+J50-YEAR('数据-取费表'!B2))</f>
        <v>58</v>
      </c>
      <c r="K51" s="1618" t="s">
        <v>1502</v>
      </c>
      <c r="L51" s="1619">
        <f ca="1">ROUND(-PV(INDIRECT("'数据-取费表'!h"&amp;$G$1),J51,(C39-C13*C76),0),0)</f>
        <v>-142591</v>
      </c>
      <c r="M51" s="1620"/>
      <c r="O51" s="1612" t="s">
        <v>1012</v>
      </c>
      <c r="P51" s="1603" t="s">
        <v>1503</v>
      </c>
      <c r="Q51" s="1615">
        <f>J52</f>
        <v>0.08</v>
      </c>
      <c r="R51" s="1604"/>
    </row>
    <row r="52" spans="1:18" s="1568" customFormat="1" ht="13.5" thickBot="1">
      <c r="A52" s="1108"/>
      <c r="B52" s="1110"/>
      <c r="C52" s="1111"/>
      <c r="D52" s="1084"/>
      <c r="E52" s="1112" t="s">
        <v>1369</v>
      </c>
      <c r="F52" s="1185"/>
      <c r="I52" s="1621" t="s">
        <v>1504</v>
      </c>
      <c r="J52" s="1622">
        <v>0.08</v>
      </c>
      <c r="K52" s="1621" t="s">
        <v>1505</v>
      </c>
      <c r="L52" s="1622"/>
      <c r="O52" s="1612" t="s">
        <v>1013</v>
      </c>
      <c r="P52" s="1603" t="s">
        <v>1506</v>
      </c>
      <c r="Q52" s="1604">
        <f ca="1">J53</f>
        <v>42.08</v>
      </c>
      <c r="R52" s="1604" t="s">
        <v>1507</v>
      </c>
    </row>
    <row r="53" spans="1:18" s="1568" customFormat="1" ht="24.75" thickBot="1">
      <c r="A53" s="1314" t="s">
        <v>1105</v>
      </c>
      <c r="B53" s="1557" t="s">
        <v>1370</v>
      </c>
      <c r="C53" s="322">
        <f ca="1">ROUND(IF(F53="押一",C49/12*F11,IF(F53="押二",C49/12*2*F11,IF(F53="押三",C49/12*3*F11,C54*F11))),0)</f>
        <v>0</v>
      </c>
      <c r="D53" s="1550" t="s">
        <v>2853</v>
      </c>
      <c r="E53" s="319" t="s">
        <v>1371</v>
      </c>
      <c r="F53" s="1276"/>
      <c r="I53" s="1623" t="s">
        <v>1508</v>
      </c>
      <c r="J53" s="2386">
        <f ca="1">IF(M47="住宅",IF(D1="——",MAX(J51,L48),MAX(J51,L48-'数据-取费表'!B24)),IF(D1="——",MIN(J51,L48),MIN(J51,L48-'数据-取费表'!B24)))</f>
        <v>42.08</v>
      </c>
      <c r="K53" s="3405" t="s">
        <v>1509</v>
      </c>
      <c r="L53" s="3406"/>
      <c r="O53" s="1602" t="s">
        <v>1014</v>
      </c>
      <c r="P53" s="1603" t="s">
        <v>1510</v>
      </c>
      <c r="Q53" s="1604">
        <f ca="1">Q47+Q48</f>
        <v>14593</v>
      </c>
      <c r="R53" s="1604" t="s">
        <v>1015</v>
      </c>
    </row>
    <row r="54" spans="1:18" s="1568" customFormat="1" ht="13.5" thickBot="1">
      <c r="A54" s="1315"/>
      <c r="B54" s="1551" t="s">
        <v>1349</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1511</v>
      </c>
      <c r="P54" s="1565"/>
      <c r="Q54" s="1565"/>
      <c r="R54" s="1565"/>
    </row>
    <row r="55" spans="1:18" s="1568" customFormat="1" ht="13.5" thickBot="1">
      <c r="A55" s="1243" t="s">
        <v>1043</v>
      </c>
      <c r="B55" s="1553" t="s">
        <v>1374</v>
      </c>
      <c r="C55" s="1244"/>
      <c r="D55" s="1550"/>
      <c r="E55" s="1558"/>
      <c r="F55" s="1624"/>
      <c r="I55" s="1627" t="s">
        <v>1512</v>
      </c>
      <c r="J55" s="1628" t="e">
        <f ca="1">ROUND(IF(J47="钢混",J57/J50,1-(1-2%)*(J50-J57)/J50),3)</f>
        <v>#VALUE!</v>
      </c>
      <c r="K55" s="1629" t="s">
        <v>1513</v>
      </c>
      <c r="L55" s="1630" t="s">
        <v>1514</v>
      </c>
      <c r="O55" s="1595" t="s">
        <v>1483</v>
      </c>
      <c r="P55" s="1596" t="s">
        <v>1484</v>
      </c>
      <c r="Q55" s="1597" t="s">
        <v>1485</v>
      </c>
      <c r="R55" s="1597" t="s">
        <v>1486</v>
      </c>
    </row>
    <row r="56" spans="1:18" s="1568" customFormat="1" ht="25.5" thickTop="1" thickBot="1">
      <c r="A56" s="1088">
        <v>2</v>
      </c>
      <c r="B56" s="1089" t="s">
        <v>1375</v>
      </c>
      <c r="C56" s="238">
        <f ca="1">C13</f>
        <v>119179</v>
      </c>
      <c r="D56" s="1631"/>
      <c r="E56" s="1632"/>
      <c r="F56" s="1624"/>
      <c r="I56" s="1633" t="s">
        <v>1515</v>
      </c>
      <c r="J56" s="3537" t="s">
        <v>3154</v>
      </c>
      <c r="K56" s="1605" t="s">
        <v>1516</v>
      </c>
      <c r="L56" s="1608" t="str">
        <f ca="1">IF(L48&lt;J51,"——",L48-J53)</f>
        <v>——</v>
      </c>
      <c r="O56" s="1602" t="s">
        <v>1008</v>
      </c>
      <c r="P56" s="1603" t="s">
        <v>1489</v>
      </c>
      <c r="Q56" s="1604">
        <f ca="1">C40+J29</f>
        <v>14593</v>
      </c>
      <c r="R56" s="1604" t="s">
        <v>1490</v>
      </c>
    </row>
    <row r="57" spans="1:18" s="1568" customFormat="1" ht="24.75" thickBot="1">
      <c r="A57" s="1635"/>
      <c r="B57" s="1081" t="s">
        <v>1439</v>
      </c>
      <c r="C57" s="244">
        <f ca="1">C29</f>
        <v>122865</v>
      </c>
      <c r="D57" s="1636"/>
      <c r="E57" s="1637"/>
      <c r="F57" s="1638"/>
      <c r="I57" s="1639" t="s">
        <v>1517</v>
      </c>
      <c r="J57" s="1640" t="str">
        <f ca="1">IF(OR(M47="住宅",J51&lt;L48,J56="是"),"——",J51-L48)</f>
        <v>——</v>
      </c>
      <c r="K57" s="1605" t="s">
        <v>1518</v>
      </c>
      <c r="L57" s="1608" t="str">
        <f ca="1">IF(L48&lt;J51,"——",IF(L55="比较法",L49,IF(L55="基准地价",L50,L51)))</f>
        <v>——</v>
      </c>
      <c r="O57" s="1602" t="s">
        <v>1009</v>
      </c>
      <c r="P57" s="1603" t="s">
        <v>1519</v>
      </c>
      <c r="Q57" s="1604">
        <f ca="1">L60</f>
        <v>0</v>
      </c>
      <c r="R57" s="1604" t="s">
        <v>1520</v>
      </c>
    </row>
    <row r="58" spans="1:18" s="1568" customFormat="1" ht="24.75" thickBot="1">
      <c r="A58" s="321" t="s">
        <v>998</v>
      </c>
      <c r="B58" s="1089" t="s">
        <v>1385</v>
      </c>
      <c r="C58" s="322">
        <f ca="1">ROUND(C59+C64+C65+C66,0)</f>
        <v>11494</v>
      </c>
      <c r="D58" s="1091" t="s">
        <v>1386</v>
      </c>
      <c r="E58" s="1092"/>
      <c r="F58" s="1093"/>
      <c r="I58" s="1639" t="s">
        <v>1521</v>
      </c>
      <c r="J58" s="1641" t="e">
        <f ca="1">IF(J55&lt;0.4,0.4,J55)</f>
        <v>#VALUE!</v>
      </c>
      <c r="K58" s="1618" t="s">
        <v>1522</v>
      </c>
      <c r="L58" s="1608" t="e">
        <f ca="1">ROUND(POWER(1+L52,L47-L48)*(POWER(1+L52,L48)-1)/(POWER(1+L52,L47)-1),4)</f>
        <v>#DIV/0!</v>
      </c>
      <c r="O58" s="1612" t="s">
        <v>1010</v>
      </c>
      <c r="P58" s="1603" t="s">
        <v>1523</v>
      </c>
      <c r="Q58" s="1604">
        <f>IF(L55="比较法",L49,IF(L55="基准地价",L50,0))</f>
        <v>0</v>
      </c>
      <c r="R58" s="1604" t="s">
        <v>1490</v>
      </c>
    </row>
    <row r="59" spans="1:18" s="1568" customFormat="1" ht="24.75" thickBot="1">
      <c r="A59" s="1113" t="s">
        <v>1003</v>
      </c>
      <c r="B59" s="1081" t="s">
        <v>1390</v>
      </c>
      <c r="C59" s="2534">
        <f ca="1">ROUND(IF(AND(项目基本情况!B11="自然人",项目基本情况!B10="北京市"),C49*F59/(1+'数据-取费表'!C42),C60+C61+C62),0)</f>
        <v>10392</v>
      </c>
      <c r="D59" s="1094" t="s">
        <v>1391</v>
      </c>
      <c r="E59" s="1095" t="s">
        <v>1392</v>
      </c>
      <c r="F59" s="2533" t="str">
        <f>IF(项目基本情况!B11="企业","——",IF('数据-取费表'!B10="住宅",IF(F49*F50*F51/12/(1+'数据-取费表'!F30)&gt;100000,4%,2.5%),IF(F49*F50*F51/12/(1+'数据-取费表'!F30)&gt;100000,12%,7%)))</f>
        <v>——</v>
      </c>
      <c r="I59" s="1639" t="s">
        <v>1524</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1525</v>
      </c>
      <c r="Q59" s="1615">
        <f>L52</f>
        <v>0</v>
      </c>
      <c r="R59" s="1604"/>
    </row>
    <row r="60" spans="1:18" s="1568" customFormat="1" ht="16.5" thickBot="1">
      <c r="A60" s="1113" t="s">
        <v>1002</v>
      </c>
      <c r="B60" s="1081" t="s">
        <v>1394</v>
      </c>
      <c r="C60" s="24">
        <f ca="1">IF(项目基本情况!B11="自然人","——",ROUND(C48*F60/(1+'数据-取费表'!C42),2))</f>
        <v>0</v>
      </c>
      <c r="D60" s="1095" t="s">
        <v>1395</v>
      </c>
      <c r="E60" s="1081" t="s">
        <v>1383</v>
      </c>
      <c r="F60" s="337">
        <f t="shared" ref="F60:F66" si="0">F32</f>
        <v>5.6000000000000001E-2</v>
      </c>
      <c r="I60" s="1642" t="s">
        <v>1526</v>
      </c>
      <c r="J60" s="1643" t="str">
        <f ca="1">IF(OR(M47="住宅",J51&lt;L48,J56="是"),"0",ROUND(J59/(1+J52)^J53,0))</f>
        <v>0</v>
      </c>
      <c r="K60" s="1644" t="s">
        <v>1527</v>
      </c>
      <c r="L60" s="1643">
        <f ca="1">IF(OR(M47="住宅",L48&lt;J51),0,ROUND(L57*(L58/L59-1),0))</f>
        <v>0</v>
      </c>
      <c r="O60" s="1612" t="s">
        <v>1012</v>
      </c>
      <c r="P60" s="1603" t="s">
        <v>1528</v>
      </c>
      <c r="Q60" s="1604" t="e">
        <f ca="1">L58</f>
        <v>#DIV/0!</v>
      </c>
      <c r="R60" s="1604" t="s">
        <v>1529</v>
      </c>
    </row>
    <row r="61" spans="1:18" s="1568" customFormat="1" ht="13.5" thickBot="1">
      <c r="A61" s="1113" t="s">
        <v>1453</v>
      </c>
      <c r="B61" s="1081" t="s">
        <v>1454</v>
      </c>
      <c r="C61" s="24">
        <f ca="1">IF(项目基本情况!B11="自然人","——",IF(D61="按租金收入计税",ROUND(C49*F61/(1+'数据-取费表'!C42),2),IF(D61="按房产原值计税",ROUND(C57*F61*0.7,2),INDIRECT("'数据-取费表'!Aj"&amp;$G$1))))</f>
        <v>10320.66</v>
      </c>
      <c r="D61" s="1554" t="s">
        <v>1399</v>
      </c>
      <c r="E61" s="1081" t="s">
        <v>1455</v>
      </c>
      <c r="F61" s="328">
        <f t="shared" si="0"/>
        <v>0.12</v>
      </c>
      <c r="I61" s="1645"/>
      <c r="J61" s="1645"/>
      <c r="K61" s="1645"/>
      <c r="L61" s="1645"/>
      <c r="O61" s="1612" t="s">
        <v>1013</v>
      </c>
      <c r="P61" s="1603" t="str">
        <f>K59</f>
        <v>建筑物剩余耐用年限下的土地年期修正系数Kn</v>
      </c>
      <c r="Q61" s="1604" t="e">
        <f ca="1">L59</f>
        <v>#DIV/0!</v>
      </c>
      <c r="R61" s="1604" t="s">
        <v>1530</v>
      </c>
    </row>
    <row r="62" spans="1:18" s="1568" customFormat="1" ht="13.5" thickBot="1">
      <c r="A62" s="1113" t="s">
        <v>1456</v>
      </c>
      <c r="B62" s="1080" t="s">
        <v>1457</v>
      </c>
      <c r="C62" s="25">
        <f ca="1">IF(项目基本情况!B11="自然人","——",ROUND(F62*F63/10000,2))</f>
        <v>71.22</v>
      </c>
      <c r="D62" s="1096" t="s">
        <v>1458</v>
      </c>
      <c r="E62" s="1081" t="s">
        <v>1459</v>
      </c>
      <c r="F62" s="331">
        <f t="shared" si="0"/>
        <v>11.2</v>
      </c>
      <c r="I62" s="1646" t="s">
        <v>1531</v>
      </c>
      <c r="J62" s="1647" t="s">
        <v>1532</v>
      </c>
      <c r="K62" s="1647" t="s">
        <v>1533</v>
      </c>
      <c r="L62" s="1647" t="s">
        <v>1534</v>
      </c>
      <c r="M62" s="1648" t="s">
        <v>1535</v>
      </c>
      <c r="O62" s="1602" t="s">
        <v>1014</v>
      </c>
      <c r="P62" s="1603" t="s">
        <v>1536</v>
      </c>
      <c r="Q62" s="1604">
        <f ca="1">Q56+Q57</f>
        <v>14593</v>
      </c>
      <c r="R62" s="1604" t="s">
        <v>1015</v>
      </c>
    </row>
    <row r="63" spans="1:18" s="1568" customFormat="1" ht="13.5" thickBot="1">
      <c r="A63" s="332"/>
      <c r="B63" s="1087"/>
      <c r="C63" s="29"/>
      <c r="D63" s="1097"/>
      <c r="E63" s="1081" t="s">
        <v>1460</v>
      </c>
      <c r="F63" s="309">
        <f t="shared" ca="1" si="0"/>
        <v>63585.59</v>
      </c>
      <c r="I63" s="1646" t="s">
        <v>1537</v>
      </c>
      <c r="J63" s="1647">
        <v>70</v>
      </c>
      <c r="K63" s="1647">
        <v>50</v>
      </c>
      <c r="L63" s="1647">
        <v>80</v>
      </c>
      <c r="M63" s="1649">
        <v>0.02</v>
      </c>
      <c r="O63" s="1587" t="s">
        <v>1538</v>
      </c>
      <c r="P63" s="1565"/>
      <c r="Q63" s="1565"/>
      <c r="R63" s="1565"/>
    </row>
    <row r="64" spans="1:18" s="1568" customFormat="1" ht="13.5" thickBot="1">
      <c r="A64" s="1113" t="s">
        <v>1461</v>
      </c>
      <c r="B64" s="1081" t="s">
        <v>1462</v>
      </c>
      <c r="C64" s="24">
        <f ca="1">ROUND(C57*F64,1)</f>
        <v>982.9</v>
      </c>
      <c r="D64" s="1095" t="s">
        <v>1463</v>
      </c>
      <c r="E64" s="1081" t="s">
        <v>1455</v>
      </c>
      <c r="F64" s="334">
        <f t="shared" ca="1" si="0"/>
        <v>8.0000000000000002E-3</v>
      </c>
      <c r="I64" s="1646" t="s">
        <v>1539</v>
      </c>
      <c r="J64" s="1647">
        <v>50</v>
      </c>
      <c r="K64" s="1647">
        <v>35</v>
      </c>
      <c r="L64" s="1647">
        <v>60</v>
      </c>
      <c r="M64" s="1648">
        <v>0</v>
      </c>
      <c r="O64" s="1595" t="s">
        <v>1483</v>
      </c>
      <c r="P64" s="1596" t="s">
        <v>1484</v>
      </c>
      <c r="Q64" s="1597" t="s">
        <v>1485</v>
      </c>
      <c r="R64" s="1597" t="s">
        <v>1486</v>
      </c>
    </row>
    <row r="65" spans="1:18" s="1568" customFormat="1" ht="13.5" thickBot="1">
      <c r="A65" s="1113" t="s">
        <v>1464</v>
      </c>
      <c r="B65" s="1081" t="s">
        <v>1414</v>
      </c>
      <c r="C65" s="24">
        <f ca="1">ROUND(C56*F65,1)</f>
        <v>119.2</v>
      </c>
      <c r="D65" s="1095" t="s">
        <v>1415</v>
      </c>
      <c r="E65" s="1081" t="s">
        <v>1416</v>
      </c>
      <c r="F65" s="336">
        <f t="shared" ca="1" si="0"/>
        <v>1E-3</v>
      </c>
      <c r="I65" s="1646" t="s">
        <v>1540</v>
      </c>
      <c r="J65" s="1647">
        <v>40</v>
      </c>
      <c r="K65" s="1647">
        <v>30</v>
      </c>
      <c r="L65" s="1647">
        <v>50</v>
      </c>
      <c r="M65" s="1649">
        <v>0.02</v>
      </c>
      <c r="O65" s="1602" t="s">
        <v>1008</v>
      </c>
      <c r="P65" s="1603" t="s">
        <v>1541</v>
      </c>
      <c r="Q65" s="1604">
        <f ca="1">C40+J29</f>
        <v>14593</v>
      </c>
      <c r="R65" s="1604" t="s">
        <v>1490</v>
      </c>
    </row>
    <row r="66" spans="1:18" s="1568" customFormat="1" ht="16.5" thickBot="1">
      <c r="A66" s="1113" t="s">
        <v>1465</v>
      </c>
      <c r="B66" s="1081" t="s">
        <v>1400</v>
      </c>
      <c r="C66" s="24">
        <f ca="1">ROUND(C48*F66,1)</f>
        <v>0</v>
      </c>
      <c r="D66" s="1095" t="s">
        <v>1466</v>
      </c>
      <c r="E66" s="1081" t="s">
        <v>1383</v>
      </c>
      <c r="F66" s="318">
        <f t="shared" ca="1" si="0"/>
        <v>0.01</v>
      </c>
      <c r="O66" s="1602" t="s">
        <v>1009</v>
      </c>
      <c r="P66" s="1603" t="s">
        <v>1519</v>
      </c>
      <c r="Q66" s="1604">
        <f ca="1">L60</f>
        <v>0</v>
      </c>
      <c r="R66" s="1604" t="s">
        <v>1542</v>
      </c>
    </row>
    <row r="67" spans="1:18" s="1568" customFormat="1" ht="16.5" thickBot="1">
      <c r="A67" s="1088" t="s">
        <v>999</v>
      </c>
      <c r="B67" s="1098" t="s">
        <v>1424</v>
      </c>
      <c r="C67" s="322">
        <f ca="1">C48-C58</f>
        <v>-11494</v>
      </c>
      <c r="D67" s="1094" t="s">
        <v>1425</v>
      </c>
      <c r="E67" s="1099"/>
      <c r="F67" s="1100"/>
      <c r="O67" s="1612" t="s">
        <v>1010</v>
      </c>
      <c r="P67" s="1603" t="s">
        <v>1523</v>
      </c>
      <c r="Q67" s="1650">
        <f ca="1">L51</f>
        <v>-142591</v>
      </c>
      <c r="R67" s="1604" t="s">
        <v>1543</v>
      </c>
    </row>
    <row r="68" spans="1:18" s="1568" customFormat="1" ht="16.5" thickBot="1">
      <c r="A68" s="1078" t="s">
        <v>1000</v>
      </c>
      <c r="B68" s="1079" t="s">
        <v>1446</v>
      </c>
      <c r="C68" s="307">
        <f ca="1">ROUND(C67*(1-((1+F70)/(1+F68))^F69)/(F68-F70),0)</f>
        <v>-175068</v>
      </c>
      <c r="D68" s="1096" t="s">
        <v>1430</v>
      </c>
      <c r="E68" s="1081" t="s">
        <v>1431</v>
      </c>
      <c r="F68" s="318">
        <f ca="1">F40</f>
        <v>0.06</v>
      </c>
      <c r="O68" s="1612" t="s">
        <v>1011</v>
      </c>
      <c r="P68" s="1651" t="s">
        <v>1544</v>
      </c>
      <c r="Q68" s="1604">
        <f ca="1">ROUND(Q69-Q70*Q71,0)</f>
        <v>-8210</v>
      </c>
      <c r="R68" s="1604" t="s">
        <v>1019</v>
      </c>
    </row>
    <row r="69" spans="1:18" s="1568" customFormat="1" ht="13.5" thickBot="1">
      <c r="A69" s="1082"/>
      <c r="B69" s="1083"/>
      <c r="C69" s="312"/>
      <c r="D69" s="1101" t="s">
        <v>1434</v>
      </c>
      <c r="E69" s="1081" t="s">
        <v>1435</v>
      </c>
      <c r="F69" s="339">
        <f ca="1">F41</f>
        <v>42.08</v>
      </c>
      <c r="O69" s="1612" t="s">
        <v>1016</v>
      </c>
      <c r="P69" s="1651" t="s">
        <v>1545</v>
      </c>
      <c r="Q69" s="1604">
        <f ca="1">C39</f>
        <v>728</v>
      </c>
      <c r="R69" s="1604" t="s">
        <v>1490</v>
      </c>
    </row>
    <row r="70" spans="1:18" s="1568" customFormat="1" ht="13.5" thickBot="1">
      <c r="A70" s="1085"/>
      <c r="B70" s="1086"/>
      <c r="C70" s="316"/>
      <c r="D70" s="1097"/>
      <c r="E70" s="1081" t="s">
        <v>1438</v>
      </c>
      <c r="F70" s="1185"/>
      <c r="O70" s="1612" t="s">
        <v>1017</v>
      </c>
      <c r="P70" s="1651" t="s">
        <v>1546</v>
      </c>
      <c r="Q70" s="1604">
        <f ca="1">C13</f>
        <v>119179</v>
      </c>
      <c r="R70" s="1604" t="s">
        <v>1490</v>
      </c>
    </row>
    <row r="71" spans="1:18" s="1568" customFormat="1" ht="13.5" thickBot="1">
      <c r="A71" s="1102" t="s">
        <v>1001</v>
      </c>
      <c r="B71" s="1103" t="s">
        <v>1448</v>
      </c>
      <c r="C71" s="342">
        <f ca="1">ROUND(C68*10000/F71,0)</f>
        <v>-38769</v>
      </c>
      <c r="D71" s="1104" t="s">
        <v>1449</v>
      </c>
      <c r="E71" s="1105" t="s">
        <v>1450</v>
      </c>
      <c r="F71" s="345">
        <f ca="1">F43</f>
        <v>45156.59</v>
      </c>
      <c r="O71" s="1612" t="s">
        <v>1018</v>
      </c>
      <c r="P71" s="1651" t="s">
        <v>1547</v>
      </c>
      <c r="Q71" s="1615">
        <f ca="1">C76</f>
        <v>7.4999999999999997E-2</v>
      </c>
      <c r="R71" s="1604"/>
    </row>
    <row r="72" spans="1:18" s="1568" customFormat="1" ht="13.5" thickBot="1">
      <c r="B72" s="735"/>
      <c r="C72" s="735"/>
      <c r="O72" s="1612" t="s">
        <v>1012</v>
      </c>
      <c r="P72" s="1603" t="s">
        <v>1525</v>
      </c>
      <c r="Q72" s="1615">
        <f>L52</f>
        <v>0</v>
      </c>
      <c r="R72" s="1604"/>
    </row>
    <row r="73" spans="1:18" ht="16.5" thickBot="1">
      <c r="A73" s="1568"/>
      <c r="B73" s="735"/>
      <c r="C73" s="735"/>
      <c r="D73" s="1568"/>
      <c r="E73" s="1568"/>
      <c r="F73" s="1568"/>
      <c r="O73" s="1612" t="s">
        <v>1013</v>
      </c>
      <c r="P73" s="1603" t="s">
        <v>1528</v>
      </c>
      <c r="Q73" s="1604" t="e">
        <f ca="1">L58</f>
        <v>#DIV/0!</v>
      </c>
      <c r="R73" s="1604" t="s">
        <v>1529</v>
      </c>
    </row>
    <row r="74" spans="1:18" ht="13.5" thickBot="1">
      <c r="A74" s="1568"/>
      <c r="B74" s="279" t="s">
        <v>1548</v>
      </c>
      <c r="C74" s="1653"/>
      <c r="D74" s="1568"/>
      <c r="E74" s="1568"/>
      <c r="F74" s="1568"/>
      <c r="O74" s="1612" t="s">
        <v>1020</v>
      </c>
      <c r="P74" s="1603" t="str">
        <f>K59</f>
        <v>建筑物剩余耐用年限下的土地年期修正系数Kn</v>
      </c>
      <c r="Q74" s="1604" t="e">
        <f ca="1">L59</f>
        <v>#DIV/0!</v>
      </c>
      <c r="R74" s="1604" t="s">
        <v>1530</v>
      </c>
    </row>
    <row r="75" spans="1:18" ht="13.5" thickBot="1">
      <c r="A75" s="1568"/>
      <c r="B75" s="346" t="s">
        <v>1467</v>
      </c>
      <c r="C75" s="347">
        <f ca="1">ROUND(C13*C76,0)</f>
        <v>8938</v>
      </c>
      <c r="D75" s="1568"/>
      <c r="E75" s="1568"/>
      <c r="F75" s="1568"/>
      <c r="K75" s="1586"/>
      <c r="L75" s="1568"/>
      <c r="O75" s="1602" t="s">
        <v>1014</v>
      </c>
      <c r="P75" s="1603" t="s">
        <v>1510</v>
      </c>
      <c r="Q75" s="1604">
        <f ca="1">Q65+Q66</f>
        <v>14593</v>
      </c>
      <c r="R75" s="1604" t="s">
        <v>1015</v>
      </c>
    </row>
    <row r="76" spans="1:18">
      <c r="B76" s="348" t="s">
        <v>1468</v>
      </c>
      <c r="C76" s="349">
        <f ca="1">INDIRECT("'数据-取费表'!j"&amp;$G$1)</f>
        <v>7.4999999999999997E-2</v>
      </c>
      <c r="I76" s="1568"/>
      <c r="J76" s="1568"/>
      <c r="K76" s="1586"/>
      <c r="L76" s="1568"/>
    </row>
    <row r="77" spans="1:18">
      <c r="B77" s="350" t="s">
        <v>1469</v>
      </c>
      <c r="C77" s="351"/>
      <c r="I77" s="1568"/>
      <c r="J77" s="1568"/>
      <c r="K77" s="1586"/>
      <c r="L77" s="1568"/>
    </row>
    <row r="78" spans="1:18">
      <c r="B78" s="276" t="s">
        <v>1470</v>
      </c>
      <c r="C78" s="352"/>
    </row>
    <row r="79" spans="1:18">
      <c r="B79" s="346" t="s">
        <v>1471</v>
      </c>
      <c r="C79" s="280">
        <f ca="1">1-C80</f>
        <v>-11.276999999999999</v>
      </c>
    </row>
    <row r="80" spans="1:18">
      <c r="B80" s="346" t="s">
        <v>1472</v>
      </c>
      <c r="C80" s="280">
        <f ca="1">ROUND(C75/C39,3)</f>
        <v>12.276999999999999</v>
      </c>
    </row>
    <row r="81" spans="2:3">
      <c r="B81" s="276" t="s">
        <v>1473</v>
      </c>
      <c r="C81" s="244"/>
    </row>
    <row r="82" spans="2:3">
      <c r="B82" s="279" t="s">
        <v>1474</v>
      </c>
      <c r="C82" s="281">
        <f ca="1">1-C83</f>
        <v>-7.1669999999999998</v>
      </c>
    </row>
    <row r="83" spans="2:3">
      <c r="B83" s="279" t="s">
        <v>1475</v>
      </c>
      <c r="C83" s="280">
        <f ca="1">ROUND(C13/C40,3)</f>
        <v>8.1669999999999998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1550</v>
      </c>
      <c r="B1" s="722"/>
      <c r="C1" s="1563"/>
      <c r="D1" s="1546"/>
      <c r="E1" s="1547" t="s">
        <v>1348</v>
      </c>
      <c r="F1" s="1193">
        <f ca="1">J53</f>
        <v>0</v>
      </c>
      <c r="G1" s="1562">
        <f>MATCH(C1,'数据-取费表'!A6:A16,0)+5</f>
        <v>8</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1551</v>
      </c>
      <c r="B2" s="1570" t="e">
        <f ca="1">ROUND(D2/10000,0)</f>
        <v>#DIV/0!</v>
      </c>
      <c r="C2" s="1571" t="s">
        <v>1552</v>
      </c>
      <c r="D2" s="1655" t="e">
        <f ca="1">C40+J29+L46</f>
        <v>#DIV/0!</v>
      </c>
      <c r="E2" s="1572" t="s">
        <v>1553</v>
      </c>
      <c r="F2" s="1573"/>
      <c r="G2" s="2935"/>
      <c r="H2" s="2924"/>
      <c r="I2" s="2924"/>
      <c r="J2" s="2924"/>
      <c r="K2" s="2925"/>
      <c r="L2" s="2924"/>
      <c r="M2" s="2924"/>
    </row>
    <row r="3" spans="1:37" ht="18" customHeight="1" thickBot="1">
      <c r="A3" s="1574" t="s">
        <v>1554</v>
      </c>
      <c r="B3" s="1575">
        <f ca="1">IF(ISERROR(D2/F43),0,ROUND(D2/F43,0))</f>
        <v>0</v>
      </c>
      <c r="C3" s="1571" t="s">
        <v>1555</v>
      </c>
      <c r="D3" s="1571"/>
      <c r="E3" s="1572"/>
      <c r="F3" s="1573"/>
      <c r="G3" s="2935"/>
      <c r="H3" s="692" t="s">
        <v>1549</v>
      </c>
      <c r="I3" s="1566"/>
      <c r="J3" s="1566"/>
      <c r="K3" s="1567"/>
      <c r="L3" s="1566"/>
      <c r="M3" s="1566"/>
    </row>
    <row r="4" spans="1:37" ht="18" customHeight="1">
      <c r="A4" s="301" t="s">
        <v>1556</v>
      </c>
      <c r="B4" s="302" t="s">
        <v>1557</v>
      </c>
      <c r="C4" s="302" t="s">
        <v>1558</v>
      </c>
      <c r="D4" s="302" t="s">
        <v>1559</v>
      </c>
      <c r="E4" s="303" t="s">
        <v>1560</v>
      </c>
      <c r="F4" s="304"/>
      <c r="G4" s="1568"/>
      <c r="H4" s="301" t="s">
        <v>1556</v>
      </c>
      <c r="I4" s="302" t="s">
        <v>1557</v>
      </c>
      <c r="J4" s="302" t="s">
        <v>1558</v>
      </c>
      <c r="K4" s="302" t="s">
        <v>1559</v>
      </c>
      <c r="L4" s="303" t="s">
        <v>1560</v>
      </c>
      <c r="M4" s="304"/>
    </row>
    <row r="5" spans="1:37" ht="18" customHeight="1">
      <c r="A5" s="305">
        <v>1</v>
      </c>
      <c r="B5" s="306" t="s">
        <v>1561</v>
      </c>
      <c r="C5" s="1202">
        <f ca="1">C6+C10+C12</f>
        <v>0</v>
      </c>
      <c r="D5" s="1548" t="s">
        <v>1562</v>
      </c>
      <c r="E5" s="1203"/>
      <c r="F5" s="1204"/>
      <c r="G5" s="1568"/>
      <c r="H5" s="305">
        <v>1</v>
      </c>
      <c r="I5" s="306" t="s">
        <v>1561</v>
      </c>
      <c r="J5" s="1202">
        <f ca="1">J6+J10+J12</f>
        <v>0</v>
      </c>
      <c r="K5" s="1548" t="s">
        <v>1562</v>
      </c>
      <c r="L5" s="1203"/>
      <c r="M5" s="1204"/>
    </row>
    <row r="6" spans="1:37" ht="18" customHeight="1">
      <c r="A6" s="1201" t="s">
        <v>1003</v>
      </c>
      <c r="B6" s="3407" t="s">
        <v>1364</v>
      </c>
      <c r="C6" s="1206">
        <f ca="1">ROUND(F6*F8*F7*(1-F9),0)</f>
        <v>0</v>
      </c>
      <c r="D6" s="160" t="s">
        <v>2843</v>
      </c>
      <c r="E6" s="308" t="s">
        <v>1366</v>
      </c>
      <c r="F6" s="309">
        <f ca="1">INDIRECT("'数据-取费表'!u"&amp;$G$1)</f>
        <v>0</v>
      </c>
      <c r="G6" s="1568"/>
      <c r="H6" s="1201" t="s">
        <v>1003</v>
      </c>
      <c r="I6" s="3407" t="s">
        <v>1364</v>
      </c>
      <c r="J6" s="307">
        <f ca="1">ROUND(M6*M8*M7*(1-M9),0)</f>
        <v>0</v>
      </c>
      <c r="K6" s="1560" t="s">
        <v>2844</v>
      </c>
      <c r="L6" s="308" t="s">
        <v>1366</v>
      </c>
      <c r="M6" s="309">
        <f ca="1">INDIRECT("'数据-取费表'!z"&amp;$G$1)</f>
        <v>0</v>
      </c>
    </row>
    <row r="7" spans="1:37" ht="18" customHeight="1">
      <c r="A7" s="1205"/>
      <c r="B7" s="3408"/>
      <c r="C7" s="1207"/>
      <c r="D7" s="313"/>
      <c r="E7" s="1208" t="s">
        <v>1367</v>
      </c>
      <c r="F7" s="309">
        <f ca="1">IF(INDIRECT("'数据-取费表'!ah"&amp;$G$1)="",INDIRECT("'数据-取费表'!k"&amp;$G$1),INDIRECT("'数据-取费表'!ah"&amp;$G$1))</f>
        <v>0</v>
      </c>
      <c r="G7" s="1568"/>
      <c r="H7" s="310"/>
      <c r="I7" s="3408"/>
      <c r="J7" s="312"/>
      <c r="K7" s="313"/>
      <c r="L7" s="308" t="s">
        <v>1367</v>
      </c>
      <c r="M7" s="309">
        <f ca="1">F7</f>
        <v>0</v>
      </c>
    </row>
    <row r="8" spans="1:37" ht="18" customHeight="1">
      <c r="A8" s="310"/>
      <c r="B8" s="3408"/>
      <c r="C8" s="312"/>
      <c r="D8" s="313"/>
      <c r="E8" s="308" t="s">
        <v>1368</v>
      </c>
      <c r="F8" s="309">
        <f ca="1">INDIRECT("'数据-取费表'!ai"&amp;$G$1)</f>
        <v>0</v>
      </c>
      <c r="G8" s="1568"/>
      <c r="H8" s="310"/>
      <c r="I8" s="3408"/>
      <c r="J8" s="312"/>
      <c r="K8" s="313"/>
      <c r="L8" s="308" t="s">
        <v>1368</v>
      </c>
      <c r="M8" s="309">
        <f ca="1">INDIRECT("'数据-取费表'!ai"&amp;$G$1)</f>
        <v>0</v>
      </c>
    </row>
    <row r="9" spans="1:37" ht="18" customHeight="1">
      <c r="A9" s="310"/>
      <c r="B9" s="3409"/>
      <c r="C9" s="312"/>
      <c r="D9" s="313"/>
      <c r="E9" s="308" t="s">
        <v>1369</v>
      </c>
      <c r="F9" s="318">
        <f ca="1">INDIRECT("'数据-取费表'!w"&amp;$G$1)</f>
        <v>0</v>
      </c>
      <c r="G9" s="1568"/>
      <c r="H9" s="310"/>
      <c r="I9" s="3409"/>
      <c r="J9" s="312"/>
      <c r="K9" s="313"/>
      <c r="L9" s="319" t="s">
        <v>1369</v>
      </c>
      <c r="M9" s="320">
        <f ca="1">INDIRECT("'数据-取费表'!ab"&amp;$G$1)</f>
        <v>0</v>
      </c>
    </row>
    <row r="10" spans="1:37" ht="18" customHeight="1">
      <c r="A10" s="1201" t="s">
        <v>1007</v>
      </c>
      <c r="B10" s="1549" t="s">
        <v>1370</v>
      </c>
      <c r="C10" s="322">
        <f ca="1">ROUND(IF(F10="押一",C6/12*F11,IF(F10="押二",C6/12*2*F11,IF(F10="押三",C6/12*3*F11,C11*F11))),0)</f>
        <v>0</v>
      </c>
      <c r="D10" s="1550" t="s">
        <v>2853</v>
      </c>
      <c r="E10" s="319" t="s">
        <v>1371</v>
      </c>
      <c r="F10" s="1276"/>
      <c r="G10" s="1568"/>
      <c r="H10" s="1201" t="s">
        <v>1007</v>
      </c>
      <c r="I10" s="1549" t="s">
        <v>1370</v>
      </c>
      <c r="J10" s="307">
        <f ca="1">ROUND(IF(M10="押一",J6/12*M11,IF(M10="押二",J6/12*2*M11,IF(M10="押三",J6/12*3*M11,J11*M11))),0)</f>
        <v>0</v>
      </c>
      <c r="K10" s="1561" t="s">
        <v>2855</v>
      </c>
      <c r="L10" s="319" t="s">
        <v>1371</v>
      </c>
      <c r="M10" s="1276"/>
    </row>
    <row r="11" spans="1:37" ht="18" customHeight="1">
      <c r="A11" s="314"/>
      <c r="B11" s="1551" t="s">
        <v>1563</v>
      </c>
      <c r="C11" s="1090"/>
      <c r="D11" s="313"/>
      <c r="E11" s="319" t="s">
        <v>1373</v>
      </c>
      <c r="F11" s="320">
        <f ca="1">'数据-取费表'!B39</f>
        <v>1.4999999999999999E-2</v>
      </c>
      <c r="G11" s="1568"/>
      <c r="H11" s="1209"/>
      <c r="I11" s="1551" t="s">
        <v>1564</v>
      </c>
      <c r="J11" s="1090"/>
      <c r="K11" s="693"/>
      <c r="L11" s="319" t="s">
        <v>1373</v>
      </c>
      <c r="M11" s="971">
        <f ca="1">'数据-取费表'!B39</f>
        <v>1.4999999999999999E-2</v>
      </c>
    </row>
    <row r="12" spans="1:37" ht="18" customHeight="1" thickBot="1">
      <c r="A12" s="1243" t="s">
        <v>1043</v>
      </c>
      <c r="B12" s="1553" t="s">
        <v>1374</v>
      </c>
      <c r="C12" s="1244"/>
      <c r="D12" s="1245"/>
      <c r="E12" s="1250"/>
      <c r="F12" s="1246"/>
      <c r="G12" s="1568"/>
      <c r="H12" s="1243" t="s">
        <v>1043</v>
      </c>
      <c r="I12" s="1553" t="s">
        <v>1374</v>
      </c>
      <c r="J12" s="1244"/>
      <c r="K12" s="1258"/>
      <c r="L12" s="1250"/>
      <c r="M12" s="1259"/>
    </row>
    <row r="13" spans="1:37" ht="18" customHeight="1" thickTop="1">
      <c r="A13" s="1239">
        <v>2</v>
      </c>
      <c r="B13" s="1240" t="s">
        <v>1375</v>
      </c>
      <c r="C13" s="316">
        <f ca="1">ROUND(C29*F13,0)</f>
        <v>0</v>
      </c>
      <c r="D13" s="1241" t="s">
        <v>1376</v>
      </c>
      <c r="E13" s="1241" t="s">
        <v>1377</v>
      </c>
      <c r="F13" s="1242">
        <f ca="1">INDIRECT("'数据-取费表'!y"&amp;$G$1)</f>
        <v>0</v>
      </c>
      <c r="G13" s="1568"/>
      <c r="H13" s="1239">
        <v>2</v>
      </c>
      <c r="I13" s="1240" t="s">
        <v>1375</v>
      </c>
      <c r="J13" s="1200">
        <f ca="1">ROUND(J14*J15,0)</f>
        <v>0</v>
      </c>
      <c r="K13" s="1247" t="s">
        <v>1376</v>
      </c>
      <c r="L13" s="1576"/>
      <c r="M13" s="1577"/>
    </row>
    <row r="14" spans="1:37" ht="18" customHeight="1">
      <c r="A14" s="1113" t="s">
        <v>1002</v>
      </c>
      <c r="B14" s="308" t="s">
        <v>1378</v>
      </c>
      <c r="C14" s="324">
        <f ca="1">ROUND(INDIRECT("'数据-取费表'!l"&amp;$G$1)*F43+'数据-取费表'!L14*INDIRECT("'数据-取费表'!S"&amp;$G$1),0)</f>
        <v>0</v>
      </c>
      <c r="D14" s="1529" t="s">
        <v>1379</v>
      </c>
      <c r="E14" s="1526"/>
      <c r="F14" s="325"/>
      <c r="G14" s="1568"/>
      <c r="H14" s="1113" t="s">
        <v>1003</v>
      </c>
      <c r="I14" s="308" t="s">
        <v>1380</v>
      </c>
      <c r="J14" s="24">
        <f ca="1">C29</f>
        <v>0</v>
      </c>
      <c r="K14" s="15"/>
      <c r="L14" s="916"/>
      <c r="M14" s="917"/>
    </row>
    <row r="15" spans="1:37" s="1581" customFormat="1" ht="18" customHeight="1" thickBot="1">
      <c r="A15" s="1113" t="s">
        <v>1004</v>
      </c>
      <c r="B15" s="308" t="s">
        <v>1381</v>
      </c>
      <c r="C15" s="24">
        <f ca="1">ROUND(C14*F15,0)</f>
        <v>0</v>
      </c>
      <c r="D15" s="326" t="s">
        <v>1382</v>
      </c>
      <c r="E15" s="326" t="s">
        <v>1383</v>
      </c>
      <c r="F15" s="327">
        <f>'数据-取费表'!B33</f>
        <v>0.03</v>
      </c>
      <c r="G15" s="1580"/>
      <c r="H15" s="1249" t="s">
        <v>1007</v>
      </c>
      <c r="I15" s="1250" t="s">
        <v>1377</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1350</v>
      </c>
      <c r="B16" s="308" t="s">
        <v>1384</v>
      </c>
      <c r="C16" s="24">
        <f ca="1">ROUND(INDIRECT("'数据-取费表'!l"&amp;$G$1)*F43*F16,0)</f>
        <v>0</v>
      </c>
      <c r="D16" s="308" t="s">
        <v>1382</v>
      </c>
      <c r="E16" s="308" t="s">
        <v>1383</v>
      </c>
      <c r="F16" s="328">
        <f ca="1">IF(INDIRECT("'数据-取费表'!c"&amp;$G$1)="住宅",'数据-取费表'!B34,0)</f>
        <v>0</v>
      </c>
      <c r="G16" s="1568"/>
      <c r="H16" s="1239" t="s">
        <v>998</v>
      </c>
      <c r="I16" s="1240" t="s">
        <v>1385</v>
      </c>
      <c r="J16" s="316">
        <f ca="1">ROUND(J17+J22+J23+J24,0)</f>
        <v>0</v>
      </c>
      <c r="K16" s="1247" t="s">
        <v>1386</v>
      </c>
      <c r="L16" s="1248"/>
      <c r="M16" s="1204"/>
    </row>
    <row r="17" spans="1:37" s="1581" customFormat="1" ht="18" customHeight="1">
      <c r="A17" s="1113" t="s">
        <v>1351</v>
      </c>
      <c r="B17" s="308" t="s">
        <v>1387</v>
      </c>
      <c r="C17" s="24">
        <f ca="1">ROUND(F17*(F43+INDIRECT("'数据-取费表'!S"&amp;$G$1)),0)</f>
        <v>0</v>
      </c>
      <c r="D17" s="308" t="s">
        <v>1388</v>
      </c>
      <c r="E17" s="308" t="s">
        <v>1389</v>
      </c>
      <c r="F17" s="26">
        <f>'数据-取费表'!B35</f>
        <v>200</v>
      </c>
      <c r="G17" s="1580"/>
      <c r="H17" s="1113" t="s">
        <v>1003</v>
      </c>
      <c r="I17" s="308" t="s">
        <v>1390</v>
      </c>
      <c r="J17" s="2534">
        <f ca="1">ROUND(IF(AND(项目基本情况!B11="自然人",项目基本情况!B10="北京市"),J6*M17/(1+'数据-取费表'!C42),J18+J19+J20),0)</f>
        <v>0</v>
      </c>
      <c r="K17" s="1529" t="s">
        <v>1391</v>
      </c>
      <c r="L17" s="1528" t="s">
        <v>1392</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1352</v>
      </c>
      <c r="B18" s="308" t="s">
        <v>1393</v>
      </c>
      <c r="C18" s="24">
        <f ca="1">ROUND(C14*F18,0)</f>
        <v>0</v>
      </c>
      <c r="D18" s="308" t="s">
        <v>1382</v>
      </c>
      <c r="E18" s="308" t="s">
        <v>1383</v>
      </c>
      <c r="F18" s="328">
        <f>'数据-取费表'!B36</f>
        <v>1.4999999999999999E-2</v>
      </c>
      <c r="G18" s="1580"/>
      <c r="H18" s="1113" t="s">
        <v>1002</v>
      </c>
      <c r="I18" s="308" t="s">
        <v>1394</v>
      </c>
      <c r="J18" s="24">
        <f ca="1">ROUND(J6*M18/(1+'数据-取费表'!C42),0)</f>
        <v>0</v>
      </c>
      <c r="K18" s="1528" t="s">
        <v>1395</v>
      </c>
      <c r="L18" s="308" t="s">
        <v>1383</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1396</v>
      </c>
      <c r="C19" s="24">
        <f ca="1">SUM(C14:C18)</f>
        <v>0</v>
      </c>
      <c r="D19" s="136" t="s">
        <v>1397</v>
      </c>
      <c r="E19" s="1544"/>
      <c r="F19" s="26"/>
      <c r="G19" s="1568"/>
      <c r="H19" s="1113" t="s">
        <v>1004</v>
      </c>
      <c r="I19" s="308" t="s">
        <v>1398</v>
      </c>
      <c r="J19" s="24">
        <f ca="1">IF(K19="按租金收入计税",ROUND(J6*M19/(1+'数据-取费表'!C42),0),ROUND(C29*M19*0.7,0))</f>
        <v>0</v>
      </c>
      <c r="K19" s="1554" t="s">
        <v>1399</v>
      </c>
      <c r="L19" s="308" t="s">
        <v>1383</v>
      </c>
      <c r="M19" s="328">
        <f>IF(K19="按租金收入计税",'数据-取费表'!B51,'数据-取费表'!B50)</f>
        <v>1.2E-2</v>
      </c>
    </row>
    <row r="20" spans="1:37" s="1581" customFormat="1" ht="18" customHeight="1">
      <c r="A20" s="1113" t="s">
        <v>1007</v>
      </c>
      <c r="B20" s="308" t="s">
        <v>1400</v>
      </c>
      <c r="C20" s="24">
        <f ca="1">ROUND(C19*F20,0)</f>
        <v>0</v>
      </c>
      <c r="D20" s="329" t="s">
        <v>1401</v>
      </c>
      <c r="E20" s="308" t="s">
        <v>1383</v>
      </c>
      <c r="F20" s="328">
        <f>'数据-取费表'!B37</f>
        <v>0.01</v>
      </c>
      <c r="G20" s="1580"/>
      <c r="H20" s="1113" t="s">
        <v>1350</v>
      </c>
      <c r="I20" s="160" t="s">
        <v>1402</v>
      </c>
      <c r="J20" s="25">
        <f ca="1">ROUND(M20*M21,0)</f>
        <v>0</v>
      </c>
      <c r="K20" s="330" t="s">
        <v>1403</v>
      </c>
      <c r="L20" s="308" t="s">
        <v>1404</v>
      </c>
      <c r="M20" s="331">
        <f>'数据-取费表'!B52</f>
        <v>11.2</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1405</v>
      </c>
      <c r="C21" s="24" t="s">
        <v>1</v>
      </c>
      <c r="D21" s="329" t="s">
        <v>1406</v>
      </c>
      <c r="E21" s="308" t="s">
        <v>1407</v>
      </c>
      <c r="F21" s="328">
        <f>'数据-取费表'!B38</f>
        <v>0.01</v>
      </c>
      <c r="G21" s="1580"/>
      <c r="H21" s="332"/>
      <c r="I21" s="317"/>
      <c r="J21" s="29"/>
      <c r="K21" s="333"/>
      <c r="L21" s="308" t="s">
        <v>1408</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1353</v>
      </c>
      <c r="B22" s="308" t="s">
        <v>1409</v>
      </c>
      <c r="C22" s="24"/>
      <c r="D22" s="136" t="str">
        <f>IF(F23&lt;=1,"单利计息。","复利计息。")&amp;"建造成本、管理费用、销售费用产生的利息。"</f>
        <v>复利计息。建造成本、管理费用、销售费用产生的利息。</v>
      </c>
      <c r="E22" s="1544"/>
      <c r="F22" s="26"/>
      <c r="G22" s="1568"/>
      <c r="H22" s="1113" t="s">
        <v>1007</v>
      </c>
      <c r="I22" s="308" t="s">
        <v>1410</v>
      </c>
      <c r="J22" s="24">
        <f ca="1">ROUND(J14*M22,0)</f>
        <v>0</v>
      </c>
      <c r="K22" s="1528" t="s">
        <v>1411</v>
      </c>
      <c r="L22" s="308" t="s">
        <v>1383</v>
      </c>
      <c r="M22" s="334">
        <f ca="1">INDIRECT("'数据-取费表'!Ak"&amp;$G$1)</f>
        <v>0</v>
      </c>
    </row>
    <row r="23" spans="1:37" s="1581" customFormat="1" ht="18" customHeight="1">
      <c r="A23" s="1113" t="s">
        <v>1002</v>
      </c>
      <c r="B23" s="308" t="s">
        <v>1412</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1413</v>
      </c>
      <c r="F23" s="331">
        <f>'数据-取费表'!B20</f>
        <v>2</v>
      </c>
      <c r="G23" s="1580"/>
      <c r="H23" s="1113" t="s">
        <v>1043</v>
      </c>
      <c r="I23" s="308" t="s">
        <v>1414</v>
      </c>
      <c r="J23" s="24">
        <f ca="1">ROUND(J13*M23,0)</f>
        <v>0</v>
      </c>
      <c r="K23" s="1528" t="s">
        <v>1415</v>
      </c>
      <c r="L23" s="308" t="s">
        <v>1416</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1417</v>
      </c>
      <c r="B24" s="308" t="s">
        <v>1418</v>
      </c>
      <c r="C24" s="24">
        <f ca="1">ROUND(IF('数据-取费表'!B22&lt;=1,F21*F24*F23/2,F21*(POWER((1+F24),F23/2)-1)),4)</f>
        <v>4.0000000000000002E-4</v>
      </c>
      <c r="D24" s="335" t="str">
        <f>IF(F23&lt;=1,"销售费用×利率×(建设周期÷2)","销售费用×((1+利率)^(建设周期÷2)-1)")</f>
        <v>销售费用×((1+利率)^(建设周期÷2)-1)</v>
      </c>
      <c r="E24" s="308" t="s">
        <v>1419</v>
      </c>
      <c r="F24" s="337">
        <f ca="1">'数据-取费表'!B40</f>
        <v>4.3499999999999997E-2</v>
      </c>
      <c r="G24" s="1580"/>
      <c r="H24" s="1249" t="s">
        <v>1354</v>
      </c>
      <c r="I24" s="1250" t="s">
        <v>1400</v>
      </c>
      <c r="J24" s="1251">
        <f ca="1">ROUND(J5*M24,0)</f>
        <v>0</v>
      </c>
      <c r="K24" s="1252" t="s">
        <v>1420</v>
      </c>
      <c r="L24" s="1250" t="s">
        <v>1416</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1421</v>
      </c>
      <c r="B25" s="308" t="s">
        <v>1422</v>
      </c>
      <c r="C25" s="24"/>
      <c r="D25" s="136" t="s">
        <v>1423</v>
      </c>
      <c r="E25" s="1544"/>
      <c r="F25" s="26"/>
      <c r="G25" s="1568"/>
      <c r="H25" s="1239" t="s">
        <v>999</v>
      </c>
      <c r="I25" s="1254" t="s">
        <v>1424</v>
      </c>
      <c r="J25" s="316">
        <f ca="1">J5-J16</f>
        <v>0</v>
      </c>
      <c r="K25" s="1255" t="s">
        <v>1425</v>
      </c>
      <c r="L25" s="1256"/>
      <c r="M25" s="1257"/>
    </row>
    <row r="26" spans="1:37" ht="18" customHeight="1">
      <c r="A26" s="1113" t="s">
        <v>1002</v>
      </c>
      <c r="B26" s="308" t="s">
        <v>1426</v>
      </c>
      <c r="C26" s="24">
        <f ca="1">ROUND((C19+C20)*F26,0)</f>
        <v>0</v>
      </c>
      <c r="D26" s="329" t="s">
        <v>1427</v>
      </c>
      <c r="E26" s="319" t="s">
        <v>1428</v>
      </c>
      <c r="F26" s="318">
        <f ca="1">INDIRECT("'数据-取费表'!q"&amp;$G$1)</f>
        <v>0</v>
      </c>
      <c r="G26" s="1568"/>
      <c r="H26" s="305" t="s">
        <v>1000</v>
      </c>
      <c r="I26" s="306" t="s">
        <v>1429</v>
      </c>
      <c r="J26" s="307">
        <f ca="1">IF(J5&lt;&gt;0,ROUND(J25*(1-((1+M28)/(1+M26))^M27)/(M26-M28),0),0)</f>
        <v>0</v>
      </c>
      <c r="K26" s="330" t="s">
        <v>1430</v>
      </c>
      <c r="L26" s="308" t="s">
        <v>1431</v>
      </c>
      <c r="M26" s="318">
        <f ca="1">INDIRECT("'数据-取费表'!I"&amp;$G$1)</f>
        <v>0</v>
      </c>
    </row>
    <row r="27" spans="1:37" ht="18" customHeight="1">
      <c r="A27" s="1113" t="s">
        <v>1004</v>
      </c>
      <c r="B27" s="308" t="s">
        <v>1432</v>
      </c>
      <c r="C27" s="24">
        <f ca="1">ROUND(F21*F26,4)</f>
        <v>0</v>
      </c>
      <c r="D27" s="329" t="s">
        <v>1433</v>
      </c>
      <c r="E27" s="326"/>
      <c r="F27" s="327"/>
      <c r="G27" s="1568"/>
      <c r="H27" s="310"/>
      <c r="I27" s="311"/>
      <c r="J27" s="312"/>
      <c r="K27" s="338" t="s">
        <v>1434</v>
      </c>
      <c r="L27" s="308" t="s">
        <v>1435</v>
      </c>
      <c r="M27" s="339">
        <f ca="1">INDIRECT("'数据-取费表'!ag"&amp;$G$1)</f>
        <v>0</v>
      </c>
    </row>
    <row r="28" spans="1:37" s="1581" customFormat="1" ht="18" customHeight="1">
      <c r="A28" s="1113" t="s">
        <v>1005</v>
      </c>
      <c r="B28" s="308" t="s">
        <v>1436</v>
      </c>
      <c r="C28" s="24">
        <f>ROUND(F28/(1+'数据-取费表'!C42),4)</f>
        <v>5.33E-2</v>
      </c>
      <c r="D28" s="329" t="s">
        <v>1437</v>
      </c>
      <c r="E28" s="308" t="s">
        <v>1383</v>
      </c>
      <c r="F28" s="328">
        <f>'数据-取费表'!B41</f>
        <v>5.6000000000000001E-2</v>
      </c>
      <c r="G28" s="1580"/>
      <c r="H28" s="314"/>
      <c r="I28" s="315"/>
      <c r="J28" s="316"/>
      <c r="K28" s="333"/>
      <c r="L28" s="308" t="s">
        <v>1438</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1439</v>
      </c>
      <c r="C29" s="1251">
        <f ca="1">ROUND((C19+C20+C23+C26)/(1-F21-C24-C27-C28),0)</f>
        <v>0</v>
      </c>
      <c r="D29" s="1252"/>
      <c r="E29" s="1250"/>
      <c r="F29" s="1253"/>
      <c r="G29" s="1580"/>
      <c r="H29" s="340" t="s">
        <v>1001</v>
      </c>
      <c r="I29" s="341" t="s">
        <v>1440</v>
      </c>
      <c r="J29" s="342">
        <f ca="1">ROUND(J26/(1+F40)^F41,0)</f>
        <v>0</v>
      </c>
      <c r="K29" s="343" t="s">
        <v>1441</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1385</v>
      </c>
      <c r="C30" s="316">
        <f ca="1">ROUND(C31+C36+C37+C38,0)</f>
        <v>0</v>
      </c>
      <c r="D30" s="1247" t="s">
        <v>1386</v>
      </c>
      <c r="E30" s="1248"/>
      <c r="F30" s="1204"/>
      <c r="G30" s="1568"/>
      <c r="H30" s="2926"/>
      <c r="I30" s="1582"/>
      <c r="J30" s="1583"/>
      <c r="K30" s="2701"/>
      <c r="L30" s="2927"/>
      <c r="M30" s="2928"/>
    </row>
    <row r="31" spans="1:37" ht="18" customHeight="1">
      <c r="A31" s="1113" t="s">
        <v>1003</v>
      </c>
      <c r="B31" s="308" t="s">
        <v>1390</v>
      </c>
      <c r="C31" s="2534">
        <f ca="1">ROUND(IF(AND(项目基本情况!B11="自然人",项目基本情况!B10="北京市"),C6*F31/(1+'数据-取费表'!C42),C32+C33+C34),0)</f>
        <v>0</v>
      </c>
      <c r="D31" s="1529" t="s">
        <v>1391</v>
      </c>
      <c r="E31" s="1528" t="s">
        <v>1442</v>
      </c>
      <c r="F31" s="2533" t="str">
        <f>IF(项目基本情况!B11="企业","——",IF('数据-取费表'!B10="住宅",IF(F6*F7*F8/12/(1+'数据-取费表'!F30)&gt;100000,4%,2.5%),IF(F6*F7*F8/12/(1+'数据-取费表'!F30)&gt;100000,12%,7%)))</f>
        <v>——</v>
      </c>
      <c r="G31" s="1568"/>
      <c r="H31" s="3039" t="s">
        <v>3053</v>
      </c>
      <c r="I31" s="1582"/>
      <c r="J31" s="1583"/>
      <c r="K31" s="2701"/>
      <c r="L31" s="2927"/>
      <c r="M31" s="2928"/>
    </row>
    <row r="32" spans="1:37" ht="18" customHeight="1">
      <c r="A32" s="1113" t="s">
        <v>1002</v>
      </c>
      <c r="B32" s="308" t="s">
        <v>1394</v>
      </c>
      <c r="C32" s="24">
        <f ca="1">IF(项目基本情况!B11="自然人","——",ROUND(C6*F32/(1+'数据-取费表'!C42),0))</f>
        <v>0</v>
      </c>
      <c r="D32" s="1528" t="s">
        <v>1395</v>
      </c>
      <c r="E32" s="308" t="s">
        <v>1383</v>
      </c>
      <c r="F32" s="337">
        <f>'数据-取费表'!B41</f>
        <v>5.6000000000000001E-2</v>
      </c>
      <c r="G32" s="1568"/>
      <c r="H32" s="2926"/>
      <c r="I32" s="1582"/>
      <c r="J32" s="1583"/>
      <c r="K32" s="2701"/>
      <c r="L32" s="2927"/>
      <c r="M32" s="2928"/>
    </row>
    <row r="33" spans="1:18" ht="18" customHeight="1">
      <c r="A33" s="1113" t="s">
        <v>1004</v>
      </c>
      <c r="B33" s="308" t="s">
        <v>1398</v>
      </c>
      <c r="C33" s="24">
        <f ca="1">IF(项目基本情况!B11="自然人","——",IF(D33="按租金收入计税",ROUND(C6*F33/(1+'数据-取费表'!C42),0),IF(D33="按房产原值计税",ROUND(C29*F33*0.7,0),INDIRECT("'数据-取费表'!Aj"&amp;$G$1))))</f>
        <v>0</v>
      </c>
      <c r="D33" s="1554" t="s">
        <v>1399</v>
      </c>
      <c r="E33" s="308" t="s">
        <v>1383</v>
      </c>
      <c r="F33" s="328">
        <f>IF(D33="按票据","——",IF(D33="按租金收入计税",'数据-取费表'!B51,'数据-取费表'!B50))</f>
        <v>1.2E-2</v>
      </c>
      <c r="G33" s="1568"/>
      <c r="H33" s="2929"/>
      <c r="I33" s="1582"/>
      <c r="J33" s="1583"/>
      <c r="K33" s="2930"/>
      <c r="L33" s="2929"/>
      <c r="M33" s="2929"/>
    </row>
    <row r="34" spans="1:18" ht="18" customHeight="1">
      <c r="A34" s="1201" t="s">
        <v>1350</v>
      </c>
      <c r="B34" s="160" t="s">
        <v>1402</v>
      </c>
      <c r="C34" s="25">
        <f ca="1">IF(项目基本情况!B11="自然人","——",ROUND(F34*F35,))</f>
        <v>0</v>
      </c>
      <c r="D34" s="330" t="s">
        <v>1403</v>
      </c>
      <c r="E34" s="308" t="s">
        <v>1404</v>
      </c>
      <c r="F34" s="331">
        <f>'数据-取费表'!B52</f>
        <v>11.2</v>
      </c>
      <c r="G34" s="1568"/>
      <c r="H34" s="2926"/>
      <c r="I34" s="1582"/>
      <c r="J34" s="1583"/>
      <c r="K34" s="2931"/>
      <c r="L34" s="2932"/>
      <c r="M34" s="2932"/>
    </row>
    <row r="35" spans="1:18" ht="18" customHeight="1">
      <c r="A35" s="1263"/>
      <c r="B35" s="1261"/>
      <c r="C35" s="29"/>
      <c r="D35" s="333"/>
      <c r="E35" s="308" t="s">
        <v>1408</v>
      </c>
      <c r="F35" s="309">
        <f ca="1">INDIRECT("'数据-取费表'!r"&amp;$G$1)</f>
        <v>0</v>
      </c>
      <c r="G35" s="1568"/>
      <c r="H35" s="2926"/>
      <c r="I35" s="1582"/>
      <c r="J35" s="1583"/>
      <c r="K35" s="2930"/>
      <c r="L35" s="2929"/>
      <c r="M35" s="2929"/>
    </row>
    <row r="36" spans="1:18" ht="18" customHeight="1">
      <c r="A36" s="1262" t="s">
        <v>1007</v>
      </c>
      <c r="B36" s="308" t="s">
        <v>1410</v>
      </c>
      <c r="C36" s="24">
        <f ca="1">ROUND(C29*F36,0)</f>
        <v>0</v>
      </c>
      <c r="D36" s="1528" t="s">
        <v>1443</v>
      </c>
      <c r="E36" s="308" t="s">
        <v>1383</v>
      </c>
      <c r="F36" s="334">
        <f ca="1">INDIRECT("'数据-取费表'!Ak"&amp;$G$1)</f>
        <v>0</v>
      </c>
      <c r="G36" s="1568"/>
      <c r="H36" s="2929"/>
      <c r="I36" s="1582"/>
      <c r="J36" s="1583"/>
      <c r="K36" s="2770"/>
      <c r="L36" s="2929"/>
      <c r="M36" s="2929"/>
    </row>
    <row r="37" spans="1:18" ht="18" customHeight="1">
      <c r="A37" s="1113" t="s">
        <v>1043</v>
      </c>
      <c r="B37" s="308" t="s">
        <v>1414</v>
      </c>
      <c r="C37" s="24">
        <f ca="1">ROUND(C13*F37,0)</f>
        <v>0</v>
      </c>
      <c r="D37" s="1528" t="s">
        <v>1415</v>
      </c>
      <c r="E37" s="308" t="s">
        <v>1416</v>
      </c>
      <c r="F37" s="336">
        <f ca="1">INDIRECT("'数据-取费表'!Al"&amp;$G$1)</f>
        <v>0</v>
      </c>
      <c r="G37" s="1568"/>
      <c r="H37" s="2929"/>
      <c r="I37" s="1582"/>
      <c r="J37" s="1583"/>
      <c r="K37" s="2770"/>
      <c r="L37" s="2929"/>
      <c r="M37" s="2929"/>
    </row>
    <row r="38" spans="1:18" ht="18" customHeight="1" thickBot="1">
      <c r="A38" s="1249" t="s">
        <v>1354</v>
      </c>
      <c r="B38" s="1250" t="s">
        <v>1400</v>
      </c>
      <c r="C38" s="1251">
        <f ca="1">ROUND(C5*F38,1)</f>
        <v>0</v>
      </c>
      <c r="D38" s="1252" t="s">
        <v>1420</v>
      </c>
      <c r="E38" s="1250" t="s">
        <v>1416</v>
      </c>
      <c r="F38" s="1246">
        <f ca="1">INDIRECT("'数据-取费表'!Am"&amp;$G$1)</f>
        <v>0</v>
      </c>
      <c r="G38" s="1568"/>
      <c r="H38" s="2929"/>
      <c r="I38" s="1582"/>
      <c r="J38" s="1583"/>
      <c r="K38" s="2933"/>
      <c r="L38" s="2929"/>
      <c r="M38" s="2929"/>
    </row>
    <row r="39" spans="1:18" ht="24.6" customHeight="1" thickTop="1">
      <c r="A39" s="1239" t="s">
        <v>999</v>
      </c>
      <c r="B39" s="1254" t="s">
        <v>1444</v>
      </c>
      <c r="C39" s="316">
        <f ca="1">C5-C30</f>
        <v>0</v>
      </c>
      <c r="D39" s="1255" t="s">
        <v>1445</v>
      </c>
      <c r="E39" s="1256"/>
      <c r="F39" s="1257"/>
      <c r="G39" s="1568"/>
      <c r="H39" s="2929"/>
      <c r="I39" s="1582"/>
      <c r="J39" s="1583"/>
      <c r="K39" s="2933"/>
      <c r="L39" s="2929"/>
      <c r="M39" s="2929"/>
    </row>
    <row r="40" spans="1:18" ht="18" customHeight="1">
      <c r="A40" s="305" t="s">
        <v>1000</v>
      </c>
      <c r="B40" s="306" t="s">
        <v>1446</v>
      </c>
      <c r="C40" s="307" t="e">
        <f ca="1">ROUND(C39*(1-((1+F42)/(1+F40))^F41)/(F40-F42),0)</f>
        <v>#DIV/0!</v>
      </c>
      <c r="D40" s="330" t="s">
        <v>1430</v>
      </c>
      <c r="E40" s="308" t="s">
        <v>1431</v>
      </c>
      <c r="F40" s="318">
        <f ca="1">INDIRECT("'数据-取费表'!I"&amp;$G$1)</f>
        <v>0</v>
      </c>
      <c r="G40" s="1568"/>
      <c r="H40" s="1645"/>
      <c r="I40" s="1582"/>
      <c r="J40" s="1583"/>
      <c r="K40" s="2933"/>
      <c r="L40" s="1645"/>
      <c r="M40" s="1645"/>
    </row>
    <row r="41" spans="1:18" ht="18" customHeight="1">
      <c r="A41" s="310"/>
      <c r="B41" s="311"/>
      <c r="C41" s="312"/>
      <c r="D41" s="338" t="s">
        <v>1447</v>
      </c>
      <c r="E41" s="308" t="s">
        <v>1435</v>
      </c>
      <c r="F41" s="339">
        <f ca="1">IF(INDIRECT("'数据-取费表'!af"&amp;$G$1)=0,INDIRECT("'数据-取费表'!ae"&amp;$G$1),INDIRECT("'数据-取费表'!af"&amp;$G$1))</f>
        <v>0</v>
      </c>
      <c r="G41" s="1568"/>
      <c r="H41" s="1353"/>
      <c r="I41" s="1582"/>
      <c r="J41" s="1583"/>
      <c r="K41" s="2770"/>
      <c r="L41" s="1353"/>
      <c r="M41" s="1353"/>
    </row>
    <row r="42" spans="1:18" ht="18" customHeight="1">
      <c r="A42" s="314"/>
      <c r="B42" s="315"/>
      <c r="C42" s="316"/>
      <c r="D42" s="333"/>
      <c r="E42" s="308" t="s">
        <v>1438</v>
      </c>
      <c r="F42" s="318">
        <f ca="1">INDIRECT("'数据-取费表'!v"&amp;$G$1)</f>
        <v>0</v>
      </c>
      <c r="G42" s="1568"/>
      <c r="H42" s="1353"/>
      <c r="I42" s="1582"/>
      <c r="J42" s="1583"/>
      <c r="K42" s="2770"/>
      <c r="L42" s="1353"/>
      <c r="M42" s="1353"/>
    </row>
    <row r="43" spans="1:18" ht="18" customHeight="1" thickBot="1">
      <c r="A43" s="340" t="s">
        <v>1001</v>
      </c>
      <c r="B43" s="341" t="s">
        <v>1448</v>
      </c>
      <c r="C43" s="342" t="e">
        <f ca="1">ROUND(C40/F43,0)</f>
        <v>#DIV/0!</v>
      </c>
      <c r="D43" s="343" t="s">
        <v>1449</v>
      </c>
      <c r="E43" s="344" t="s">
        <v>1450</v>
      </c>
      <c r="F43" s="345">
        <f ca="1">INDIRECT("'数据-取费表'!k"&amp;$G$1)</f>
        <v>0</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1565</v>
      </c>
      <c r="E45" s="1584"/>
      <c r="F45" s="1584"/>
      <c r="O45" s="1587" t="s">
        <v>1480</v>
      </c>
      <c r="P45" s="1645"/>
      <c r="Q45" s="1645"/>
      <c r="R45" s="1645"/>
    </row>
    <row r="46" spans="1:18" s="1568" customFormat="1" ht="13.5" thickBot="1">
      <c r="A46" s="1588" t="s">
        <v>1481</v>
      </c>
      <c r="C46" s="1589" t="e">
        <f ca="1">ROUND(C45/10000,0)</f>
        <v>#DIV/0!</v>
      </c>
      <c r="D46" s="1590" t="str">
        <f>C2</f>
        <v>万元</v>
      </c>
      <c r="I46" s="1591" t="s">
        <v>1482</v>
      </c>
      <c r="J46" s="1592"/>
      <c r="K46" s="1593"/>
      <c r="L46" s="1594" t="e">
        <f ca="1">IF(M47="住宅",0,IF(L48&gt;J51,L60,J60))</f>
        <v>#DIV/0!</v>
      </c>
      <c r="O46" s="1595" t="s">
        <v>1483</v>
      </c>
      <c r="P46" s="1596" t="s">
        <v>1484</v>
      </c>
      <c r="Q46" s="1597" t="s">
        <v>1485</v>
      </c>
      <c r="R46" s="1597" t="s">
        <v>1486</v>
      </c>
    </row>
    <row r="47" spans="1:18" s="1568" customFormat="1" ht="13.5" thickBot="1">
      <c r="A47" s="1077" t="s">
        <v>1357</v>
      </c>
      <c r="B47" s="1109" t="s">
        <v>1358</v>
      </c>
      <c r="C47" s="1109" t="s">
        <v>1359</v>
      </c>
      <c r="D47" s="1109" t="s">
        <v>1360</v>
      </c>
      <c r="E47" s="1189" t="s">
        <v>1361</v>
      </c>
      <c r="F47" s="1190"/>
      <c r="G47" s="731"/>
      <c r="I47" s="1598" t="s">
        <v>1487</v>
      </c>
      <c r="J47" s="1599"/>
      <c r="K47" s="1600" t="s">
        <v>1488</v>
      </c>
      <c r="L47" s="1601">
        <f ca="1">INDIRECT("'数据-取费表'!d"&amp;$G$1)</f>
        <v>0</v>
      </c>
      <c r="M47" s="1564" t="str">
        <f>IF(ISNUMBER(FIND("住宅",C1)),"住宅","非住宅")</f>
        <v>非住宅</v>
      </c>
      <c r="O47" s="1602" t="s">
        <v>1008</v>
      </c>
      <c r="P47" s="1603" t="s">
        <v>1489</v>
      </c>
      <c r="Q47" s="1604" t="e">
        <f ca="1">C40+J29</f>
        <v>#DIV/0!</v>
      </c>
      <c r="R47" s="1604" t="s">
        <v>1490</v>
      </c>
    </row>
    <row r="48" spans="1:18" s="1568" customFormat="1" ht="28.5" thickBot="1">
      <c r="A48" s="1270" t="s">
        <v>1103</v>
      </c>
      <c r="B48" s="306" t="s">
        <v>1362</v>
      </c>
      <c r="C48" s="1543">
        <f ca="1">C49+C53+C55</f>
        <v>0</v>
      </c>
      <c r="D48" s="1272"/>
      <c r="E48" s="1273"/>
      <c r="F48" s="1093"/>
      <c r="G48" s="731"/>
      <c r="H48" s="732"/>
      <c r="I48" s="1605" t="s">
        <v>1491</v>
      </c>
      <c r="J48" s="1606"/>
      <c r="K48" s="1607" t="s">
        <v>1492</v>
      </c>
      <c r="L48" s="1608">
        <f ca="1">INDIRECT("'数据-取费表'!f"&amp;$G$1)</f>
        <v>0</v>
      </c>
      <c r="O48" s="1602" t="s">
        <v>1009</v>
      </c>
      <c r="P48" s="1603" t="s">
        <v>1493</v>
      </c>
      <c r="Q48" s="1604" t="e">
        <f ca="1">J60</f>
        <v>#DIV/0!</v>
      </c>
      <c r="R48" s="1604" t="s">
        <v>1494</v>
      </c>
    </row>
    <row r="49" spans="1:18" s="1568" customFormat="1" ht="13.5" thickBot="1">
      <c r="A49" s="1106" t="s">
        <v>1104</v>
      </c>
      <c r="B49" s="1555" t="s">
        <v>1451</v>
      </c>
      <c r="C49" s="1274">
        <f ca="1">ROUND(F49*F51*F50*(1-F52),0)</f>
        <v>0</v>
      </c>
      <c r="D49" s="1186" t="s">
        <v>1365</v>
      </c>
      <c r="E49" s="1556" t="s">
        <v>1452</v>
      </c>
      <c r="F49" s="1191"/>
      <c r="G49" s="1609"/>
      <c r="H49" s="732"/>
      <c r="I49" s="1605" t="s">
        <v>1495</v>
      </c>
      <c r="J49" s="1610"/>
      <c r="K49" s="1607" t="s">
        <v>1496</v>
      </c>
      <c r="L49" s="1611"/>
      <c r="O49" s="1612" t="s">
        <v>1010</v>
      </c>
      <c r="P49" s="1603" t="s">
        <v>1497</v>
      </c>
      <c r="Q49" s="1604">
        <f ca="1">C29</f>
        <v>0</v>
      </c>
      <c r="R49" s="1604" t="s">
        <v>1490</v>
      </c>
    </row>
    <row r="50" spans="1:18" s="1568" customFormat="1" ht="13.5" thickBot="1">
      <c r="A50" s="1107"/>
      <c r="B50" s="1110"/>
      <c r="C50" s="1111"/>
      <c r="D50" s="1084"/>
      <c r="E50" s="1187" t="s">
        <v>1367</v>
      </c>
      <c r="F50" s="1188">
        <f ca="1">F7</f>
        <v>0</v>
      </c>
      <c r="H50" s="732"/>
      <c r="I50" s="1605" t="s">
        <v>1498</v>
      </c>
      <c r="J50" s="1613">
        <f>SUMPRODUCT((I63:I65=J47)*(J62:L62=J48)*(J63:L65))</f>
        <v>0</v>
      </c>
      <c r="K50" s="1607" t="s">
        <v>1499</v>
      </c>
      <c r="L50" s="1611"/>
      <c r="M50" s="1614"/>
      <c r="O50" s="1612" t="s">
        <v>1011</v>
      </c>
      <c r="P50" s="1603" t="s">
        <v>1500</v>
      </c>
      <c r="Q50" s="1615" t="e">
        <f ca="1">J58</f>
        <v>#DIV/0!</v>
      </c>
      <c r="R50" s="1604"/>
    </row>
    <row r="51" spans="1:18" s="1568" customFormat="1" ht="13.5" thickBot="1">
      <c r="A51" s="1108"/>
      <c r="B51" s="1110"/>
      <c r="C51" s="1111"/>
      <c r="D51" s="1084"/>
      <c r="E51" s="1112" t="s">
        <v>1368</v>
      </c>
      <c r="F51" s="309">
        <f ca="1">F8</f>
        <v>0</v>
      </c>
      <c r="I51" s="1616" t="s">
        <v>1501</v>
      </c>
      <c r="J51" s="1617">
        <f>IF(J49="",J50,J49+J50-YEAR('数据-取费表'!B2))</f>
        <v>0</v>
      </c>
      <c r="K51" s="1618" t="s">
        <v>1502</v>
      </c>
      <c r="L51" s="1619">
        <f ca="1">ROUND(-PV(INDIRECT("'数据-取费表'!h"&amp;$G$1),J51,(C39-C13*C76),0),0)</f>
        <v>0</v>
      </c>
      <c r="M51" s="1620"/>
      <c r="O51" s="1612" t="s">
        <v>1012</v>
      </c>
      <c r="P51" s="1603" t="s">
        <v>1503</v>
      </c>
      <c r="Q51" s="1615">
        <f>J52</f>
        <v>0</v>
      </c>
      <c r="R51" s="1604"/>
    </row>
    <row r="52" spans="1:18" s="1568" customFormat="1" ht="13.5" thickBot="1">
      <c r="A52" s="1108"/>
      <c r="B52" s="1110"/>
      <c r="C52" s="1111"/>
      <c r="D52" s="1084"/>
      <c r="E52" s="1112" t="s">
        <v>1369</v>
      </c>
      <c r="F52" s="1185"/>
      <c r="I52" s="1621" t="s">
        <v>1504</v>
      </c>
      <c r="J52" s="1622"/>
      <c r="K52" s="1621" t="s">
        <v>1505</v>
      </c>
      <c r="L52" s="1622"/>
      <c r="O52" s="1612" t="s">
        <v>1013</v>
      </c>
      <c r="P52" s="1603" t="s">
        <v>1506</v>
      </c>
      <c r="Q52" s="1604">
        <f ca="1">J53</f>
        <v>0</v>
      </c>
      <c r="R52" s="1604" t="s">
        <v>1507</v>
      </c>
    </row>
    <row r="53" spans="1:18" s="1568" customFormat="1" ht="30.75" customHeight="1" thickBot="1">
      <c r="A53" s="1271" t="s">
        <v>1105</v>
      </c>
      <c r="B53" s="329" t="s">
        <v>1370</v>
      </c>
      <c r="C53" s="322">
        <f ca="1">ROUND(IF(F53="押一",C49/12*F11,IF(F53="押二",C49/12*2*F11,IF(F53="押三",C49/12*3*F11,C54*F11))),0)</f>
        <v>0</v>
      </c>
      <c r="D53" s="1550" t="s">
        <v>2856</v>
      </c>
      <c r="E53" s="319" t="s">
        <v>1371</v>
      </c>
      <c r="F53" s="1276"/>
      <c r="I53" s="1623" t="s">
        <v>1508</v>
      </c>
      <c r="J53" s="2386">
        <f ca="1">IF(M47="住宅",IF(D1="——",MAX(J51,L48),MAX(J51,L48-'数据-取费表'!B24)),IF(D1="——",MIN(J51,L48),MIN(J51,L48-'数据-取费表'!B24)))</f>
        <v>0</v>
      </c>
      <c r="K53" s="3405" t="s">
        <v>1509</v>
      </c>
      <c r="L53" s="3406"/>
      <c r="O53" s="1602" t="s">
        <v>1014</v>
      </c>
      <c r="P53" s="1603" t="s">
        <v>1510</v>
      </c>
      <c r="Q53" s="1604" t="e">
        <f ca="1">Q47+Q48</f>
        <v>#DIV/0!</v>
      </c>
      <c r="R53" s="1604" t="s">
        <v>1015</v>
      </c>
    </row>
    <row r="54" spans="1:18" s="1568" customFormat="1" ht="13.5" thickBot="1">
      <c r="A54" s="1106"/>
      <c r="B54" s="1658" t="s">
        <v>1564</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1511</v>
      </c>
      <c r="P54" s="1565"/>
      <c r="Q54" s="1565"/>
      <c r="R54" s="1565"/>
    </row>
    <row r="55" spans="1:18" s="1568" customFormat="1" ht="13.5" thickBot="1">
      <c r="A55" s="1243" t="s">
        <v>1043</v>
      </c>
      <c r="B55" s="1553" t="s">
        <v>1374</v>
      </c>
      <c r="C55" s="1244"/>
      <c r="D55" s="1550"/>
      <c r="E55" s="1558"/>
      <c r="F55" s="1624"/>
      <c r="I55" s="1627" t="s">
        <v>1512</v>
      </c>
      <c r="J55" s="1628" t="e">
        <f ca="1">ROUND(IF(J47="钢混",J57/J50,1-(1-2%)*(J50-J57)/J50),3)</f>
        <v>#DIV/0!</v>
      </c>
      <c r="K55" s="1629" t="s">
        <v>1513</v>
      </c>
      <c r="L55" s="1630"/>
      <c r="O55" s="1595" t="s">
        <v>1483</v>
      </c>
      <c r="P55" s="1596" t="s">
        <v>1484</v>
      </c>
      <c r="Q55" s="1597" t="s">
        <v>1485</v>
      </c>
      <c r="R55" s="1597" t="s">
        <v>1486</v>
      </c>
    </row>
    <row r="56" spans="1:18" s="1568" customFormat="1" ht="36" customHeight="1" thickTop="1" thickBot="1">
      <c r="A56" s="1088">
        <v>2</v>
      </c>
      <c r="B56" s="1089" t="s">
        <v>1375</v>
      </c>
      <c r="C56" s="238">
        <f ca="1">C13</f>
        <v>0</v>
      </c>
      <c r="D56" s="1631"/>
      <c r="E56" s="1632"/>
      <c r="F56" s="1624"/>
      <c r="I56" s="1633" t="s">
        <v>1515</v>
      </c>
      <c r="J56" s="1634"/>
      <c r="K56" s="1605" t="s">
        <v>1516</v>
      </c>
      <c r="L56" s="1608">
        <f ca="1">IF(L48&lt;J51,"——",L48-J51)</f>
        <v>0</v>
      </c>
      <c r="O56" s="1602" t="s">
        <v>1008</v>
      </c>
      <c r="P56" s="1603" t="s">
        <v>1489</v>
      </c>
      <c r="Q56" s="1604" t="e">
        <f ca="1">C40+J29</f>
        <v>#DIV/0!</v>
      </c>
      <c r="R56" s="1604" t="s">
        <v>1490</v>
      </c>
    </row>
    <row r="57" spans="1:18" s="1568" customFormat="1" ht="24.75" thickBot="1">
      <c r="A57" s="1635"/>
      <c r="B57" s="1081" t="s">
        <v>1439</v>
      </c>
      <c r="C57" s="244">
        <f ca="1">C29</f>
        <v>0</v>
      </c>
      <c r="D57" s="1636"/>
      <c r="E57" s="1637"/>
      <c r="F57" s="1638"/>
      <c r="I57" s="1639" t="s">
        <v>1517</v>
      </c>
      <c r="J57" s="1640">
        <f ca="1">IF(OR(M47="住宅",J51&lt;L48,J56="是"),"——",J51-L48)</f>
        <v>0</v>
      </c>
      <c r="K57" s="1605" t="s">
        <v>1566</v>
      </c>
      <c r="L57" s="1608">
        <f ca="1">IF(L48&lt;J51,"——",IF(L55="比较法",L49,IF(L55="基准地价",L50,L51)))</f>
        <v>0</v>
      </c>
      <c r="O57" s="1602" t="s">
        <v>1009</v>
      </c>
      <c r="P57" s="1603" t="s">
        <v>1567</v>
      </c>
      <c r="Q57" s="1604" t="e">
        <f ca="1">L60</f>
        <v>#DIV/0!</v>
      </c>
      <c r="R57" s="1604" t="s">
        <v>1568</v>
      </c>
    </row>
    <row r="58" spans="1:18" s="1568" customFormat="1" ht="24.75" thickBot="1">
      <c r="A58" s="321" t="s">
        <v>998</v>
      </c>
      <c r="B58" s="1089" t="s">
        <v>1385</v>
      </c>
      <c r="C58" s="322">
        <f ca="1">ROUND(C59+C64+C65+C66,0)</f>
        <v>0</v>
      </c>
      <c r="D58" s="1091" t="s">
        <v>1386</v>
      </c>
      <c r="E58" s="1092"/>
      <c r="F58" s="1093"/>
      <c r="I58" s="1639" t="s">
        <v>1521</v>
      </c>
      <c r="J58" s="1641" t="e">
        <f ca="1">IF(J55&lt;0.4,0.4,J55)</f>
        <v>#DIV/0!</v>
      </c>
      <c r="K58" s="1618" t="s">
        <v>1569</v>
      </c>
      <c r="L58" s="1608" t="e">
        <f ca="1">ROUND(POWER(1+L52,L47-L48)*(POWER(1+L52,L48)-1)/(POWER(1+L52,L47)-1),4)</f>
        <v>#DIV/0!</v>
      </c>
      <c r="O58" s="1612" t="s">
        <v>1010</v>
      </c>
      <c r="P58" s="1603" t="s">
        <v>1523</v>
      </c>
      <c r="Q58" s="1604">
        <f>IF(L55="比较法",L49,IF(L55="基准地价",L50,0))</f>
        <v>0</v>
      </c>
      <c r="R58" s="1604" t="s">
        <v>1490</v>
      </c>
    </row>
    <row r="59" spans="1:18" s="1568" customFormat="1" ht="24.75" thickBot="1">
      <c r="A59" s="1113" t="s">
        <v>1003</v>
      </c>
      <c r="B59" s="1081" t="s">
        <v>1390</v>
      </c>
      <c r="C59" s="2534">
        <f ca="1">ROUND(IF(AND(项目基本情况!B11="自然人",项目基本情况!B10="北京市"),C49*F59/(1+'数据-取费表'!C42),C60+C61+C62),0)</f>
        <v>0</v>
      </c>
      <c r="D59" s="1094" t="s">
        <v>1391</v>
      </c>
      <c r="E59" s="1095" t="s">
        <v>1392</v>
      </c>
      <c r="F59" s="2533" t="str">
        <f>IF(项目基本情况!B11="企业","——",IF('数据-取费表'!B10="住宅",IF(F49*F50*F51/12/(1+'数据-取费表'!F30)&gt;100000,4%,2.5%),IF(F49*F50*F51/12/(1+'数据-取费表'!F30)&gt;100000,12%,7%)))</f>
        <v>——</v>
      </c>
      <c r="I59" s="1639" t="s">
        <v>1524</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1525</v>
      </c>
      <c r="Q59" s="1615">
        <f>L52</f>
        <v>0</v>
      </c>
      <c r="R59" s="1604"/>
    </row>
    <row r="60" spans="1:18" s="1568" customFormat="1" ht="16.5" thickBot="1">
      <c r="A60" s="1113" t="s">
        <v>1002</v>
      </c>
      <c r="B60" s="1081" t="s">
        <v>1394</v>
      </c>
      <c r="C60" s="24">
        <f ca="1">IF(项目基本情况!B11="自然人","——",ROUND(C48*F60/(1+'数据-取费表'!C42),0))</f>
        <v>0</v>
      </c>
      <c r="D60" s="1095" t="s">
        <v>1395</v>
      </c>
      <c r="E60" s="1081" t="s">
        <v>1383</v>
      </c>
      <c r="F60" s="337">
        <f t="shared" ref="F60:F66" si="0">F32</f>
        <v>5.6000000000000001E-2</v>
      </c>
      <c r="I60" s="1642" t="s">
        <v>1526</v>
      </c>
      <c r="J60" s="1643" t="e">
        <f ca="1">IF(OR(M47="住宅",J51&lt;L48,J56="是"),"0",ROUND(J59/(1+J52)^J53,0))</f>
        <v>#DIV/0!</v>
      </c>
      <c r="K60" s="1644" t="s">
        <v>1527</v>
      </c>
      <c r="L60" s="1643" t="e">
        <f ca="1">IF(OR(M47="住宅",L48&lt;J51),0,ROUND(L57*(L58/L59-1),0))</f>
        <v>#DIV/0!</v>
      </c>
      <c r="O60" s="1612" t="s">
        <v>1012</v>
      </c>
      <c r="P60" s="1603" t="s">
        <v>1528</v>
      </c>
      <c r="Q60" s="1604" t="e">
        <f ca="1">L58</f>
        <v>#DIV/0!</v>
      </c>
      <c r="R60" s="1604" t="s">
        <v>1529</v>
      </c>
    </row>
    <row r="61" spans="1:18" s="1568" customFormat="1" ht="13.5" thickBot="1">
      <c r="A61" s="1113" t="s">
        <v>1453</v>
      </c>
      <c r="B61" s="1081" t="s">
        <v>1454</v>
      </c>
      <c r="C61" s="24">
        <f ca="1">IF(项目基本情况!B11="自然人","——",IF(D61="按租金收入计税",ROUND(C49*F61/(1+'数据-取费表'!C42),0),IF(D61="按房产原值计税",ROUND(C57*F61*0.7,0),INDIRECT("'数据-取费表'!Aj"&amp;$G$1))))</f>
        <v>0</v>
      </c>
      <c r="D61" s="1554" t="s">
        <v>1399</v>
      </c>
      <c r="E61" s="1081" t="s">
        <v>1455</v>
      </c>
      <c r="F61" s="328">
        <f t="shared" si="0"/>
        <v>1.2E-2</v>
      </c>
      <c r="I61" s="1645"/>
      <c r="J61" s="1645"/>
      <c r="K61" s="1645"/>
      <c r="L61" s="1645"/>
      <c r="O61" s="1612" t="s">
        <v>1013</v>
      </c>
      <c r="P61" s="1603" t="str">
        <f>K59</f>
        <v>建设期及建筑物耐用年限下的土地年期修正系数Kn</v>
      </c>
      <c r="Q61" s="1604" t="e">
        <f ca="1">L59</f>
        <v>#DIV/0!</v>
      </c>
      <c r="R61" s="1604" t="s">
        <v>1530</v>
      </c>
    </row>
    <row r="62" spans="1:18" s="1568" customFormat="1" ht="13.5" thickBot="1">
      <c r="A62" s="1113" t="s">
        <v>1456</v>
      </c>
      <c r="B62" s="1080" t="s">
        <v>1457</v>
      </c>
      <c r="C62" s="25">
        <f ca="1">IF(项目基本情况!B11="自然人","——",ROUND(F62*F63,0))</f>
        <v>0</v>
      </c>
      <c r="D62" s="1096" t="s">
        <v>1458</v>
      </c>
      <c r="E62" s="1081" t="s">
        <v>1459</v>
      </c>
      <c r="F62" s="331">
        <f t="shared" si="0"/>
        <v>11.2</v>
      </c>
      <c r="I62" s="1646" t="s">
        <v>1531</v>
      </c>
      <c r="J62" s="1647" t="s">
        <v>1532</v>
      </c>
      <c r="K62" s="1647" t="s">
        <v>1533</v>
      </c>
      <c r="L62" s="1647" t="s">
        <v>1534</v>
      </c>
      <c r="M62" s="1648" t="s">
        <v>1535</v>
      </c>
      <c r="O62" s="1602" t="s">
        <v>1014</v>
      </c>
      <c r="P62" s="1603" t="s">
        <v>1536</v>
      </c>
      <c r="Q62" s="1604" t="e">
        <f ca="1">Q56+Q57</f>
        <v>#DIV/0!</v>
      </c>
      <c r="R62" s="1604" t="s">
        <v>1015</v>
      </c>
    </row>
    <row r="63" spans="1:18" s="1568" customFormat="1" ht="13.5" thickBot="1">
      <c r="A63" s="332"/>
      <c r="B63" s="1087"/>
      <c r="C63" s="29"/>
      <c r="D63" s="1097"/>
      <c r="E63" s="1081" t="s">
        <v>1460</v>
      </c>
      <c r="F63" s="309">
        <f t="shared" ca="1" si="0"/>
        <v>0</v>
      </c>
      <c r="I63" s="1646" t="s">
        <v>1537</v>
      </c>
      <c r="J63" s="1647">
        <v>70</v>
      </c>
      <c r="K63" s="1647">
        <v>50</v>
      </c>
      <c r="L63" s="1647">
        <v>80</v>
      </c>
      <c r="M63" s="1649">
        <v>0.02</v>
      </c>
      <c r="O63" s="1587" t="s">
        <v>1538</v>
      </c>
      <c r="P63" s="1565"/>
      <c r="Q63" s="1565"/>
      <c r="R63" s="1565"/>
    </row>
    <row r="64" spans="1:18" s="1568" customFormat="1" ht="13.5" thickBot="1">
      <c r="A64" s="1113" t="s">
        <v>1461</v>
      </c>
      <c r="B64" s="1081" t="s">
        <v>1462</v>
      </c>
      <c r="C64" s="24">
        <f ca="1">ROUND(C57*F64,0)</f>
        <v>0</v>
      </c>
      <c r="D64" s="1095" t="s">
        <v>1463</v>
      </c>
      <c r="E64" s="1081" t="s">
        <v>1455</v>
      </c>
      <c r="F64" s="334">
        <f t="shared" ca="1" si="0"/>
        <v>0</v>
      </c>
      <c r="I64" s="1646" t="s">
        <v>1539</v>
      </c>
      <c r="J64" s="1647">
        <v>50</v>
      </c>
      <c r="K64" s="1647">
        <v>35</v>
      </c>
      <c r="L64" s="1647">
        <v>60</v>
      </c>
      <c r="M64" s="1648">
        <v>0</v>
      </c>
      <c r="O64" s="1595" t="s">
        <v>1483</v>
      </c>
      <c r="P64" s="1596" t="s">
        <v>1484</v>
      </c>
      <c r="Q64" s="1597" t="s">
        <v>1485</v>
      </c>
      <c r="R64" s="1597" t="s">
        <v>1486</v>
      </c>
    </row>
    <row r="65" spans="1:18" s="1568" customFormat="1" ht="13.5" thickBot="1">
      <c r="A65" s="1113" t="s">
        <v>1464</v>
      </c>
      <c r="B65" s="1081" t="s">
        <v>1414</v>
      </c>
      <c r="C65" s="24">
        <f ca="1">ROUND(C56*F65,0)</f>
        <v>0</v>
      </c>
      <c r="D65" s="1095" t="s">
        <v>1415</v>
      </c>
      <c r="E65" s="1081" t="s">
        <v>1416</v>
      </c>
      <c r="F65" s="336">
        <f t="shared" ca="1" si="0"/>
        <v>0</v>
      </c>
      <c r="I65" s="1646" t="s">
        <v>1540</v>
      </c>
      <c r="J65" s="1647">
        <v>40</v>
      </c>
      <c r="K65" s="1647">
        <v>30</v>
      </c>
      <c r="L65" s="1647">
        <v>50</v>
      </c>
      <c r="M65" s="1649">
        <v>0.02</v>
      </c>
      <c r="O65" s="1602" t="s">
        <v>1008</v>
      </c>
      <c r="P65" s="1603" t="s">
        <v>1541</v>
      </c>
      <c r="Q65" s="1604" t="e">
        <f ca="1">C40+J29</f>
        <v>#DIV/0!</v>
      </c>
      <c r="R65" s="1604" t="s">
        <v>1490</v>
      </c>
    </row>
    <row r="66" spans="1:18" s="1568" customFormat="1" ht="16.5" thickBot="1">
      <c r="A66" s="1113" t="s">
        <v>1465</v>
      </c>
      <c r="B66" s="1081" t="s">
        <v>1400</v>
      </c>
      <c r="C66" s="24">
        <f ca="1">ROUND(C48*F66,0)</f>
        <v>0</v>
      </c>
      <c r="D66" s="1095" t="s">
        <v>1466</v>
      </c>
      <c r="E66" s="1081" t="s">
        <v>1383</v>
      </c>
      <c r="F66" s="318">
        <f t="shared" ca="1" si="0"/>
        <v>0</v>
      </c>
      <c r="O66" s="1602" t="s">
        <v>1009</v>
      </c>
      <c r="P66" s="1603" t="s">
        <v>1519</v>
      </c>
      <c r="Q66" s="1604" t="e">
        <f ca="1">L60</f>
        <v>#DIV/0!</v>
      </c>
      <c r="R66" s="1604" t="s">
        <v>1542</v>
      </c>
    </row>
    <row r="67" spans="1:18" s="1568" customFormat="1" ht="16.5" thickBot="1">
      <c r="A67" s="1088" t="s">
        <v>999</v>
      </c>
      <c r="B67" s="1098" t="s">
        <v>1424</v>
      </c>
      <c r="C67" s="322">
        <f ca="1">C48-C58</f>
        <v>0</v>
      </c>
      <c r="D67" s="1094" t="s">
        <v>1425</v>
      </c>
      <c r="E67" s="1099"/>
      <c r="F67" s="1100"/>
      <c r="O67" s="1612" t="s">
        <v>1010</v>
      </c>
      <c r="P67" s="1603" t="s">
        <v>1523</v>
      </c>
      <c r="Q67" s="1650">
        <f ca="1">L51</f>
        <v>0</v>
      </c>
      <c r="R67" s="1604" t="s">
        <v>1543</v>
      </c>
    </row>
    <row r="68" spans="1:18" s="1568" customFormat="1" ht="16.5" thickBot="1">
      <c r="A68" s="1078" t="s">
        <v>1000</v>
      </c>
      <c r="B68" s="1079" t="s">
        <v>1446</v>
      </c>
      <c r="C68" s="307" t="e">
        <f ca="1">ROUND(C67*(1-((1+F70)/(1+F68))^F69)/(F68-F70),0)</f>
        <v>#DIV/0!</v>
      </c>
      <c r="D68" s="1096" t="s">
        <v>1430</v>
      </c>
      <c r="E68" s="1081" t="s">
        <v>1431</v>
      </c>
      <c r="F68" s="318">
        <f ca="1">F40</f>
        <v>0</v>
      </c>
      <c r="O68" s="1612" t="s">
        <v>1011</v>
      </c>
      <c r="P68" s="1651" t="s">
        <v>1544</v>
      </c>
      <c r="Q68" s="1604">
        <f ca="1">ROUND(Q69-Q70*Q71,0)</f>
        <v>0</v>
      </c>
      <c r="R68" s="1604" t="s">
        <v>1019</v>
      </c>
    </row>
    <row r="69" spans="1:18" s="1568" customFormat="1" ht="13.5" thickBot="1">
      <c r="A69" s="1082"/>
      <c r="B69" s="1083"/>
      <c r="C69" s="312"/>
      <c r="D69" s="1101" t="s">
        <v>1434</v>
      </c>
      <c r="E69" s="1081" t="s">
        <v>1435</v>
      </c>
      <c r="F69" s="339">
        <f ca="1">F41</f>
        <v>0</v>
      </c>
      <c r="O69" s="1612" t="s">
        <v>1016</v>
      </c>
      <c r="P69" s="1651" t="s">
        <v>1545</v>
      </c>
      <c r="Q69" s="1604">
        <f ca="1">C39</f>
        <v>0</v>
      </c>
      <c r="R69" s="1604" t="s">
        <v>1490</v>
      </c>
    </row>
    <row r="70" spans="1:18" s="1568" customFormat="1" ht="13.5" thickBot="1">
      <c r="A70" s="1085"/>
      <c r="B70" s="1086"/>
      <c r="C70" s="316"/>
      <c r="D70" s="1097"/>
      <c r="E70" s="1081" t="s">
        <v>1438</v>
      </c>
      <c r="F70" s="1185">
        <f ca="1">F42</f>
        <v>0</v>
      </c>
      <c r="O70" s="1612" t="s">
        <v>1017</v>
      </c>
      <c r="P70" s="1651" t="s">
        <v>1546</v>
      </c>
      <c r="Q70" s="1604">
        <f ca="1">C13</f>
        <v>0</v>
      </c>
      <c r="R70" s="1604" t="s">
        <v>1490</v>
      </c>
    </row>
    <row r="71" spans="1:18" s="1568" customFormat="1" ht="13.5" thickBot="1">
      <c r="A71" s="1102" t="s">
        <v>1001</v>
      </c>
      <c r="B71" s="1103" t="s">
        <v>1448</v>
      </c>
      <c r="C71" s="342" t="e">
        <f ca="1">ROUND(C68/F71,0)</f>
        <v>#DIV/0!</v>
      </c>
      <c r="D71" s="1104" t="s">
        <v>1449</v>
      </c>
      <c r="E71" s="1105" t="s">
        <v>1450</v>
      </c>
      <c r="F71" s="345">
        <f ca="1">F43</f>
        <v>0</v>
      </c>
      <c r="O71" s="1612" t="s">
        <v>1018</v>
      </c>
      <c r="P71" s="1651" t="s">
        <v>1547</v>
      </c>
      <c r="Q71" s="1615">
        <f ca="1">C76</f>
        <v>0</v>
      </c>
      <c r="R71" s="1604"/>
    </row>
    <row r="72" spans="1:18" s="1568" customFormat="1" ht="13.5" thickBot="1">
      <c r="B72" s="735"/>
      <c r="C72" s="735"/>
      <c r="O72" s="1612" t="s">
        <v>1012</v>
      </c>
      <c r="P72" s="1603" t="s">
        <v>1525</v>
      </c>
      <c r="Q72" s="1615">
        <f>L52</f>
        <v>0</v>
      </c>
      <c r="R72" s="1604"/>
    </row>
    <row r="73" spans="1:18" ht="16.5" thickBot="1">
      <c r="A73" s="1568"/>
      <c r="B73" s="735"/>
      <c r="C73" s="735"/>
      <c r="D73" s="1568"/>
      <c r="E73" s="1568"/>
      <c r="F73" s="1568"/>
      <c r="O73" s="1612" t="s">
        <v>1013</v>
      </c>
      <c r="P73" s="1603" t="s">
        <v>1528</v>
      </c>
      <c r="Q73" s="1604" t="e">
        <f ca="1">L58</f>
        <v>#DIV/0!</v>
      </c>
      <c r="R73" s="1604" t="s">
        <v>1529</v>
      </c>
    </row>
    <row r="74" spans="1:18" ht="13.5" thickBot="1">
      <c r="A74" s="1568"/>
      <c r="B74" s="279" t="s">
        <v>1548</v>
      </c>
      <c r="C74" s="1653"/>
      <c r="D74" s="1568"/>
      <c r="E74" s="1568"/>
      <c r="F74" s="1568"/>
      <c r="O74" s="1612" t="s">
        <v>1020</v>
      </c>
      <c r="P74" s="1603" t="str">
        <f>K59</f>
        <v>建设期及建筑物耐用年限下的土地年期修正系数Kn</v>
      </c>
      <c r="Q74" s="1604" t="e">
        <f ca="1">L59</f>
        <v>#DIV/0!</v>
      </c>
      <c r="R74" s="1604" t="s">
        <v>1530</v>
      </c>
    </row>
    <row r="75" spans="1:18" ht="13.5" thickBot="1">
      <c r="A75" s="1568"/>
      <c r="B75" s="346" t="s">
        <v>1467</v>
      </c>
      <c r="C75" s="347">
        <f ca="1">ROUND(C13*C76,0)</f>
        <v>0</v>
      </c>
      <c r="D75" s="1568"/>
      <c r="E75" s="1568"/>
      <c r="F75" s="1568"/>
      <c r="K75" s="1586"/>
      <c r="L75" s="1568"/>
      <c r="O75" s="1602" t="s">
        <v>1014</v>
      </c>
      <c r="P75" s="1603" t="s">
        <v>1510</v>
      </c>
      <c r="Q75" s="1604" t="e">
        <f ca="1">Q65+Q66</f>
        <v>#DIV/0!</v>
      </c>
      <c r="R75" s="1604" t="s">
        <v>1015</v>
      </c>
    </row>
    <row r="76" spans="1:18">
      <c r="B76" s="348" t="s">
        <v>1468</v>
      </c>
      <c r="C76" s="349">
        <f ca="1">INDIRECT("'数据-取费表'!j"&amp;$G$1)</f>
        <v>0</v>
      </c>
      <c r="I76" s="1568"/>
      <c r="J76" s="1568"/>
      <c r="K76" s="1586"/>
      <c r="L76" s="1568"/>
    </row>
    <row r="77" spans="1:18">
      <c r="B77" s="350" t="s">
        <v>1469</v>
      </c>
      <c r="C77" s="351"/>
      <c r="I77" s="1568"/>
      <c r="J77" s="1568"/>
      <c r="K77" s="1586"/>
      <c r="L77" s="1568"/>
    </row>
    <row r="78" spans="1:18">
      <c r="B78" s="276" t="s">
        <v>1470</v>
      </c>
      <c r="C78" s="352"/>
    </row>
    <row r="79" spans="1:18">
      <c r="B79" s="346" t="s">
        <v>1471</v>
      </c>
      <c r="C79" s="280" t="e">
        <f ca="1">1-C80</f>
        <v>#DIV/0!</v>
      </c>
    </row>
    <row r="80" spans="1:18">
      <c r="B80" s="346" t="s">
        <v>1472</v>
      </c>
      <c r="C80" s="280" t="e">
        <f ca="1">ROUND(C75/C39,3)</f>
        <v>#DIV/0!</v>
      </c>
    </row>
    <row r="81" spans="2:3">
      <c r="B81" s="276" t="s">
        <v>1473</v>
      </c>
      <c r="C81" s="244"/>
    </row>
    <row r="82" spans="2:3">
      <c r="B82" s="279" t="s">
        <v>1474</v>
      </c>
      <c r="C82" s="281" t="e">
        <f ca="1">1-C83</f>
        <v>#DIV/0!</v>
      </c>
    </row>
    <row r="83" spans="2:3">
      <c r="B83" s="279" t="s">
        <v>1475</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2343</v>
      </c>
      <c r="B1" s="2054"/>
      <c r="C1" s="2054"/>
      <c r="D1" s="2054"/>
      <c r="E1" s="2055"/>
      <c r="F1" s="2936"/>
      <c r="G1" s="1674"/>
      <c r="H1" s="1674"/>
      <c r="I1" s="1674"/>
      <c r="J1" s="1674"/>
      <c r="K1" s="1674"/>
      <c r="L1" s="1674"/>
      <c r="M1" s="1674"/>
      <c r="N1" s="1674"/>
      <c r="O1" s="1674"/>
      <c r="P1" s="1674"/>
      <c r="Q1" s="1674"/>
      <c r="R1" s="1674"/>
      <c r="S1" s="1674"/>
    </row>
    <row r="2" spans="1:22" ht="15.75">
      <c r="A2" s="2056" t="s">
        <v>2144</v>
      </c>
      <c r="B2" s="2057">
        <f ca="1">SUMIF(B6:B13,"&lt;&gt;#ref!",B6:B13)</f>
        <v>29848</v>
      </c>
      <c r="C2" s="2058" t="s">
        <v>2336</v>
      </c>
      <c r="D2" s="2059" t="s">
        <v>2337</v>
      </c>
      <c r="E2" s="2833">
        <f>SUM(E6:E13)</f>
        <v>93605.4</v>
      </c>
      <c r="F2" s="2936"/>
      <c r="G2" s="1674"/>
      <c r="H2" s="1674"/>
      <c r="I2" s="1674"/>
      <c r="J2" s="1674"/>
      <c r="K2" s="1674"/>
      <c r="L2" s="1674"/>
      <c r="M2" s="1674"/>
      <c r="N2" s="1674"/>
      <c r="O2" s="1674"/>
      <c r="P2" s="1674"/>
      <c r="Q2" s="1674"/>
      <c r="R2" s="1674"/>
      <c r="S2" s="1674"/>
    </row>
    <row r="3" spans="1:22" ht="15.75">
      <c r="A3" s="2056" t="s">
        <v>1356</v>
      </c>
      <c r="B3" s="2827">
        <f ca="1">ROUND(B2*10000/E2,0)</f>
        <v>3189</v>
      </c>
      <c r="C3" s="2058" t="s">
        <v>2344</v>
      </c>
      <c r="D3" s="2938"/>
      <c r="E3" s="2940"/>
      <c r="F3" s="2936"/>
      <c r="G3" s="1674"/>
      <c r="H3" s="1674"/>
      <c r="I3" s="1674"/>
      <c r="J3" s="1674"/>
      <c r="K3" s="1674"/>
      <c r="L3" s="1674"/>
      <c r="M3" s="1674"/>
      <c r="N3" s="1674"/>
      <c r="O3" s="1674"/>
      <c r="P3" s="1674"/>
      <c r="Q3" s="1674"/>
      <c r="R3" s="1674"/>
      <c r="S3" s="1674"/>
    </row>
    <row r="4" spans="1:22" ht="15.75">
      <c r="A4" s="2941"/>
      <c r="B4" s="2938"/>
      <c r="C4" s="2938"/>
      <c r="D4" s="2938"/>
      <c r="E4" s="2940"/>
      <c r="F4" s="2936"/>
      <c r="G4" s="1674"/>
      <c r="H4" s="1674"/>
      <c r="I4" s="1674"/>
      <c r="J4" s="1674"/>
      <c r="K4" s="1674"/>
      <c r="L4" s="1674"/>
      <c r="M4" s="1674"/>
      <c r="N4" s="1674"/>
      <c r="O4" s="1674"/>
      <c r="P4" s="1674"/>
      <c r="Q4" s="1674"/>
      <c r="R4" s="1674"/>
      <c r="S4" s="1674"/>
    </row>
    <row r="5" spans="1:22" ht="15">
      <c r="A5" s="2829" t="s">
        <v>2338</v>
      </c>
      <c r="B5" s="3410" t="s">
        <v>2339</v>
      </c>
      <c r="C5" s="3411"/>
      <c r="D5" s="2937"/>
      <c r="E5" s="2060" t="s">
        <v>2340</v>
      </c>
      <c r="F5" s="2061" t="s">
        <v>2341</v>
      </c>
      <c r="G5" s="1674"/>
      <c r="H5" s="1674"/>
      <c r="I5" s="1674"/>
      <c r="J5" s="1674"/>
      <c r="K5" s="1674"/>
      <c r="L5" s="1674"/>
      <c r="M5" s="1674"/>
      <c r="N5" s="1674"/>
      <c r="O5" s="1674"/>
      <c r="P5" s="1674"/>
      <c r="Q5" s="1674"/>
      <c r="R5" s="1674"/>
      <c r="S5" s="1674"/>
    </row>
    <row r="6" spans="1:22">
      <c r="A6" s="2830" t="str">
        <f>'数据-取费表'!AN6</f>
        <v>收益法</v>
      </c>
      <c r="B6" s="2828">
        <f ca="1">IF(F6="是",'数据-取费表'!AO6,0)</f>
        <v>14593</v>
      </c>
      <c r="C6" s="2058" t="s">
        <v>2336</v>
      </c>
      <c r="D6" s="2938"/>
      <c r="E6" s="2832">
        <f>IF(OR(A6=0,F6="否"),0,'数据-取费表'!K6+'数据-取费表'!S6)</f>
        <v>45156.59</v>
      </c>
      <c r="F6" s="2062" t="s">
        <v>2342</v>
      </c>
      <c r="G6" s="1674"/>
      <c r="H6" s="1674"/>
      <c r="I6" s="1674"/>
      <c r="J6" s="1674"/>
      <c r="K6" s="1674"/>
      <c r="L6" s="1674"/>
      <c r="M6" s="1674"/>
      <c r="N6" s="1674"/>
      <c r="O6" s="1674"/>
      <c r="P6" s="1674"/>
      <c r="Q6" s="1674"/>
      <c r="R6" s="1674"/>
      <c r="S6" s="1674"/>
    </row>
    <row r="7" spans="1:22">
      <c r="A7" s="2830" t="str">
        <f>'数据-取费表'!AN7</f>
        <v>收益法-B</v>
      </c>
      <c r="B7" s="2828">
        <f ca="1">IF(F7="是",'数据-取费表'!AO7,0)</f>
        <v>15255</v>
      </c>
      <c r="C7" s="2058" t="s">
        <v>2336</v>
      </c>
      <c r="D7" s="2938"/>
      <c r="E7" s="2832">
        <f>IF(OR(A7=0,F7="否"),0,'数据-取费表'!K7+'数据-取费表'!S7)</f>
        <v>48448.81</v>
      </c>
      <c r="F7" s="2062" t="s">
        <v>2342</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2336</v>
      </c>
      <c r="D8" s="2938"/>
      <c r="E8" s="2832">
        <f>IF(OR(A8=0,F8="否"),0,'数据-取费表'!K8+'数据-取费表'!S8)</f>
        <v>0</v>
      </c>
      <c r="F8" s="2062" t="s">
        <v>2342</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2336</v>
      </c>
      <c r="D9" s="2938"/>
      <c r="E9" s="2832">
        <f>IF(OR(A9=0,F9="否"),0,'数据-取费表'!K9+'数据-取费表'!S9)</f>
        <v>0</v>
      </c>
      <c r="F9" s="2062" t="s">
        <v>2342</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2336</v>
      </c>
      <c r="D10" s="2938"/>
      <c r="E10" s="2832">
        <f>IF(OR(A10=0,F10="否"),0,'数据-取费表'!K10+'数据-取费表'!S10)</f>
        <v>0</v>
      </c>
      <c r="F10" s="2062" t="s">
        <v>2342</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2336</v>
      </c>
      <c r="D11" s="2938"/>
      <c r="E11" s="2832">
        <f>IF(OR(A11=0,F11="否"),0,'数据-取费表'!K11+'数据-取费表'!S11)</f>
        <v>0</v>
      </c>
      <c r="F11" s="2062" t="s">
        <v>2342</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2336</v>
      </c>
      <c r="D12" s="2938"/>
      <c r="E12" s="2832">
        <f>IF(OR(A12=0,F12="否"),0,'数据-取费表'!K12+'数据-取费表'!S12)</f>
        <v>0</v>
      </c>
      <c r="F12" s="2062" t="s">
        <v>2342</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2336</v>
      </c>
      <c r="D13" s="2939"/>
      <c r="E13" s="2832">
        <f>IF(OR(A13=0,F13="否"),0,'数据-取费表'!K13+'数据-取费表'!S13)</f>
        <v>0</v>
      </c>
      <c r="F13" s="2062" t="s">
        <v>2342</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900-000000000000}">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428" t="s">
        <v>1044</v>
      </c>
      <c r="B1" s="3429"/>
      <c r="C1" s="3430"/>
      <c r="D1" s="3431">
        <f>SUM(I10,I15,I20,I21,I23)</f>
        <v>0</v>
      </c>
      <c r="E1" s="3431"/>
      <c r="F1" s="3431"/>
      <c r="G1" s="3431"/>
      <c r="H1" s="3431"/>
      <c r="I1" s="3432"/>
    </row>
    <row r="2" spans="1:9">
      <c r="A2" s="3418" t="s">
        <v>1045</v>
      </c>
      <c r="B2" s="3419" t="s">
        <v>1046</v>
      </c>
      <c r="C2" s="3419"/>
      <c r="D2" s="1211" t="s">
        <v>1047</v>
      </c>
      <c r="E2" s="1211" t="s">
        <v>1048</v>
      </c>
      <c r="F2" s="1211" t="s">
        <v>1049</v>
      </c>
      <c r="G2" s="1211" t="s">
        <v>1050</v>
      </c>
      <c r="H2" s="1211" t="s">
        <v>1051</v>
      </c>
      <c r="I2" s="1212" t="s">
        <v>1052</v>
      </c>
    </row>
    <row r="3" spans="1:9">
      <c r="A3" s="3418"/>
      <c r="B3" s="3419" t="s">
        <v>1053</v>
      </c>
      <c r="C3" s="3419"/>
      <c r="D3" s="1213"/>
      <c r="E3" s="1211"/>
      <c r="F3" s="1214"/>
      <c r="G3" s="1214"/>
      <c r="H3" s="1215"/>
      <c r="I3" s="1216">
        <f>ROUND(D3*E3*F3*G3*H3/10000,0)</f>
        <v>0</v>
      </c>
    </row>
    <row r="4" spans="1:9">
      <c r="A4" s="3418"/>
      <c r="B4" s="3419" t="s">
        <v>1054</v>
      </c>
      <c r="C4" s="3419"/>
      <c r="D4" s="1213"/>
      <c r="E4" s="1211"/>
      <c r="F4" s="1214"/>
      <c r="G4" s="1214"/>
      <c r="H4" s="1215"/>
      <c r="I4" s="1216">
        <f t="shared" ref="I4:I9" si="0">ROUND(D4*E4*F4*G4*H4/10000,0)</f>
        <v>0</v>
      </c>
    </row>
    <row r="5" spans="1:9">
      <c r="A5" s="3418"/>
      <c r="B5" s="3419" t="s">
        <v>1055</v>
      </c>
      <c r="C5" s="3419"/>
      <c r="D5" s="1213"/>
      <c r="E5" s="1211"/>
      <c r="F5" s="1214"/>
      <c r="G5" s="1214"/>
      <c r="H5" s="1215"/>
      <c r="I5" s="1216">
        <f t="shared" si="0"/>
        <v>0</v>
      </c>
    </row>
    <row r="6" spans="1:9">
      <c r="A6" s="3418"/>
      <c r="B6" s="3419" t="s">
        <v>1056</v>
      </c>
      <c r="C6" s="3419"/>
      <c r="D6" s="1213"/>
      <c r="E6" s="1211"/>
      <c r="F6" s="1214"/>
      <c r="G6" s="1214"/>
      <c r="H6" s="1215"/>
      <c r="I6" s="1216">
        <f t="shared" si="0"/>
        <v>0</v>
      </c>
    </row>
    <row r="7" spans="1:9">
      <c r="A7" s="3418"/>
      <c r="B7" s="3419" t="s">
        <v>1057</v>
      </c>
      <c r="C7" s="3419"/>
      <c r="D7" s="1213"/>
      <c r="E7" s="1211"/>
      <c r="F7" s="1214"/>
      <c r="G7" s="1214"/>
      <c r="H7" s="1215"/>
      <c r="I7" s="1216">
        <f t="shared" si="0"/>
        <v>0</v>
      </c>
    </row>
    <row r="8" spans="1:9">
      <c r="A8" s="3418"/>
      <c r="B8" s="3419" t="s">
        <v>1058</v>
      </c>
      <c r="C8" s="3419"/>
      <c r="D8" s="1213"/>
      <c r="E8" s="1211"/>
      <c r="F8" s="1214"/>
      <c r="G8" s="1214"/>
      <c r="H8" s="1215"/>
      <c r="I8" s="1216">
        <f t="shared" si="0"/>
        <v>0</v>
      </c>
    </row>
    <row r="9" spans="1:9">
      <c r="A9" s="3418"/>
      <c r="B9" s="3419" t="s">
        <v>1059</v>
      </c>
      <c r="C9" s="3419"/>
      <c r="D9" s="1213"/>
      <c r="E9" s="1211"/>
      <c r="F9" s="1214"/>
      <c r="G9" s="1214"/>
      <c r="H9" s="1215"/>
      <c r="I9" s="1216">
        <f t="shared" si="0"/>
        <v>0</v>
      </c>
    </row>
    <row r="10" spans="1:9">
      <c r="A10" s="3418"/>
      <c r="B10" s="3420" t="s">
        <v>1060</v>
      </c>
      <c r="C10" s="3420"/>
      <c r="D10" s="1217"/>
      <c r="E10" s="1217" t="e">
        <f>ROUND(D1*10000/D10/H9,0)</f>
        <v>#DIV/0!</v>
      </c>
      <c r="F10" s="1218"/>
      <c r="G10" s="1218"/>
      <c r="H10" s="1219"/>
      <c r="I10" s="1220">
        <f>SUM(I3:I9)</f>
        <v>0</v>
      </c>
    </row>
    <row r="11" spans="1:9" ht="14.25">
      <c r="A11" s="3418" t="s">
        <v>1061</v>
      </c>
      <c r="B11" s="3419" t="s">
        <v>1062</v>
      </c>
      <c r="C11" s="3419"/>
      <c r="D11" s="1213" t="s">
        <v>1063</v>
      </c>
      <c r="E11" s="1213" t="s">
        <v>1064</v>
      </c>
      <c r="F11" s="1214" t="s">
        <v>1065</v>
      </c>
      <c r="G11" s="1214" t="s">
        <v>1051</v>
      </c>
      <c r="H11" s="1221" t="s">
        <v>1066</v>
      </c>
      <c r="I11" s="1212" t="s">
        <v>1052</v>
      </c>
    </row>
    <row r="12" spans="1:9">
      <c r="A12" s="3418"/>
      <c r="B12" s="3419" t="s">
        <v>1067</v>
      </c>
      <c r="C12" s="3419"/>
      <c r="D12" s="1213"/>
      <c r="E12" s="1213"/>
      <c r="F12" s="1214"/>
      <c r="G12" s="1215"/>
      <c r="H12" s="1222"/>
      <c r="I12" s="1212">
        <f>ROUND(D12*E12*F12*G12/10000,0)</f>
        <v>0</v>
      </c>
    </row>
    <row r="13" spans="1:9">
      <c r="A13" s="3418"/>
      <c r="B13" s="3419" t="s">
        <v>1068</v>
      </c>
      <c r="C13" s="3419"/>
      <c r="D13" s="1213"/>
      <c r="E13" s="1213"/>
      <c r="F13" s="1214"/>
      <c r="G13" s="1215"/>
      <c r="H13" s="1222"/>
      <c r="I13" s="1212">
        <f>ROUND(D13*E13*F13*G13/10000,0)</f>
        <v>0</v>
      </c>
    </row>
    <row r="14" spans="1:9">
      <c r="A14" s="3418"/>
      <c r="B14" s="3419" t="s">
        <v>1069</v>
      </c>
      <c r="C14" s="3419"/>
      <c r="D14" s="1213"/>
      <c r="E14" s="1213"/>
      <c r="F14" s="1214"/>
      <c r="G14" s="1215"/>
      <c r="H14" s="1222"/>
      <c r="I14" s="1212">
        <f>ROUND(D14*E14*F14*G14/10000,0)</f>
        <v>0</v>
      </c>
    </row>
    <row r="15" spans="1:9">
      <c r="A15" s="3418"/>
      <c r="B15" s="3420" t="s">
        <v>1060</v>
      </c>
      <c r="C15" s="3420"/>
      <c r="D15" s="1217"/>
      <c r="E15" s="1217">
        <f>SUM(E12:E14)</f>
        <v>0</v>
      </c>
      <c r="F15" s="1218"/>
      <c r="G15" s="1215"/>
      <c r="H15" s="1222"/>
      <c r="I15" s="1223">
        <f>SUM(I12:I14)</f>
        <v>0</v>
      </c>
    </row>
    <row r="16" spans="1:9" ht="24">
      <c r="A16" s="3418" t="s">
        <v>1070</v>
      </c>
      <c r="B16" s="3419" t="s">
        <v>1071</v>
      </c>
      <c r="C16" s="3419"/>
      <c r="D16" s="1213" t="s">
        <v>1047</v>
      </c>
      <c r="E16" s="1224" t="s">
        <v>1072</v>
      </c>
      <c r="F16" s="1214" t="s">
        <v>1073</v>
      </c>
      <c r="G16" s="1215" t="s">
        <v>1051</v>
      </c>
      <c r="H16" s="1221" t="s">
        <v>1066</v>
      </c>
      <c r="I16" s="1212" t="s">
        <v>1052</v>
      </c>
    </row>
    <row r="17" spans="1:9" ht="14.25">
      <c r="A17" s="3418"/>
      <c r="B17" s="3419" t="s">
        <v>1074</v>
      </c>
      <c r="C17" s="3419"/>
      <c r="D17" s="1213"/>
      <c r="E17" s="1213"/>
      <c r="F17" s="1214"/>
      <c r="G17" s="1215"/>
      <c r="H17" s="1225"/>
      <c r="I17" s="1226">
        <f>ROUND(D17*E17*F17*G17/10000,0)</f>
        <v>0</v>
      </c>
    </row>
    <row r="18" spans="1:9" ht="14.25">
      <c r="A18" s="3418"/>
      <c r="B18" s="3419" t="s">
        <v>1075</v>
      </c>
      <c r="C18" s="3419"/>
      <c r="D18" s="1213"/>
      <c r="E18" s="1213"/>
      <c r="F18" s="1214"/>
      <c r="G18" s="1215"/>
      <c r="H18" s="1225"/>
      <c r="I18" s="1226">
        <f>ROUND(D18*E18*F18*G18/10000,0)</f>
        <v>0</v>
      </c>
    </row>
    <row r="19" spans="1:9" ht="14.25">
      <c r="A19" s="3418"/>
      <c r="B19" s="3419" t="s">
        <v>1076</v>
      </c>
      <c r="C19" s="3419"/>
      <c r="D19" s="1213"/>
      <c r="E19" s="1213"/>
      <c r="F19" s="1214"/>
      <c r="G19" s="1215"/>
      <c r="H19" s="1225"/>
      <c r="I19" s="1226">
        <f>ROUND(D19*E19*F19*G19/10000,0)</f>
        <v>0</v>
      </c>
    </row>
    <row r="20" spans="1:9">
      <c r="A20" s="3418"/>
      <c r="B20" s="3420" t="s">
        <v>1060</v>
      </c>
      <c r="C20" s="3420"/>
      <c r="D20" s="1217">
        <f>SUM(D17:D19)</f>
        <v>0</v>
      </c>
      <c r="E20" s="1217"/>
      <c r="F20" s="1218"/>
      <c r="G20" s="1215"/>
      <c r="H20" s="1222"/>
      <c r="I20" s="1223">
        <f>SUM(I17:I19)</f>
        <v>0</v>
      </c>
    </row>
    <row r="21" spans="1:9">
      <c r="A21" s="3418" t="s">
        <v>1077</v>
      </c>
      <c r="B21" s="3421"/>
      <c r="C21" s="3421"/>
      <c r="D21" s="3421"/>
      <c r="E21" s="3421"/>
      <c r="F21" s="3421"/>
      <c r="G21" s="3421"/>
      <c r="H21" s="1502">
        <v>0.1</v>
      </c>
      <c r="I21" s="1220">
        <f>ROUND(I10*H21,0)</f>
        <v>0</v>
      </c>
    </row>
    <row r="22" spans="1:9" ht="14.25">
      <c r="A22" s="3422" t="s">
        <v>1078</v>
      </c>
      <c r="B22" s="3423"/>
      <c r="C22" s="3424"/>
      <c r="D22" s="1227" t="s">
        <v>1079</v>
      </c>
      <c r="E22" s="1227" t="s">
        <v>1080</v>
      </c>
      <c r="F22" s="1228" t="s">
        <v>1081</v>
      </c>
      <c r="G22" s="1228" t="s">
        <v>1082</v>
      </c>
      <c r="H22" s="1221" t="s">
        <v>1083</v>
      </c>
      <c r="I22" s="1212" t="s">
        <v>1084</v>
      </c>
    </row>
    <row r="23" spans="1:9" ht="14.25" thickBot="1">
      <c r="A23" s="3425"/>
      <c r="B23" s="3426"/>
      <c r="C23" s="3427"/>
      <c r="D23" s="1229"/>
      <c r="E23" s="1229"/>
      <c r="F23" s="1229"/>
      <c r="G23" s="1230"/>
      <c r="H23" s="1231"/>
      <c r="I23" s="1232">
        <f>ROUND(E23*D23*F23*(1-G23)/10000,0)</f>
        <v>0</v>
      </c>
    </row>
    <row r="26" spans="1:9">
      <c r="A26" s="1233" t="s">
        <v>1085</v>
      </c>
      <c r="B26" s="1233"/>
      <c r="C26" s="1233"/>
      <c r="D26" s="1233"/>
      <c r="E26" s="3415">
        <f>C27-C30-C31-C32</f>
        <v>0</v>
      </c>
      <c r="F26" s="3415"/>
      <c r="G26" s="3415"/>
      <c r="H26" s="1499" t="s">
        <v>1306</v>
      </c>
    </row>
    <row r="27" spans="1:9">
      <c r="A27" s="1234">
        <v>1</v>
      </c>
      <c r="B27" s="1235" t="s">
        <v>1086</v>
      </c>
      <c r="C27" s="1235">
        <f>C28+C29</f>
        <v>0</v>
      </c>
      <c r="D27" s="1235"/>
      <c r="E27" s="3416"/>
      <c r="F27" s="3416"/>
      <c r="G27" s="3416"/>
    </row>
    <row r="28" spans="1:9">
      <c r="A28" s="1236" t="s">
        <v>1087</v>
      </c>
      <c r="B28" s="1235" t="s">
        <v>1088</v>
      </c>
      <c r="C28" s="1235"/>
      <c r="D28" s="1235"/>
      <c r="E28" s="3416"/>
      <c r="F28" s="3416"/>
      <c r="G28" s="3416"/>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417"/>
      <c r="F32" s="3417"/>
      <c r="G32" s="3417"/>
    </row>
    <row r="33" spans="1:7" hidden="1">
      <c r="A33" s="3412" t="s">
        <v>1097</v>
      </c>
      <c r="B33" s="3413"/>
      <c r="C33" s="3413"/>
      <c r="D33" s="3414"/>
      <c r="E33" s="3415"/>
      <c r="F33" s="3415"/>
      <c r="G33" s="3415"/>
    </row>
    <row r="34" spans="1:7" hidden="1">
      <c r="A34" s="1238">
        <v>1</v>
      </c>
      <c r="B34" s="1235" t="s">
        <v>1098</v>
      </c>
      <c r="C34" s="1235"/>
      <c r="D34" s="1235"/>
      <c r="E34" s="3416"/>
      <c r="F34" s="3416"/>
      <c r="G34" s="3416"/>
    </row>
    <row r="35" spans="1:7" hidden="1">
      <c r="A35" s="1238">
        <v>2</v>
      </c>
      <c r="B35" s="1235" t="s">
        <v>1099</v>
      </c>
      <c r="C35" s="1235"/>
      <c r="D35" s="1235"/>
      <c r="E35" s="3416"/>
      <c r="F35" s="3416"/>
      <c r="G35" s="3416"/>
    </row>
    <row r="36" spans="1:7" hidden="1">
      <c r="A36" s="1238">
        <v>3</v>
      </c>
      <c r="B36" s="1235" t="s">
        <v>1100</v>
      </c>
      <c r="C36" s="1235"/>
      <c r="D36" s="1235"/>
      <c r="E36" s="3416"/>
      <c r="F36" s="3416"/>
      <c r="G36" s="3416"/>
    </row>
    <row r="37" spans="1:7" hidden="1">
      <c r="A37" s="1238">
        <v>4</v>
      </c>
      <c r="B37" s="1235" t="s">
        <v>1101</v>
      </c>
      <c r="C37" s="1235"/>
      <c r="D37" s="1235"/>
      <c r="E37" s="3416"/>
      <c r="F37" s="3416"/>
      <c r="G37" s="3416"/>
    </row>
    <row r="38" spans="1:7" hidden="1">
      <c r="A38" s="3412" t="s">
        <v>1102</v>
      </c>
      <c r="B38" s="3413"/>
      <c r="C38" s="3413"/>
      <c r="D38" s="3414"/>
      <c r="E38" s="3415"/>
      <c r="F38" s="3415"/>
      <c r="G38" s="341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2345</v>
      </c>
      <c r="B1" s="2064" t="s">
        <v>2346</v>
      </c>
      <c r="C1" s="1406" t="s">
        <v>2347</v>
      </c>
      <c r="D1" s="1393"/>
      <c r="E1" s="2544"/>
      <c r="F1" s="2065" t="s">
        <v>2348</v>
      </c>
      <c r="G1" s="1403" t="s">
        <v>2349</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1355</v>
      </c>
      <c r="B2" s="1326" t="e">
        <f ca="1">IF(C2="——",ROUND(C49*D3/10000,0),ROUND(C49*D3/10000,0)-D2)</f>
        <v>#DIV/0!</v>
      </c>
      <c r="C2" s="2067"/>
      <c r="D2" s="1275" t="e">
        <f ca="1">SUMIF(INDIRECT("'"&amp;F2&amp;"'"&amp;"!A:A"),"承租人权益价值",INDIRECT("'"&amp;F2&amp;"'"&amp;"!c:c"))</f>
        <v>#REF!</v>
      </c>
      <c r="E2" s="2068" t="s">
        <v>2350</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1356</v>
      </c>
      <c r="B3" s="359" t="e">
        <f ca="1">IF(C2="——",C49,ROUND(B2*10000/D3,0))</f>
        <v>#DIV/0!</v>
      </c>
      <c r="C3" s="360" t="s">
        <v>2351</v>
      </c>
      <c r="D3" s="359">
        <f>IF(D1="",'数据-汇总表'!E3,SUMIF('数据-汇总表'!$C19:$C33,D1,'数据-汇总表'!$E19:$E33))</f>
        <v>93605.4</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5">
      <c r="A4" s="361" t="s">
        <v>2352</v>
      </c>
      <c r="B4" s="362"/>
      <c r="C4" s="3366" t="s">
        <v>2353</v>
      </c>
      <c r="D4" s="3379"/>
      <c r="E4" s="3380" t="s">
        <v>2354</v>
      </c>
      <c r="F4" s="3381"/>
      <c r="G4" s="3366" t="s">
        <v>2355</v>
      </c>
      <c r="H4" s="3379"/>
      <c r="I4" s="3366" t="s">
        <v>2356</v>
      </c>
      <c r="J4" s="3379"/>
      <c r="K4" s="2075" t="s">
        <v>2357</v>
      </c>
      <c r="L4" s="2944"/>
      <c r="M4" s="2945"/>
      <c r="N4" s="2945"/>
      <c r="O4" s="2945"/>
      <c r="P4" s="3382" t="s">
        <v>2358</v>
      </c>
      <c r="Q4" s="3383"/>
      <c r="R4" s="3388" t="s">
        <v>2354</v>
      </c>
      <c r="S4" s="3389"/>
      <c r="T4" s="3388" t="s">
        <v>2355</v>
      </c>
      <c r="U4" s="3389"/>
      <c r="V4" s="3375" t="s">
        <v>2356</v>
      </c>
      <c r="W4" s="3375"/>
      <c r="X4" s="1539"/>
      <c r="Y4" s="3388" t="s">
        <v>2358</v>
      </c>
      <c r="Z4" s="3389"/>
      <c r="AA4" s="3376" t="s">
        <v>2354</v>
      </c>
      <c r="AB4" s="3376" t="s">
        <v>2355</v>
      </c>
      <c r="AC4" s="3376" t="s">
        <v>2356</v>
      </c>
    </row>
    <row r="5" spans="1:29" ht="15">
      <c r="A5" s="364"/>
      <c r="B5" s="365"/>
      <c r="C5" s="3396" t="s">
        <v>2359</v>
      </c>
      <c r="D5" s="3397"/>
      <c r="E5" s="3403" t="s">
        <v>2360</v>
      </c>
      <c r="F5" s="3404"/>
      <c r="G5" s="3396" t="s">
        <v>2361</v>
      </c>
      <c r="H5" s="3397"/>
      <c r="I5" s="3396" t="s">
        <v>2362</v>
      </c>
      <c r="J5" s="3397"/>
      <c r="K5" s="2076"/>
      <c r="L5" s="2944"/>
      <c r="M5" s="2945"/>
      <c r="N5" s="2945"/>
      <c r="O5" s="2945"/>
      <c r="P5" s="3384"/>
      <c r="Q5" s="3385"/>
      <c r="R5" s="3390"/>
      <c r="S5" s="3391"/>
      <c r="T5" s="3390"/>
      <c r="U5" s="3391"/>
      <c r="V5" s="3375"/>
      <c r="W5" s="3375"/>
      <c r="X5" s="1539"/>
      <c r="Y5" s="3390"/>
      <c r="Z5" s="3391"/>
      <c r="AA5" s="3377"/>
      <c r="AB5" s="3377"/>
      <c r="AC5" s="3377"/>
    </row>
    <row r="6" spans="1:29" ht="15.75" thickBot="1">
      <c r="A6" s="366"/>
      <c r="B6" s="367"/>
      <c r="C6" s="3394" t="s">
        <v>2363</v>
      </c>
      <c r="D6" s="3395"/>
      <c r="E6" s="3401" t="s">
        <v>2363</v>
      </c>
      <c r="F6" s="3402"/>
      <c r="G6" s="3394" t="s">
        <v>2363</v>
      </c>
      <c r="H6" s="3395"/>
      <c r="I6" s="3394" t="s">
        <v>2363</v>
      </c>
      <c r="J6" s="3395"/>
      <c r="K6" s="2076" t="s">
        <v>2364</v>
      </c>
      <c r="L6" s="2944"/>
      <c r="M6" s="2945"/>
      <c r="N6" s="2945"/>
      <c r="O6" s="2945"/>
      <c r="P6" s="3386"/>
      <c r="Q6" s="3387"/>
      <c r="R6" s="3390"/>
      <c r="S6" s="3391"/>
      <c r="T6" s="3392"/>
      <c r="U6" s="3393"/>
      <c r="V6" s="3375"/>
      <c r="W6" s="3375"/>
      <c r="X6" s="1539"/>
      <c r="Y6" s="3392"/>
      <c r="Z6" s="3393"/>
      <c r="AA6" s="3378"/>
      <c r="AB6" s="3378"/>
      <c r="AC6" s="3378"/>
    </row>
    <row r="7" spans="1:29" s="113" customFormat="1" ht="15.75" thickBot="1">
      <c r="A7" s="368" t="s">
        <v>2365</v>
      </c>
      <c r="B7" s="369"/>
      <c r="C7" s="370">
        <f>'数据-取费表'!B2</f>
        <v>44555</v>
      </c>
      <c r="D7" s="371">
        <v>100</v>
      </c>
      <c r="E7" s="372"/>
      <c r="F7" s="373">
        <f>SUMIF(58:58,YEAR(E7)&amp;"-"&amp;MONTH(E7),59:59)</f>
        <v>0</v>
      </c>
      <c r="G7" s="372"/>
      <c r="H7" s="371">
        <f>SUMIF(58:58,YEAR(G7)&amp;"-"&amp;MONTH(G7),59:59)</f>
        <v>0</v>
      </c>
      <c r="I7" s="372"/>
      <c r="J7" s="371">
        <f>SUMIF(58:58,YEAR(I7)&amp;"-"&amp;MONTH(I7),59:59)</f>
        <v>0</v>
      </c>
      <c r="K7" s="2077"/>
      <c r="L7" s="2946"/>
      <c r="M7" s="2947"/>
      <c r="N7" s="2947"/>
      <c r="O7" s="2947"/>
      <c r="P7" s="3398" t="s">
        <v>2366</v>
      </c>
      <c r="Q7" s="3400"/>
      <c r="R7" s="710" t="s">
        <v>23</v>
      </c>
      <c r="S7" s="711">
        <f t="shared" ref="S7:S15" si="0">F7</f>
        <v>0</v>
      </c>
      <c r="T7" s="710" t="s">
        <v>23</v>
      </c>
      <c r="U7" s="711">
        <f t="shared" ref="U7:U15" si="1">H7</f>
        <v>0</v>
      </c>
      <c r="V7" s="710" t="s">
        <v>23</v>
      </c>
      <c r="W7" s="711">
        <f t="shared" ref="W7:W15" si="2">J7</f>
        <v>0</v>
      </c>
      <c r="X7" s="712"/>
      <c r="Y7" s="3398" t="s">
        <v>2366</v>
      </c>
      <c r="Z7" s="3399"/>
      <c r="AA7" s="713" t="e">
        <f>D7/F7</f>
        <v>#DIV/0!</v>
      </c>
      <c r="AB7" s="713" t="e">
        <f>D7/H7</f>
        <v>#DIV/0!</v>
      </c>
      <c r="AC7" s="713" t="e">
        <f>D7/J7</f>
        <v>#DIV/0!</v>
      </c>
    </row>
    <row r="8" spans="1:29" s="113" customFormat="1" ht="15.75" thickBot="1">
      <c r="A8" s="368" t="s">
        <v>2367</v>
      </c>
      <c r="B8" s="369"/>
      <c r="C8" s="374" t="s">
        <v>2368</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3398" t="s">
        <v>2369</v>
      </c>
      <c r="Q8" s="3399"/>
      <c r="R8" s="710" t="s">
        <v>23</v>
      </c>
      <c r="S8" s="711">
        <f t="shared" si="0"/>
        <v>0</v>
      </c>
      <c r="T8" s="710" t="s">
        <v>23</v>
      </c>
      <c r="U8" s="711">
        <f t="shared" si="1"/>
        <v>0</v>
      </c>
      <c r="V8" s="710" t="s">
        <v>23</v>
      </c>
      <c r="W8" s="711">
        <f t="shared" si="2"/>
        <v>0</v>
      </c>
      <c r="X8" s="712"/>
      <c r="Y8" s="3398" t="s">
        <v>2369</v>
      </c>
      <c r="Z8" s="3399"/>
      <c r="AA8" s="713" t="e">
        <f t="shared" ref="AA8:AA19" si="3">D8/F8</f>
        <v>#DIV/0!</v>
      </c>
      <c r="AB8" s="713" t="e">
        <f t="shared" ref="AB8:AB19" si="4">D8/H8</f>
        <v>#DIV/0!</v>
      </c>
      <c r="AC8" s="713" t="e">
        <f t="shared" ref="AC8:AC19" si="5">D8/J8</f>
        <v>#DIV/0!</v>
      </c>
    </row>
    <row r="9" spans="1:29" s="113" customFormat="1">
      <c r="A9" s="375" t="s">
        <v>2370</v>
      </c>
      <c r="B9" s="67" t="s">
        <v>2371</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368" t="s">
        <v>2372</v>
      </c>
      <c r="Q9" s="1527" t="str">
        <f t="shared" ref="Q9:Q15" si="6">B9</f>
        <v>用途</v>
      </c>
      <c r="R9" s="710" t="s">
        <v>17</v>
      </c>
      <c r="S9" s="711">
        <f t="shared" si="0"/>
        <v>100</v>
      </c>
      <c r="T9" s="710" t="s">
        <v>17</v>
      </c>
      <c r="U9" s="711">
        <f t="shared" si="1"/>
        <v>100</v>
      </c>
      <c r="V9" s="710" t="s">
        <v>17</v>
      </c>
      <c r="W9" s="711">
        <f t="shared" si="2"/>
        <v>100</v>
      </c>
      <c r="X9" s="712"/>
      <c r="Y9" s="3263"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368"/>
      <c r="Q10" s="1527" t="str">
        <f t="shared" si="6"/>
        <v>土地使用年限（年）</v>
      </c>
      <c r="R10" s="710" t="s">
        <v>17</v>
      </c>
      <c r="S10" s="711">
        <f t="shared" si="0"/>
        <v>100</v>
      </c>
      <c r="T10" s="710" t="s">
        <v>17</v>
      </c>
      <c r="U10" s="711">
        <f t="shared" si="1"/>
        <v>100</v>
      </c>
      <c r="V10" s="710" t="s">
        <v>17</v>
      </c>
      <c r="W10" s="711">
        <f t="shared" si="2"/>
        <v>100</v>
      </c>
      <c r="X10" s="712"/>
      <c r="Y10" s="3263"/>
      <c r="Z10" s="55" t="str">
        <f t="shared" si="7"/>
        <v>土地使用年限（年）</v>
      </c>
      <c r="AA10" s="713">
        <f t="shared" si="3"/>
        <v>1</v>
      </c>
      <c r="AB10" s="713">
        <f t="shared" si="4"/>
        <v>1</v>
      </c>
      <c r="AC10" s="713">
        <f t="shared" si="5"/>
        <v>1</v>
      </c>
    </row>
    <row r="11" spans="1:29" ht="15">
      <c r="A11" s="387"/>
      <c r="B11" s="381" t="s">
        <v>2375</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368"/>
      <c r="Q11" s="1527" t="str">
        <f t="shared" si="6"/>
        <v>容积率</v>
      </c>
      <c r="R11" s="710" t="s">
        <v>21</v>
      </c>
      <c r="S11" s="711" t="e">
        <f t="shared" si="0"/>
        <v>#N/A</v>
      </c>
      <c r="T11" s="710" t="s">
        <v>21</v>
      </c>
      <c r="U11" s="711" t="e">
        <f t="shared" si="1"/>
        <v>#N/A</v>
      </c>
      <c r="V11" s="710" t="s">
        <v>21</v>
      </c>
      <c r="W11" s="711" t="e">
        <f t="shared" si="2"/>
        <v>#N/A</v>
      </c>
      <c r="X11" s="712"/>
      <c r="Y11" s="3263"/>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368"/>
      <c r="Q12" s="1527">
        <f t="shared" si="6"/>
        <v>111</v>
      </c>
      <c r="R12" s="710" t="s">
        <v>21</v>
      </c>
      <c r="S12" s="711">
        <f t="shared" si="0"/>
        <v>100</v>
      </c>
      <c r="T12" s="710" t="s">
        <v>21</v>
      </c>
      <c r="U12" s="711">
        <f t="shared" si="1"/>
        <v>100</v>
      </c>
      <c r="V12" s="710" t="s">
        <v>21</v>
      </c>
      <c r="W12" s="711">
        <f t="shared" si="2"/>
        <v>100</v>
      </c>
      <c r="X12" s="712"/>
      <c r="Y12" s="3263"/>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368"/>
      <c r="Q13" s="1527">
        <f t="shared" si="6"/>
        <v>111</v>
      </c>
      <c r="R13" s="710" t="s">
        <v>21</v>
      </c>
      <c r="S13" s="711">
        <f t="shared" si="0"/>
        <v>100</v>
      </c>
      <c r="T13" s="710" t="s">
        <v>21</v>
      </c>
      <c r="U13" s="711">
        <f t="shared" si="1"/>
        <v>100</v>
      </c>
      <c r="V13" s="710" t="s">
        <v>21</v>
      </c>
      <c r="W13" s="711">
        <f t="shared" si="2"/>
        <v>100</v>
      </c>
      <c r="X13" s="712"/>
      <c r="Y13" s="3263"/>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368"/>
      <c r="Q14" s="1527">
        <f t="shared" si="6"/>
        <v>111</v>
      </c>
      <c r="R14" s="710" t="s">
        <v>21</v>
      </c>
      <c r="S14" s="711">
        <f t="shared" si="0"/>
        <v>100</v>
      </c>
      <c r="T14" s="710" t="s">
        <v>21</v>
      </c>
      <c r="U14" s="711">
        <f t="shared" si="1"/>
        <v>100</v>
      </c>
      <c r="V14" s="710" t="s">
        <v>21</v>
      </c>
      <c r="W14" s="711">
        <f t="shared" si="2"/>
        <v>100</v>
      </c>
      <c r="X14" s="712"/>
      <c r="Y14" s="3263"/>
      <c r="Z14" s="55">
        <f t="shared" si="7"/>
        <v>111</v>
      </c>
      <c r="AA14" s="713">
        <f t="shared" si="3"/>
        <v>1</v>
      </c>
      <c r="AB14" s="713">
        <f t="shared" si="4"/>
        <v>1</v>
      </c>
      <c r="AC14" s="713">
        <f t="shared" si="5"/>
        <v>1</v>
      </c>
    </row>
    <row r="15" spans="1:29" ht="99.75">
      <c r="A15" s="399" t="s">
        <v>2376</v>
      </c>
      <c r="B15" s="65" t="s">
        <v>1939</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439" t="s">
        <v>2377</v>
      </c>
      <c r="Q15" s="1536" t="str">
        <f t="shared" si="6"/>
        <v>居住社区成熟度</v>
      </c>
      <c r="R15" s="714" t="s">
        <v>21</v>
      </c>
      <c r="S15" s="715">
        <f t="shared" si="0"/>
        <v>100</v>
      </c>
      <c r="T15" s="714" t="s">
        <v>21</v>
      </c>
      <c r="U15" s="715">
        <f t="shared" si="1"/>
        <v>100</v>
      </c>
      <c r="V15" s="714" t="s">
        <v>21</v>
      </c>
      <c r="W15" s="715">
        <f t="shared" si="2"/>
        <v>100</v>
      </c>
      <c r="X15" s="1539"/>
      <c r="Y15" s="3371" t="s">
        <v>2377</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1"/>
      <c r="M16" s="2945"/>
      <c r="N16" s="2945"/>
      <c r="O16" s="2945"/>
      <c r="P16" s="3440"/>
      <c r="Q16" s="1536"/>
      <c r="R16" s="714"/>
      <c r="S16" s="715"/>
      <c r="T16" s="714"/>
      <c r="U16" s="715"/>
      <c r="V16" s="714"/>
      <c r="W16" s="715"/>
      <c r="X16" s="1539"/>
      <c r="Y16" s="3372"/>
      <c r="Z16" s="1540"/>
      <c r="AA16" s="1537">
        <v>1</v>
      </c>
      <c r="AB16" s="1537">
        <v>1</v>
      </c>
      <c r="AC16" s="1537">
        <v>1</v>
      </c>
    </row>
    <row r="17" spans="1:29" ht="85.5">
      <c r="A17" s="387"/>
      <c r="B17" s="410" t="s">
        <v>1941</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440"/>
      <c r="Q17" s="1536" t="str">
        <f>B17</f>
        <v>交通便捷度</v>
      </c>
      <c r="R17" s="714" t="s">
        <v>21</v>
      </c>
      <c r="S17" s="715">
        <f>F17</f>
        <v>100</v>
      </c>
      <c r="T17" s="714" t="s">
        <v>21</v>
      </c>
      <c r="U17" s="715">
        <f>H17</f>
        <v>100</v>
      </c>
      <c r="V17" s="714" t="s">
        <v>21</v>
      </c>
      <c r="W17" s="715">
        <f>J17</f>
        <v>100</v>
      </c>
      <c r="X17" s="1539"/>
      <c r="Y17" s="3372"/>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1"/>
      <c r="M18" s="2945"/>
      <c r="N18" s="2945"/>
      <c r="O18" s="2945"/>
      <c r="P18" s="3440"/>
      <c r="Q18" s="1536"/>
      <c r="R18" s="714"/>
      <c r="S18" s="715"/>
      <c r="T18" s="714"/>
      <c r="U18" s="715"/>
      <c r="V18" s="714"/>
      <c r="W18" s="715"/>
      <c r="X18" s="1539"/>
      <c r="Y18" s="3372"/>
      <c r="Z18" s="1540"/>
      <c r="AA18" s="1537">
        <v>1</v>
      </c>
      <c r="AB18" s="1537">
        <v>1</v>
      </c>
      <c r="AC18" s="1537">
        <v>1</v>
      </c>
    </row>
    <row r="19" spans="1:29" ht="42.75">
      <c r="A19" s="387"/>
      <c r="B19" s="410" t="s">
        <v>1940</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440"/>
      <c r="Q19" s="1536" t="str">
        <f>B19</f>
        <v>公共配套设施</v>
      </c>
      <c r="R19" s="714" t="s">
        <v>21</v>
      </c>
      <c r="S19" s="715">
        <f>F19</f>
        <v>100</v>
      </c>
      <c r="T19" s="714" t="s">
        <v>21</v>
      </c>
      <c r="U19" s="715">
        <f>H19</f>
        <v>100</v>
      </c>
      <c r="V19" s="714" t="s">
        <v>21</v>
      </c>
      <c r="W19" s="715">
        <f>J19</f>
        <v>100</v>
      </c>
      <c r="X19" s="1539"/>
      <c r="Y19" s="3372"/>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1"/>
      <c r="M20" s="2945"/>
      <c r="N20" s="2945"/>
      <c r="O20" s="2945"/>
      <c r="P20" s="3440"/>
      <c r="Q20" s="1536"/>
      <c r="R20" s="714"/>
      <c r="S20" s="715"/>
      <c r="T20" s="714"/>
      <c r="U20" s="715"/>
      <c r="V20" s="714"/>
      <c r="W20" s="715"/>
      <c r="X20" s="1539"/>
      <c r="Y20" s="3372"/>
      <c r="Z20" s="1540"/>
      <c r="AA20" s="1537">
        <v>1</v>
      </c>
      <c r="AB20" s="1537">
        <v>1</v>
      </c>
      <c r="AC20" s="1537">
        <v>1</v>
      </c>
    </row>
    <row r="21" spans="1:29" ht="28.5">
      <c r="A21" s="387"/>
      <c r="B21" s="1293" t="s">
        <v>1942</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440"/>
      <c r="Q21" s="1536" t="str">
        <f>B21</f>
        <v>基础设施水平</v>
      </c>
      <c r="R21" s="714" t="s">
        <v>17</v>
      </c>
      <c r="S21" s="715">
        <f>F21</f>
        <v>100</v>
      </c>
      <c r="T21" s="714" t="s">
        <v>17</v>
      </c>
      <c r="U21" s="715">
        <f>H21</f>
        <v>100</v>
      </c>
      <c r="V21" s="714" t="s">
        <v>17</v>
      </c>
      <c r="W21" s="715">
        <f>J21</f>
        <v>100</v>
      </c>
      <c r="X21" s="1539"/>
      <c r="Y21" s="3372"/>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1"/>
      <c r="M22" s="2945"/>
      <c r="N22" s="2945"/>
      <c r="O22" s="2945"/>
      <c r="P22" s="3440"/>
      <c r="Q22" s="1536"/>
      <c r="R22" s="714"/>
      <c r="S22" s="715"/>
      <c r="T22" s="714"/>
      <c r="U22" s="715"/>
      <c r="V22" s="714"/>
      <c r="W22" s="715"/>
      <c r="X22" s="1539"/>
      <c r="Y22" s="3372"/>
      <c r="Z22" s="1540"/>
      <c r="AA22" s="1537">
        <v>1</v>
      </c>
      <c r="AB22" s="1537">
        <v>1</v>
      </c>
      <c r="AC22" s="1537">
        <v>1</v>
      </c>
    </row>
    <row r="23" spans="1:29" ht="57">
      <c r="A23" s="387"/>
      <c r="B23" s="410" t="s">
        <v>1943</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440"/>
      <c r="Q23" s="1536" t="str">
        <f>B23</f>
        <v>自然及人文环境</v>
      </c>
      <c r="R23" s="714" t="s">
        <v>21</v>
      </c>
      <c r="S23" s="715">
        <f>F23</f>
        <v>100</v>
      </c>
      <c r="T23" s="714" t="s">
        <v>21</v>
      </c>
      <c r="U23" s="715">
        <f>H23</f>
        <v>100</v>
      </c>
      <c r="V23" s="714" t="s">
        <v>21</v>
      </c>
      <c r="W23" s="715">
        <f>J23</f>
        <v>100</v>
      </c>
      <c r="X23" s="1539"/>
      <c r="Y23" s="3372"/>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1"/>
      <c r="M24" s="2945"/>
      <c r="N24" s="2945"/>
      <c r="O24" s="2945"/>
      <c r="P24" s="3440"/>
      <c r="Q24" s="1536"/>
      <c r="R24" s="714"/>
      <c r="S24" s="715"/>
      <c r="T24" s="714"/>
      <c r="U24" s="715"/>
      <c r="V24" s="714"/>
      <c r="W24" s="715"/>
      <c r="X24" s="1539"/>
      <c r="Y24" s="3372"/>
      <c r="Z24" s="1540"/>
      <c r="AA24" s="1537">
        <v>1</v>
      </c>
      <c r="AB24" s="1537">
        <v>1</v>
      </c>
      <c r="AC24" s="1537">
        <v>1</v>
      </c>
    </row>
    <row r="25" spans="1:29" ht="15">
      <c r="A25" s="387"/>
      <c r="B25" s="381" t="s">
        <v>2378</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440"/>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72"/>
      <c r="Z25" s="1540" t="str">
        <f>Q25</f>
        <v>楼层-1</v>
      </c>
      <c r="AA25" s="1537">
        <f t="shared" ref="AA25:AA46" si="15">D25/F25</f>
        <v>1</v>
      </c>
      <c r="AB25" s="1537">
        <f t="shared" ref="AB25:AB46" si="16">D25/H25</f>
        <v>1</v>
      </c>
      <c r="AC25" s="1537">
        <f t="shared" ref="AC25:AC46" si="17">D25/J25</f>
        <v>1</v>
      </c>
    </row>
    <row r="26" spans="1:29" ht="15">
      <c r="A26" s="387"/>
      <c r="B26" s="381" t="s">
        <v>2379</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440"/>
      <c r="Q26" s="1536" t="str">
        <f t="shared" si="11"/>
        <v>朝向</v>
      </c>
      <c r="R26" s="714" t="s">
        <v>21</v>
      </c>
      <c r="S26" s="715">
        <f t="shared" si="12"/>
        <v>100</v>
      </c>
      <c r="T26" s="714" t="s">
        <v>21</v>
      </c>
      <c r="U26" s="715">
        <f t="shared" si="13"/>
        <v>100</v>
      </c>
      <c r="V26" s="714" t="s">
        <v>21</v>
      </c>
      <c r="W26" s="715">
        <f t="shared" si="14"/>
        <v>100</v>
      </c>
      <c r="X26" s="1539"/>
      <c r="Y26" s="3372"/>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440"/>
      <c r="Q27" s="1527">
        <f t="shared" si="11"/>
        <v>111</v>
      </c>
      <c r="R27" s="710" t="s">
        <v>21</v>
      </c>
      <c r="S27" s="711">
        <f t="shared" si="12"/>
        <v>100</v>
      </c>
      <c r="T27" s="710" t="s">
        <v>21</v>
      </c>
      <c r="U27" s="711">
        <f t="shared" si="13"/>
        <v>100</v>
      </c>
      <c r="V27" s="710" t="s">
        <v>21</v>
      </c>
      <c r="W27" s="711">
        <f t="shared" si="14"/>
        <v>100</v>
      </c>
      <c r="X27" s="712"/>
      <c r="Y27" s="3372"/>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440"/>
      <c r="Q28" s="1536">
        <f t="shared" si="11"/>
        <v>111</v>
      </c>
      <c r="R28" s="714" t="s">
        <v>21</v>
      </c>
      <c r="S28" s="715">
        <f t="shared" si="12"/>
        <v>100</v>
      </c>
      <c r="T28" s="714" t="s">
        <v>21</v>
      </c>
      <c r="U28" s="715">
        <f t="shared" si="13"/>
        <v>100</v>
      </c>
      <c r="V28" s="714" t="s">
        <v>21</v>
      </c>
      <c r="W28" s="715">
        <f t="shared" si="14"/>
        <v>100</v>
      </c>
      <c r="X28" s="1539"/>
      <c r="Y28" s="3372"/>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440"/>
      <c r="Q29" s="1536">
        <f t="shared" si="11"/>
        <v>111</v>
      </c>
      <c r="R29" s="714" t="s">
        <v>21</v>
      </c>
      <c r="S29" s="715">
        <f t="shared" si="12"/>
        <v>100</v>
      </c>
      <c r="T29" s="714" t="s">
        <v>21</v>
      </c>
      <c r="U29" s="715">
        <f t="shared" si="13"/>
        <v>100</v>
      </c>
      <c r="V29" s="714" t="s">
        <v>21</v>
      </c>
      <c r="W29" s="715">
        <f t="shared" si="14"/>
        <v>100</v>
      </c>
      <c r="X29" s="1539"/>
      <c r="Y29" s="3372"/>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440"/>
      <c r="Q30" s="1536">
        <f t="shared" si="11"/>
        <v>111</v>
      </c>
      <c r="R30" s="714" t="s">
        <v>21</v>
      </c>
      <c r="S30" s="715">
        <f t="shared" si="12"/>
        <v>100</v>
      </c>
      <c r="T30" s="714" t="s">
        <v>21</v>
      </c>
      <c r="U30" s="715">
        <f t="shared" si="13"/>
        <v>100</v>
      </c>
      <c r="V30" s="714" t="s">
        <v>21</v>
      </c>
      <c r="W30" s="715">
        <f t="shared" si="14"/>
        <v>100</v>
      </c>
      <c r="X30" s="1539"/>
      <c r="Y30" s="3372"/>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440"/>
      <c r="Q31" s="1536">
        <f t="shared" si="11"/>
        <v>111</v>
      </c>
      <c r="R31" s="714" t="s">
        <v>21</v>
      </c>
      <c r="S31" s="715">
        <f t="shared" si="12"/>
        <v>100</v>
      </c>
      <c r="T31" s="714" t="s">
        <v>21</v>
      </c>
      <c r="U31" s="715">
        <f t="shared" si="13"/>
        <v>100</v>
      </c>
      <c r="V31" s="714" t="s">
        <v>21</v>
      </c>
      <c r="W31" s="715">
        <f t="shared" si="14"/>
        <v>100</v>
      </c>
      <c r="X31" s="1539"/>
      <c r="Y31" s="3372"/>
      <c r="Z31" s="1540">
        <f t="shared" si="18"/>
        <v>111</v>
      </c>
      <c r="AA31" s="1537">
        <f t="shared" si="15"/>
        <v>1</v>
      </c>
      <c r="AB31" s="1537">
        <f t="shared" si="16"/>
        <v>1</v>
      </c>
      <c r="AC31" s="1537">
        <f t="shared" si="17"/>
        <v>1</v>
      </c>
    </row>
    <row r="32" spans="1:29" ht="15">
      <c r="A32" s="399" t="s">
        <v>2380</v>
      </c>
      <c r="B32" s="67" t="s">
        <v>2381</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435" t="s">
        <v>2382</v>
      </c>
      <c r="Q32" s="1536" t="str">
        <f t="shared" si="11"/>
        <v>建筑类型</v>
      </c>
      <c r="R32" s="714" t="s">
        <v>21</v>
      </c>
      <c r="S32" s="715">
        <f t="shared" si="12"/>
        <v>100</v>
      </c>
      <c r="T32" s="714" t="s">
        <v>21</v>
      </c>
      <c r="U32" s="715">
        <f t="shared" si="13"/>
        <v>100</v>
      </c>
      <c r="V32" s="714" t="s">
        <v>21</v>
      </c>
      <c r="W32" s="715">
        <f t="shared" si="14"/>
        <v>100</v>
      </c>
      <c r="X32" s="1539"/>
      <c r="Y32" s="3374" t="s">
        <v>2382</v>
      </c>
      <c r="Z32" s="1540" t="str">
        <f t="shared" si="18"/>
        <v>建筑类型</v>
      </c>
      <c r="AA32" s="1537">
        <f t="shared" si="15"/>
        <v>1</v>
      </c>
      <c r="AB32" s="1537">
        <f t="shared" si="16"/>
        <v>1</v>
      </c>
      <c r="AC32" s="1537">
        <f t="shared" si="17"/>
        <v>1</v>
      </c>
    </row>
    <row r="33" spans="1:29" s="430" customFormat="1" ht="15">
      <c r="A33" s="427"/>
      <c r="B33" s="381" t="s">
        <v>2383</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436"/>
      <c r="Q33" s="716" t="str">
        <f t="shared" si="11"/>
        <v>项目建筑规模</v>
      </c>
      <c r="R33" s="717" t="s">
        <v>21</v>
      </c>
      <c r="S33" s="718" t="e">
        <f t="shared" si="12"/>
        <v>#N/A</v>
      </c>
      <c r="T33" s="717" t="s">
        <v>21</v>
      </c>
      <c r="U33" s="718" t="e">
        <f t="shared" si="13"/>
        <v>#N/A</v>
      </c>
      <c r="V33" s="717" t="s">
        <v>21</v>
      </c>
      <c r="W33" s="718" t="e">
        <f t="shared" si="14"/>
        <v>#N/A</v>
      </c>
      <c r="X33" s="719"/>
      <c r="Y33" s="3374"/>
      <c r="Z33" s="720" t="str">
        <f t="shared" si="18"/>
        <v>项目建筑规模</v>
      </c>
      <c r="AA33" s="1537" t="e">
        <f t="shared" si="15"/>
        <v>#N/A</v>
      </c>
      <c r="AB33" s="1537" t="e">
        <f t="shared" si="16"/>
        <v>#N/A</v>
      </c>
      <c r="AC33" s="1537" t="e">
        <f t="shared" si="17"/>
        <v>#N/A</v>
      </c>
    </row>
    <row r="34" spans="1:29" ht="15">
      <c r="A34" s="431"/>
      <c r="B34" s="381" t="s">
        <v>2384</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436"/>
      <c r="Q34" s="1536" t="str">
        <f t="shared" si="11"/>
        <v>建筑结构</v>
      </c>
      <c r="R34" s="714" t="s">
        <v>21</v>
      </c>
      <c r="S34" s="715">
        <f t="shared" si="12"/>
        <v>100</v>
      </c>
      <c r="T34" s="714" t="s">
        <v>21</v>
      </c>
      <c r="U34" s="715">
        <f t="shared" si="13"/>
        <v>100</v>
      </c>
      <c r="V34" s="714" t="s">
        <v>21</v>
      </c>
      <c r="W34" s="715">
        <f t="shared" si="14"/>
        <v>100</v>
      </c>
      <c r="X34" s="1539"/>
      <c r="Y34" s="3374"/>
      <c r="Z34" s="1540" t="str">
        <f t="shared" si="18"/>
        <v>建筑结构</v>
      </c>
      <c r="AA34" s="1537">
        <f t="shared" si="15"/>
        <v>1</v>
      </c>
      <c r="AB34" s="1537">
        <f t="shared" si="16"/>
        <v>1</v>
      </c>
      <c r="AC34" s="1537">
        <f t="shared" si="17"/>
        <v>1</v>
      </c>
    </row>
    <row r="35" spans="1:29" ht="15">
      <c r="A35" s="431"/>
      <c r="B35" s="381" t="s">
        <v>2385</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436"/>
      <c r="Q35" s="1536" t="str">
        <f t="shared" si="11"/>
        <v>建筑品质</v>
      </c>
      <c r="R35" s="714" t="s">
        <v>21</v>
      </c>
      <c r="S35" s="715">
        <f t="shared" si="12"/>
        <v>100</v>
      </c>
      <c r="T35" s="714" t="s">
        <v>21</v>
      </c>
      <c r="U35" s="715">
        <f t="shared" si="13"/>
        <v>100</v>
      </c>
      <c r="V35" s="714" t="s">
        <v>21</v>
      </c>
      <c r="W35" s="715">
        <f t="shared" si="14"/>
        <v>100</v>
      </c>
      <c r="X35" s="1539"/>
      <c r="Y35" s="3374"/>
      <c r="Z35" s="1540" t="str">
        <f t="shared" si="18"/>
        <v>建筑品质</v>
      </c>
      <c r="AA35" s="1537">
        <f t="shared" si="15"/>
        <v>1</v>
      </c>
      <c r="AB35" s="1537">
        <f t="shared" si="16"/>
        <v>1</v>
      </c>
      <c r="AC35" s="1537">
        <f t="shared" si="17"/>
        <v>1</v>
      </c>
    </row>
    <row r="36" spans="1:29" ht="15">
      <c r="A36" s="431"/>
      <c r="B36" s="381" t="s">
        <v>2386</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436"/>
      <c r="Q36" s="1536" t="str">
        <f t="shared" si="11"/>
        <v>公共部分装修</v>
      </c>
      <c r="R36" s="714" t="s">
        <v>21</v>
      </c>
      <c r="S36" s="715">
        <f t="shared" si="12"/>
        <v>100</v>
      </c>
      <c r="T36" s="714" t="s">
        <v>21</v>
      </c>
      <c r="U36" s="715">
        <f t="shared" si="13"/>
        <v>100</v>
      </c>
      <c r="V36" s="714" t="s">
        <v>21</v>
      </c>
      <c r="W36" s="715">
        <f t="shared" si="14"/>
        <v>100</v>
      </c>
      <c r="X36" s="1539"/>
      <c r="Y36" s="3374"/>
      <c r="Z36" s="1540" t="str">
        <f t="shared" si="18"/>
        <v>公共部分装修</v>
      </c>
      <c r="AA36" s="1537">
        <f t="shared" si="15"/>
        <v>1</v>
      </c>
      <c r="AB36" s="1537">
        <f t="shared" si="16"/>
        <v>1</v>
      </c>
      <c r="AC36" s="1537">
        <f t="shared" si="17"/>
        <v>1</v>
      </c>
    </row>
    <row r="37" spans="1:29" s="113" customFormat="1" ht="15">
      <c r="A37" s="432"/>
      <c r="B37" s="381" t="s">
        <v>2387</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436"/>
      <c r="Q37" s="1527" t="str">
        <f t="shared" si="11"/>
        <v>成新度</v>
      </c>
      <c r="R37" s="710" t="s">
        <v>21</v>
      </c>
      <c r="S37" s="711" t="e">
        <f t="shared" si="12"/>
        <v>#N/A</v>
      </c>
      <c r="T37" s="710" t="s">
        <v>21</v>
      </c>
      <c r="U37" s="711" t="e">
        <f t="shared" si="13"/>
        <v>#N/A</v>
      </c>
      <c r="V37" s="710" t="s">
        <v>21</v>
      </c>
      <c r="W37" s="711" t="e">
        <f t="shared" si="14"/>
        <v>#N/A</v>
      </c>
      <c r="X37" s="712"/>
      <c r="Y37" s="3374"/>
      <c r="Z37" s="55" t="str">
        <f t="shared" si="18"/>
        <v>成新度</v>
      </c>
      <c r="AA37" s="713" t="e">
        <f t="shared" si="15"/>
        <v>#N/A</v>
      </c>
      <c r="AB37" s="713" t="e">
        <f t="shared" si="16"/>
        <v>#N/A</v>
      </c>
      <c r="AC37" s="713" t="e">
        <f t="shared" si="17"/>
        <v>#N/A</v>
      </c>
    </row>
    <row r="38" spans="1:29" ht="15">
      <c r="A38" s="431"/>
      <c r="B38" s="381" t="s">
        <v>2388</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436" t="s">
        <v>2382</v>
      </c>
      <c r="Q38" s="1536" t="str">
        <f t="shared" si="11"/>
        <v>物业管理</v>
      </c>
      <c r="R38" s="714" t="s">
        <v>21</v>
      </c>
      <c r="S38" s="715">
        <f t="shared" si="12"/>
        <v>100</v>
      </c>
      <c r="T38" s="714" t="s">
        <v>21</v>
      </c>
      <c r="U38" s="715">
        <f t="shared" si="13"/>
        <v>100</v>
      </c>
      <c r="V38" s="714" t="s">
        <v>21</v>
      </c>
      <c r="W38" s="715">
        <f t="shared" si="14"/>
        <v>100</v>
      </c>
      <c r="X38" s="1539"/>
      <c r="Y38" s="3374" t="s">
        <v>2382</v>
      </c>
      <c r="Z38" s="1540" t="str">
        <f t="shared" si="18"/>
        <v>物业管理</v>
      </c>
      <c r="AA38" s="1537">
        <f t="shared" si="15"/>
        <v>1</v>
      </c>
      <c r="AB38" s="1537">
        <f t="shared" si="16"/>
        <v>1</v>
      </c>
      <c r="AC38" s="1537">
        <f t="shared" si="17"/>
        <v>1</v>
      </c>
    </row>
    <row r="39" spans="1:29" ht="15">
      <c r="A39" s="431"/>
      <c r="B39" s="381" t="s">
        <v>2389</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436"/>
      <c r="Q39" s="1536" t="str">
        <f t="shared" si="11"/>
        <v>市政基础设施</v>
      </c>
      <c r="R39" s="714" t="s">
        <v>21</v>
      </c>
      <c r="S39" s="715">
        <f t="shared" si="12"/>
        <v>100</v>
      </c>
      <c r="T39" s="714" t="s">
        <v>21</v>
      </c>
      <c r="U39" s="715">
        <f t="shared" si="13"/>
        <v>100</v>
      </c>
      <c r="V39" s="714" t="s">
        <v>21</v>
      </c>
      <c r="W39" s="715">
        <f t="shared" si="14"/>
        <v>100</v>
      </c>
      <c r="X39" s="1539"/>
      <c r="Y39" s="3374"/>
      <c r="Z39" s="1540" t="str">
        <f t="shared" si="18"/>
        <v>市政基础设施</v>
      </c>
      <c r="AA39" s="1537">
        <f t="shared" si="15"/>
        <v>1</v>
      </c>
      <c r="AB39" s="1537">
        <f t="shared" si="16"/>
        <v>1</v>
      </c>
      <c r="AC39" s="1537">
        <f t="shared" si="17"/>
        <v>1</v>
      </c>
    </row>
    <row r="40" spans="1:29" ht="15">
      <c r="A40" s="431"/>
      <c r="B40" s="381" t="s">
        <v>2390</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436"/>
      <c r="Q40" s="1536" t="str">
        <f t="shared" si="11"/>
        <v>房型</v>
      </c>
      <c r="R40" s="714" t="s">
        <v>21</v>
      </c>
      <c r="S40" s="715">
        <f t="shared" si="12"/>
        <v>100</v>
      </c>
      <c r="T40" s="714" t="s">
        <v>21</v>
      </c>
      <c r="U40" s="715">
        <f t="shared" si="13"/>
        <v>100</v>
      </c>
      <c r="V40" s="714" t="s">
        <v>21</v>
      </c>
      <c r="W40" s="715">
        <f t="shared" si="14"/>
        <v>100</v>
      </c>
      <c r="X40" s="1539"/>
      <c r="Y40" s="3374"/>
      <c r="Z40" s="1540" t="str">
        <f t="shared" si="18"/>
        <v>房型</v>
      </c>
      <c r="AA40" s="1537">
        <f t="shared" si="15"/>
        <v>1</v>
      </c>
      <c r="AB40" s="1537">
        <f t="shared" si="16"/>
        <v>1</v>
      </c>
      <c r="AC40" s="1537">
        <f t="shared" si="17"/>
        <v>1</v>
      </c>
    </row>
    <row r="41" spans="1:29" s="430" customFormat="1" ht="28.5">
      <c r="A41" s="427"/>
      <c r="B41" s="381" t="s">
        <v>2391</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436"/>
      <c r="Q41" s="716" t="str">
        <f t="shared" si="11"/>
        <v>单套/主力户型建筑面积</v>
      </c>
      <c r="R41" s="717" t="s">
        <v>21</v>
      </c>
      <c r="S41" s="718">
        <f t="shared" si="12"/>
        <v>100</v>
      </c>
      <c r="T41" s="717" t="s">
        <v>21</v>
      </c>
      <c r="U41" s="718">
        <f t="shared" si="13"/>
        <v>100</v>
      </c>
      <c r="V41" s="717" t="s">
        <v>21</v>
      </c>
      <c r="W41" s="718">
        <f t="shared" si="14"/>
        <v>100</v>
      </c>
      <c r="X41" s="719"/>
      <c r="Y41" s="3374"/>
      <c r="Z41" s="720" t="str">
        <f t="shared" si="18"/>
        <v>单套/主力户型建筑面积</v>
      </c>
      <c r="AA41" s="1537">
        <f t="shared" si="15"/>
        <v>1</v>
      </c>
      <c r="AB41" s="1537">
        <f t="shared" si="16"/>
        <v>1</v>
      </c>
      <c r="AC41" s="1537">
        <f t="shared" si="17"/>
        <v>1</v>
      </c>
    </row>
    <row r="42" spans="1:29" ht="15">
      <c r="A42" s="431"/>
      <c r="B42" s="381" t="s">
        <v>2392</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436"/>
      <c r="Q42" s="1536" t="str">
        <f t="shared" si="11"/>
        <v>内部装修</v>
      </c>
      <c r="R42" s="714" t="s">
        <v>21</v>
      </c>
      <c r="S42" s="715">
        <f t="shared" si="12"/>
        <v>100</v>
      </c>
      <c r="T42" s="714" t="s">
        <v>21</v>
      </c>
      <c r="U42" s="715">
        <f t="shared" si="13"/>
        <v>100</v>
      </c>
      <c r="V42" s="714" t="s">
        <v>21</v>
      </c>
      <c r="W42" s="715">
        <f t="shared" si="14"/>
        <v>100</v>
      </c>
      <c r="X42" s="1539"/>
      <c r="Y42" s="3374"/>
      <c r="Z42" s="1540" t="str">
        <f t="shared" si="18"/>
        <v>内部装修</v>
      </c>
      <c r="AA42" s="1537">
        <f t="shared" si="15"/>
        <v>1</v>
      </c>
      <c r="AB42" s="1537">
        <f t="shared" si="16"/>
        <v>1</v>
      </c>
      <c r="AC42" s="1537">
        <f t="shared" si="17"/>
        <v>1</v>
      </c>
    </row>
    <row r="43" spans="1:29" ht="15">
      <c r="A43" s="431"/>
      <c r="B43" s="381" t="s">
        <v>2393</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436"/>
      <c r="Q43" s="1536" t="str">
        <f t="shared" si="11"/>
        <v>内部装修维护情况</v>
      </c>
      <c r="R43" s="714" t="s">
        <v>21</v>
      </c>
      <c r="S43" s="715">
        <f t="shared" si="12"/>
        <v>100</v>
      </c>
      <c r="T43" s="714" t="s">
        <v>21</v>
      </c>
      <c r="U43" s="715">
        <f t="shared" si="13"/>
        <v>100</v>
      </c>
      <c r="V43" s="714" t="s">
        <v>21</v>
      </c>
      <c r="W43" s="715">
        <f t="shared" si="14"/>
        <v>100</v>
      </c>
      <c r="X43" s="1539"/>
      <c r="Y43" s="3374"/>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436"/>
      <c r="Q44" s="1527">
        <f t="shared" si="11"/>
        <v>111</v>
      </c>
      <c r="R44" s="710" t="s">
        <v>21</v>
      </c>
      <c r="S44" s="711">
        <f t="shared" si="12"/>
        <v>100</v>
      </c>
      <c r="T44" s="710" t="s">
        <v>21</v>
      </c>
      <c r="U44" s="711">
        <f t="shared" si="13"/>
        <v>100</v>
      </c>
      <c r="V44" s="710" t="s">
        <v>21</v>
      </c>
      <c r="W44" s="711">
        <f t="shared" si="14"/>
        <v>100</v>
      </c>
      <c r="X44" s="712"/>
      <c r="Y44" s="3374"/>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436"/>
      <c r="Q45" s="1536">
        <f t="shared" si="11"/>
        <v>111</v>
      </c>
      <c r="R45" s="714" t="s">
        <v>21</v>
      </c>
      <c r="S45" s="715">
        <f t="shared" si="12"/>
        <v>100</v>
      </c>
      <c r="T45" s="714" t="s">
        <v>21</v>
      </c>
      <c r="U45" s="715">
        <f t="shared" si="13"/>
        <v>100</v>
      </c>
      <c r="V45" s="714" t="s">
        <v>21</v>
      </c>
      <c r="W45" s="715">
        <f t="shared" si="14"/>
        <v>100</v>
      </c>
      <c r="X45" s="1539"/>
      <c r="Y45" s="3374"/>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437"/>
      <c r="Q46" s="1536">
        <f t="shared" si="11"/>
        <v>111</v>
      </c>
      <c r="R46" s="714" t="s">
        <v>20</v>
      </c>
      <c r="S46" s="715">
        <f t="shared" si="12"/>
        <v>100</v>
      </c>
      <c r="T46" s="714" t="s">
        <v>20</v>
      </c>
      <c r="U46" s="715">
        <f t="shared" si="13"/>
        <v>100</v>
      </c>
      <c r="V46" s="714" t="s">
        <v>20</v>
      </c>
      <c r="W46" s="715">
        <f t="shared" si="14"/>
        <v>100</v>
      </c>
      <c r="X46" s="1539"/>
      <c r="Y46" s="3438"/>
      <c r="Z46" s="1540">
        <f t="shared" si="18"/>
        <v>111</v>
      </c>
      <c r="AA46" s="1537">
        <f t="shared" si="15"/>
        <v>1</v>
      </c>
      <c r="AB46" s="1537">
        <f t="shared" si="16"/>
        <v>1</v>
      </c>
      <c r="AC46" s="1537">
        <f t="shared" si="17"/>
        <v>1</v>
      </c>
    </row>
    <row r="47" spans="1:29" ht="15">
      <c r="A47" s="438" t="s">
        <v>2394</v>
      </c>
      <c r="B47" s="439"/>
      <c r="C47" s="1316" t="s">
        <v>19</v>
      </c>
      <c r="D47" s="1317"/>
      <c r="E47" s="1318"/>
      <c r="F47" s="1319"/>
      <c r="G47" s="1320"/>
      <c r="H47" s="1321"/>
      <c r="I47" s="1318"/>
      <c r="J47" s="1321"/>
      <c r="K47" s="2100"/>
      <c r="L47" s="2953"/>
      <c r="M47" s="2954"/>
      <c r="N47" s="2945"/>
      <c r="O47" s="2954"/>
      <c r="P47" s="3369" t="str">
        <f>A47</f>
        <v>成交单价（元/平方米）</v>
      </c>
      <c r="Q47" s="3369"/>
      <c r="R47" s="3434">
        <f>E47</f>
        <v>0</v>
      </c>
      <c r="S47" s="3434"/>
      <c r="T47" s="3434">
        <f>G47</f>
        <v>0</v>
      </c>
      <c r="U47" s="3434"/>
      <c r="V47" s="3434">
        <f>I47</f>
        <v>0</v>
      </c>
      <c r="W47" s="3434"/>
      <c r="X47" s="699"/>
      <c r="Y47" s="721"/>
      <c r="Z47" s="699"/>
      <c r="AA47" s="699"/>
      <c r="AB47" s="699"/>
      <c r="AC47" s="699"/>
    </row>
    <row r="48" spans="1:29" ht="15.75" thickBot="1">
      <c r="A48" s="445" t="s">
        <v>2395</v>
      </c>
      <c r="B48" s="446"/>
      <c r="C48" s="1322" t="e">
        <f>R49</f>
        <v>#DIV/0!</v>
      </c>
      <c r="D48" s="2538" t="s">
        <v>2876</v>
      </c>
      <c r="E48" s="1323" t="e">
        <f>R48</f>
        <v>#DIV/0!</v>
      </c>
      <c r="F48" s="2539"/>
      <c r="G48" s="1322" t="e">
        <f>T48</f>
        <v>#DIV/0!</v>
      </c>
      <c r="H48" s="2539"/>
      <c r="I48" s="1323" t="e">
        <f>V48</f>
        <v>#DIV/0!</v>
      </c>
      <c r="J48" s="2539"/>
      <c r="K48" s="2540">
        <f>F48+H48+J48</f>
        <v>0</v>
      </c>
      <c r="L48" s="2953"/>
      <c r="M48" s="2954"/>
      <c r="N48" s="2954"/>
      <c r="O48" s="2954"/>
      <c r="P48" s="3369" t="str">
        <f>A48</f>
        <v>比较价值（元/平方米）</v>
      </c>
      <c r="Q48" s="3369"/>
      <c r="R48" s="3434" t="e">
        <f>IF(F1="售价",ROUND(PRODUCT(R47,AA7:AA46),0),ROUND(PRODUCT(R47,AA7:AA46),1))</f>
        <v>#DIV/0!</v>
      </c>
      <c r="S48" s="3434"/>
      <c r="T48" s="3434" t="e">
        <f>IF(F1="售价",ROUND(PRODUCT(T47,AB7:AB46),0),ROUND(PRODUCT(T47,AB7:AB46),1))</f>
        <v>#DIV/0!</v>
      </c>
      <c r="U48" s="3434"/>
      <c r="V48" s="3434" t="e">
        <f>IF(F1="售价",ROUND(PRODUCT(V47,AC7:AC46),0),ROUND(PRODUCT(V47,AC7:AC46),1))</f>
        <v>#DIV/0!</v>
      </c>
      <c r="W48" s="3434"/>
      <c r="X48" s="699"/>
      <c r="Y48" s="699"/>
      <c r="Z48" s="699"/>
      <c r="AA48" s="699"/>
      <c r="AB48" s="699"/>
      <c r="AC48" s="699"/>
    </row>
    <row r="49" spans="1:29" ht="15.75" thickBot="1">
      <c r="A49" s="449" t="s">
        <v>2396</v>
      </c>
      <c r="B49" s="450"/>
      <c r="C49" s="1324" t="e">
        <f>R49</f>
        <v>#DIV/0!</v>
      </c>
      <c r="D49" s="1325"/>
      <c r="E49" s="1325"/>
      <c r="F49" s="1325"/>
      <c r="G49" s="1325"/>
      <c r="H49" s="1325"/>
      <c r="I49" s="1325"/>
      <c r="J49" s="1325"/>
      <c r="K49" s="2101"/>
      <c r="L49" s="2953"/>
      <c r="M49" s="2954"/>
      <c r="N49" s="2954"/>
      <c r="O49" s="2954"/>
      <c r="P49" s="3363" t="str">
        <f>A49</f>
        <v>估价对象XX用房的比较价值（楼面单价，元/平方米）</v>
      </c>
      <c r="Q49" s="3364"/>
      <c r="R49" s="3433" t="e">
        <f>IF(F1="售价",ROUND(IF(D48="简单平均",AVERAGE(R48:V48),R48*F48+T48*H48+V48*J48),0),ROUND(IF(D48="简单平均",AVERAGE(R48:V48),R48*F48+T48*H48+V48*J48),1))</f>
        <v>#DIV/0!</v>
      </c>
      <c r="S49" s="3433"/>
      <c r="T49" s="3433"/>
      <c r="U49" s="3433"/>
      <c r="V49" s="3433"/>
      <c r="W49" s="3433"/>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2397</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2398</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2399</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3" t="s">
        <v>2400</v>
      </c>
      <c r="B57" s="699"/>
      <c r="C57" s="704"/>
      <c r="D57" s="704"/>
      <c r="E57" s="704"/>
      <c r="F57" s="705"/>
      <c r="G57" s="705"/>
      <c r="H57" s="704"/>
      <c r="I57" s="704"/>
      <c r="J57" s="704"/>
      <c r="K57" s="1072"/>
      <c r="L57" s="1073"/>
      <c r="M57" s="1071"/>
      <c r="N57" s="1071"/>
      <c r="O57" s="1071"/>
      <c r="P57" s="2104"/>
      <c r="Q57" s="461"/>
    </row>
    <row r="58" spans="1:29" s="465" customFormat="1" ht="15">
      <c r="A58" s="462" t="s">
        <v>2401</v>
      </c>
      <c r="B58" s="463"/>
      <c r="C58" s="1348" t="str">
        <f>YEAR(C7)&amp;"-"&amp;MONTH(C7)</f>
        <v>2021-12</v>
      </c>
      <c r="D58" s="1347">
        <f>EDATE(C58,-1)</f>
        <v>44501</v>
      </c>
      <c r="E58" s="1347">
        <f>EDATE(D58,-1)</f>
        <v>44470</v>
      </c>
      <c r="F58" s="1347">
        <f t="shared" ref="F58:O58" si="19">EDATE(E58,-1)</f>
        <v>44440</v>
      </c>
      <c r="G58" s="1347">
        <f t="shared" si="19"/>
        <v>44409</v>
      </c>
      <c r="H58" s="1347">
        <f t="shared" si="19"/>
        <v>44378</v>
      </c>
      <c r="I58" s="1347">
        <f t="shared" si="19"/>
        <v>44348</v>
      </c>
      <c r="J58" s="1347">
        <f t="shared" si="19"/>
        <v>44317</v>
      </c>
      <c r="K58" s="1347">
        <f t="shared" si="19"/>
        <v>44287</v>
      </c>
      <c r="L58" s="1347">
        <f t="shared" si="19"/>
        <v>44256</v>
      </c>
      <c r="M58" s="1347">
        <f t="shared" si="19"/>
        <v>44228</v>
      </c>
      <c r="N58" s="1347">
        <f t="shared" si="19"/>
        <v>44197</v>
      </c>
      <c r="O58" s="1347">
        <f t="shared" si="19"/>
        <v>44166</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2402</v>
      </c>
      <c r="B60" s="473"/>
      <c r="C60" s="474"/>
      <c r="D60" s="475"/>
      <c r="E60" s="475"/>
      <c r="F60" s="475"/>
      <c r="G60" s="475"/>
      <c r="H60" s="475"/>
      <c r="I60" s="475"/>
      <c r="J60" s="475"/>
      <c r="K60" s="475"/>
      <c r="L60" s="475"/>
      <c r="M60" s="476"/>
      <c r="N60" s="475"/>
      <c r="O60" s="476"/>
      <c r="P60" s="2106"/>
      <c r="Q60" s="461"/>
    </row>
    <row r="61" spans="1:29" s="113" customFormat="1" ht="15">
      <c r="A61" s="478" t="s">
        <v>2403</v>
      </c>
      <c r="B61" s="467"/>
      <c r="C61" s="479" t="s">
        <v>2404</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2405</v>
      </c>
      <c r="B63" s="485" t="s">
        <v>2371</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2374</v>
      </c>
      <c r="C65" s="496" t="s">
        <v>2406</v>
      </c>
      <c r="D65" s="496" t="s">
        <v>2407</v>
      </c>
      <c r="E65" s="496" t="s">
        <v>2408</v>
      </c>
      <c r="F65" s="496" t="s">
        <v>2409</v>
      </c>
      <c r="G65" s="496" t="s">
        <v>2410</v>
      </c>
      <c r="H65" s="496" t="s">
        <v>2411</v>
      </c>
      <c r="I65" s="496" t="s">
        <v>2412</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2375</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2376</v>
      </c>
      <c r="B76" s="485" t="s">
        <v>2413</v>
      </c>
      <c r="C76" s="530" t="s">
        <v>2414</v>
      </c>
      <c r="D76" s="530" t="s">
        <v>2415</v>
      </c>
      <c r="E76" s="530" t="s">
        <v>2416</v>
      </c>
      <c r="F76" s="530" t="s">
        <v>2417</v>
      </c>
      <c r="G76" s="530" t="s">
        <v>2418</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2419</v>
      </c>
      <c r="C78" s="535" t="s">
        <v>2414</v>
      </c>
      <c r="D78" s="535" t="s">
        <v>2415</v>
      </c>
      <c r="E78" s="535" t="s">
        <v>2416</v>
      </c>
      <c r="F78" s="535" t="s">
        <v>2417</v>
      </c>
      <c r="G78" s="535" t="s">
        <v>2418</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2420</v>
      </c>
      <c r="C80" s="535" t="s">
        <v>2414</v>
      </c>
      <c r="D80" s="535" t="s">
        <v>2415</v>
      </c>
      <c r="E80" s="535" t="s">
        <v>2416</v>
      </c>
      <c r="F80" s="535" t="s">
        <v>2417</v>
      </c>
      <c r="G80" s="535" t="s">
        <v>2418</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1942</v>
      </c>
      <c r="C82" s="496" t="s">
        <v>2421</v>
      </c>
      <c r="D82" s="496" t="s">
        <v>2422</v>
      </c>
      <c r="E82" s="496" t="s">
        <v>2423</v>
      </c>
      <c r="F82" s="496" t="s">
        <v>2424</v>
      </c>
      <c r="G82" s="496" t="s">
        <v>2425</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2426</v>
      </c>
      <c r="C84" s="535" t="s">
        <v>2414</v>
      </c>
      <c r="D84" s="535" t="s">
        <v>2415</v>
      </c>
      <c r="E84" s="535" t="s">
        <v>2416</v>
      </c>
      <c r="F84" s="535" t="s">
        <v>2417</v>
      </c>
      <c r="G84" s="535" t="s">
        <v>2418</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2427</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2428</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2380</v>
      </c>
      <c r="B100" s="485" t="s">
        <v>2429</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2430</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2431</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2432</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2433</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1872</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2434</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2435</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2436</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2391</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2437</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2438</v>
      </c>
      <c r="C124" s="535" t="s">
        <v>2414</v>
      </c>
      <c r="D124" s="535" t="s">
        <v>2415</v>
      </c>
      <c r="E124" s="535" t="s">
        <v>2416</v>
      </c>
      <c r="F124" s="535" t="s">
        <v>2417</v>
      </c>
      <c r="G124" s="535" t="s">
        <v>2418</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2439</v>
      </c>
    </row>
    <row r="137" spans="1:17" ht="15">
      <c r="B137" s="2116" t="s">
        <v>2440</v>
      </c>
      <c r="C137" s="2117"/>
      <c r="D137" s="2117"/>
      <c r="E137" s="2117"/>
      <c r="F137" s="2117"/>
      <c r="G137" s="2118"/>
      <c r="H137" s="2119"/>
      <c r="I137" s="2120" t="s">
        <v>2441</v>
      </c>
      <c r="J137" s="2117"/>
      <c r="K137" s="2121"/>
    </row>
    <row r="138" spans="1:17" ht="15">
      <c r="B138" s="2122"/>
      <c r="C138" s="142" t="s">
        <v>2442</v>
      </c>
      <c r="D138" s="142" t="s">
        <v>2443</v>
      </c>
      <c r="E138" s="2123" t="s">
        <v>2444</v>
      </c>
      <c r="F138" s="2124" t="s">
        <v>2445</v>
      </c>
      <c r="G138" s="142" t="s">
        <v>2443</v>
      </c>
      <c r="H138" s="143" t="s">
        <v>2444</v>
      </c>
      <c r="I138" s="2125"/>
      <c r="J138" s="142" t="s">
        <v>2446</v>
      </c>
      <c r="K138" s="143" t="s">
        <v>2447</v>
      </c>
    </row>
    <row r="139" spans="1:17" ht="15">
      <c r="B139" s="998">
        <v>6</v>
      </c>
      <c r="C139" s="999">
        <v>96</v>
      </c>
      <c r="D139" s="2126" t="s">
        <v>2448</v>
      </c>
      <c r="E139" s="1000">
        <v>100</v>
      </c>
      <c r="F139" s="1001">
        <v>102.5</v>
      </c>
      <c r="G139" s="2126" t="s">
        <v>2448</v>
      </c>
      <c r="H139" s="1002">
        <v>105</v>
      </c>
      <c r="I139" s="2127" t="s">
        <v>2449</v>
      </c>
      <c r="J139" s="999">
        <v>20</v>
      </c>
      <c r="K139" s="1003">
        <f>C145/(J139-2)</f>
        <v>4.0555555555555553E-3</v>
      </c>
    </row>
    <row r="140" spans="1:17" ht="15">
      <c r="B140" s="1004">
        <v>5</v>
      </c>
      <c r="C140" s="1005">
        <v>100</v>
      </c>
      <c r="D140" s="1005"/>
      <c r="E140" s="1006"/>
      <c r="F140" s="1007">
        <v>102</v>
      </c>
      <c r="G140" s="1005"/>
      <c r="H140" s="1008"/>
      <c r="I140" s="2128" t="s">
        <v>2450</v>
      </c>
      <c r="J140" s="277">
        <f>ROUNDUP((J139-1)/2,0)</f>
        <v>10</v>
      </c>
      <c r="K140" s="1009">
        <v>100</v>
      </c>
    </row>
    <row r="141" spans="1:17" ht="15">
      <c r="B141" s="1004">
        <v>4</v>
      </c>
      <c r="C141" s="1005">
        <v>102</v>
      </c>
      <c r="D141" s="1005"/>
      <c r="E141" s="1006"/>
      <c r="F141" s="1007">
        <v>101.5</v>
      </c>
      <c r="G141" s="1005"/>
      <c r="H141" s="1008"/>
      <c r="I141" s="2128" t="s">
        <v>2451</v>
      </c>
      <c r="J141" s="277">
        <v>1</v>
      </c>
      <c r="K141" s="1010">
        <f>ROUND(100+(J141-J140)*K139*100,1)</f>
        <v>96.4</v>
      </c>
    </row>
    <row r="142" spans="1:17" ht="15">
      <c r="B142" s="1004">
        <v>3</v>
      </c>
      <c r="C142" s="1005">
        <v>103</v>
      </c>
      <c r="D142" s="1005"/>
      <c r="E142" s="1006"/>
      <c r="F142" s="1007">
        <v>101</v>
      </c>
      <c r="G142" s="1005"/>
      <c r="H142" s="1008"/>
      <c r="I142" s="2128" t="s">
        <v>2452</v>
      </c>
      <c r="J142" s="277">
        <f>J139</f>
        <v>20</v>
      </c>
      <c r="K142" s="1011">
        <v>95</v>
      </c>
    </row>
    <row r="143" spans="1:17" ht="15">
      <c r="B143" s="1004">
        <v>2</v>
      </c>
      <c r="C143" s="1005">
        <v>100</v>
      </c>
      <c r="D143" s="1005"/>
      <c r="E143" s="1006"/>
      <c r="F143" s="1007">
        <v>100.5</v>
      </c>
      <c r="G143" s="1005"/>
      <c r="H143" s="1008"/>
      <c r="I143" s="2128" t="s">
        <v>2453</v>
      </c>
      <c r="J143" s="1005">
        <v>15</v>
      </c>
      <c r="K143" s="1010">
        <f>ROUND(100+(J143-J140)*K139*100,1)</f>
        <v>102</v>
      </c>
    </row>
    <row r="144" spans="1:17" ht="15">
      <c r="B144" s="1004">
        <v>1</v>
      </c>
      <c r="C144" s="1005">
        <v>98</v>
      </c>
      <c r="D144" s="2129" t="s">
        <v>2454</v>
      </c>
      <c r="E144" s="1006">
        <v>102</v>
      </c>
      <c r="F144" s="1012">
        <v>100</v>
      </c>
      <c r="G144" s="2129" t="s">
        <v>2454</v>
      </c>
      <c r="H144" s="1008">
        <v>105</v>
      </c>
      <c r="I144" s="2128" t="s">
        <v>2453</v>
      </c>
      <c r="J144" s="1005">
        <v>18</v>
      </c>
      <c r="K144" s="1010">
        <f>ROUND(100+(J144-J140)*K139*100,1)</f>
        <v>103.2</v>
      </c>
    </row>
    <row r="145" spans="2:11" ht="15.75" thickBot="1">
      <c r="B145" s="2130" t="s">
        <v>2455</v>
      </c>
      <c r="C145" s="1013">
        <f>ROUND(MAX(C139:C144)/MIN(C139:C144)-1,3)</f>
        <v>7.2999999999999995E-2</v>
      </c>
      <c r="D145" s="1014"/>
      <c r="E145" s="1014"/>
      <c r="F145" s="2131" t="s">
        <v>2456</v>
      </c>
      <c r="G145" s="2132"/>
      <c r="H145" s="2133"/>
      <c r="I145" s="2134" t="s">
        <v>2453</v>
      </c>
      <c r="J145" s="1015">
        <v>8</v>
      </c>
      <c r="K145" s="1016">
        <f>ROUND(100+(J145-J140)*K139*100,1)</f>
        <v>99.2</v>
      </c>
    </row>
    <row r="147" spans="2:11">
      <c r="B147" s="2115" t="s">
        <v>2457</v>
      </c>
    </row>
    <row r="148" spans="2:11">
      <c r="B148" s="2115" t="s">
        <v>2458</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2" priority="19" stopIfTrue="1" operator="containsText" text="超过">
      <formula>NOT(ISERROR(SEARCH("超过",F52)))</formula>
    </cfRule>
  </conditionalFormatting>
  <conditionalFormatting sqref="J54">
    <cfRule type="containsText" dxfId="151" priority="18" stopIfTrue="1" operator="containsText" text="超过">
      <formula>NOT(ISERROR(SEARCH("超过",J54)))</formula>
    </cfRule>
  </conditionalFormatting>
  <conditionalFormatting sqref="H54">
    <cfRule type="containsText" dxfId="150" priority="17" stopIfTrue="1" operator="containsText" text="超过">
      <formula>NOT(ISERROR(SEARCH("超过",H54)))</formula>
    </cfRule>
  </conditionalFormatting>
  <conditionalFormatting sqref="F54">
    <cfRule type="containsText" dxfId="149" priority="16" stopIfTrue="1" operator="containsText" text="超过">
      <formula>NOT(ISERROR(SEARCH("超过",F54)))</formula>
    </cfRule>
  </conditionalFormatting>
  <conditionalFormatting sqref="F53 H53 J53">
    <cfRule type="containsText" dxfId="148" priority="15" stopIfTrue="1" operator="containsText" text="超过">
      <formula>NOT(ISERROR(SEARCH("超过",F53)))</formula>
    </cfRule>
  </conditionalFormatting>
  <conditionalFormatting sqref="E52">
    <cfRule type="expression" dxfId="147" priority="14" stopIfTrue="1">
      <formula>$F$52="超过30%"</formula>
    </cfRule>
  </conditionalFormatting>
  <conditionalFormatting sqref="G54">
    <cfRule type="expression" dxfId="146" priority="12" stopIfTrue="1">
      <formula>$H$54="超过30%"</formula>
    </cfRule>
  </conditionalFormatting>
  <conditionalFormatting sqref="E53">
    <cfRule type="expression" dxfId="145" priority="11" stopIfTrue="1">
      <formula>$F$53="超过20%"</formula>
    </cfRule>
  </conditionalFormatting>
  <conditionalFormatting sqref="E54">
    <cfRule type="expression" dxfId="144" priority="10" stopIfTrue="1">
      <formula>$F$54="超过30%"</formula>
    </cfRule>
  </conditionalFormatting>
  <conditionalFormatting sqref="G52">
    <cfRule type="expression" dxfId="143" priority="9" stopIfTrue="1">
      <formula>$H$52="超过30%"</formula>
    </cfRule>
  </conditionalFormatting>
  <conditionalFormatting sqref="G53">
    <cfRule type="expression" dxfId="142" priority="8" stopIfTrue="1">
      <formula>$H$53="超过20%"</formula>
    </cfRule>
  </conditionalFormatting>
  <conditionalFormatting sqref="I52">
    <cfRule type="expression" dxfId="141" priority="7" stopIfTrue="1">
      <formula>$J$52="超过30%"</formula>
    </cfRule>
  </conditionalFormatting>
  <conditionalFormatting sqref="I53">
    <cfRule type="expression" dxfId="140" priority="6" stopIfTrue="1">
      <formula>$J$53="超过20%"</formula>
    </cfRule>
  </conditionalFormatting>
  <conditionalFormatting sqref="I54">
    <cfRule type="expression" dxfId="139" priority="5" stopIfTrue="1">
      <formula>$J$54="超过30%"</formula>
    </cfRule>
  </conditionalFormatting>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F7:F46 H7:H46 J7:J46">
    <cfRule type="cellIs" dxfId="135" priority="1" operator="notEqual">
      <formula>100</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C10 E10 G10 I10" xr:uid="{00000000-0002-0000-1B00-000011000000}">
      <formula1>土地年限区间</formula1>
    </dataValidation>
    <dataValidation type="list" allowBlank="1" showInputMessage="1" showErrorMessage="1" sqref="E9 G9 I9" xr:uid="{00000000-0002-0000-1B00-000012000000}">
      <formula1>住宅用途</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2345</v>
      </c>
      <c r="B1" s="2064" t="s">
        <v>2459</v>
      </c>
      <c r="C1" s="1406" t="s">
        <v>2347</v>
      </c>
      <c r="D1" s="1393"/>
      <c r="E1" s="2543"/>
      <c r="F1" s="2065"/>
      <c r="G1" s="1403" t="s">
        <v>2460</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2144</v>
      </c>
      <c r="B2" s="1326" t="e">
        <f ca="1">IF(C2="——",ROUND(C49*D3/10000,0),ROUND(C49*D3/10000,0)-D2)</f>
        <v>#DIV/0!</v>
      </c>
      <c r="C2" s="2067"/>
      <c r="D2" s="1275" t="e">
        <f ca="1">SUMIF(INDIRECT("'"&amp;F2&amp;"'"&amp;"!A:A"),"承租人权益价值",INDIRECT("'"&amp;F2&amp;"'"&amp;"!c:c"))</f>
        <v>#REF!</v>
      </c>
      <c r="E2" s="2068" t="s">
        <v>2145</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2146</v>
      </c>
      <c r="B3" s="566" t="e">
        <f ca="1">IF(C2="——",C49,ROUND(B2*10000/D3,0))</f>
        <v>#DIV/0!</v>
      </c>
      <c r="C3" s="360" t="s">
        <v>2461</v>
      </c>
      <c r="D3" s="359">
        <f>IF(D1="",'数据-汇总表'!E3,SUMIF('数据-汇总表'!$C19:$C33,D1,'数据-汇总表'!$E19:$E33))</f>
        <v>93605.4</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5">
      <c r="A4" s="361" t="s">
        <v>2462</v>
      </c>
      <c r="B4" s="362"/>
      <c r="C4" s="3366" t="s">
        <v>2463</v>
      </c>
      <c r="D4" s="3379"/>
      <c r="E4" s="3380" t="s">
        <v>2464</v>
      </c>
      <c r="F4" s="3381"/>
      <c r="G4" s="3366" t="s">
        <v>2465</v>
      </c>
      <c r="H4" s="3379"/>
      <c r="I4" s="3366" t="s">
        <v>2466</v>
      </c>
      <c r="J4" s="3379"/>
      <c r="K4" s="567" t="s">
        <v>2467</v>
      </c>
      <c r="L4" s="2944"/>
      <c r="M4" s="2945"/>
      <c r="N4" s="2945"/>
      <c r="O4" s="2945"/>
      <c r="P4" s="3382" t="s">
        <v>2468</v>
      </c>
      <c r="Q4" s="3383"/>
      <c r="R4" s="3388" t="s">
        <v>2464</v>
      </c>
      <c r="S4" s="3389"/>
      <c r="T4" s="3388" t="s">
        <v>2465</v>
      </c>
      <c r="U4" s="3389"/>
      <c r="V4" s="3375" t="s">
        <v>2466</v>
      </c>
      <c r="W4" s="3375"/>
      <c r="X4" s="1539"/>
      <c r="Y4" s="3388" t="s">
        <v>2468</v>
      </c>
      <c r="Z4" s="3389"/>
      <c r="AA4" s="3376" t="s">
        <v>2464</v>
      </c>
      <c r="AB4" s="3375" t="s">
        <v>2465</v>
      </c>
      <c r="AC4" s="3376" t="s">
        <v>2466</v>
      </c>
    </row>
    <row r="5" spans="1:29" ht="15">
      <c r="A5" s="364"/>
      <c r="B5" s="365"/>
      <c r="C5" s="3396" t="s">
        <v>2359</v>
      </c>
      <c r="D5" s="3397"/>
      <c r="E5" s="3403" t="s">
        <v>2360</v>
      </c>
      <c r="F5" s="3404"/>
      <c r="G5" s="3396" t="s">
        <v>2361</v>
      </c>
      <c r="H5" s="3397"/>
      <c r="I5" s="3396" t="s">
        <v>2362</v>
      </c>
      <c r="J5" s="3397"/>
      <c r="K5" s="567"/>
      <c r="L5" s="2944"/>
      <c r="M5" s="2945"/>
      <c r="N5" s="2945"/>
      <c r="O5" s="2945"/>
      <c r="P5" s="3384"/>
      <c r="Q5" s="3385"/>
      <c r="R5" s="3390"/>
      <c r="S5" s="3391"/>
      <c r="T5" s="3390"/>
      <c r="U5" s="3391"/>
      <c r="V5" s="3375"/>
      <c r="W5" s="3375"/>
      <c r="X5" s="1539"/>
      <c r="Y5" s="3390"/>
      <c r="Z5" s="3391"/>
      <c r="AA5" s="3377"/>
      <c r="AB5" s="3375"/>
      <c r="AC5" s="3377"/>
    </row>
    <row r="6" spans="1:29" ht="15.75" thickBot="1">
      <c r="A6" s="366"/>
      <c r="B6" s="367"/>
      <c r="C6" s="3394" t="s">
        <v>2363</v>
      </c>
      <c r="D6" s="3395"/>
      <c r="E6" s="3401" t="s">
        <v>2363</v>
      </c>
      <c r="F6" s="3402"/>
      <c r="G6" s="3394" t="s">
        <v>2363</v>
      </c>
      <c r="H6" s="3395"/>
      <c r="I6" s="3394" t="s">
        <v>2363</v>
      </c>
      <c r="J6" s="3395"/>
      <c r="K6" s="567" t="s">
        <v>2364</v>
      </c>
      <c r="L6" s="2944"/>
      <c r="M6" s="2945"/>
      <c r="N6" s="2945"/>
      <c r="O6" s="2945"/>
      <c r="P6" s="3386"/>
      <c r="Q6" s="3387"/>
      <c r="R6" s="3390"/>
      <c r="S6" s="3391"/>
      <c r="T6" s="3392"/>
      <c r="U6" s="3393"/>
      <c r="V6" s="3375"/>
      <c r="W6" s="3375"/>
      <c r="X6" s="1539"/>
      <c r="Y6" s="3392"/>
      <c r="Z6" s="3393"/>
      <c r="AA6" s="3378"/>
      <c r="AB6" s="3375"/>
      <c r="AC6" s="3378"/>
    </row>
    <row r="7" spans="1:29" s="113" customFormat="1" ht="15.75" thickBot="1">
      <c r="A7" s="368" t="s">
        <v>2365</v>
      </c>
      <c r="B7" s="369"/>
      <c r="C7" s="370">
        <f>'数据-取费表'!B2</f>
        <v>44555</v>
      </c>
      <c r="D7" s="371">
        <v>100</v>
      </c>
      <c r="E7" s="372"/>
      <c r="F7" s="373">
        <f>SUMIF(58:58,YEAR(E7)&amp;"-"&amp;MONTH(E7),59:59)</f>
        <v>0</v>
      </c>
      <c r="G7" s="372"/>
      <c r="H7" s="371">
        <f>SUMIF(58:58,YEAR(G7)&amp;"-"&amp;MONTH(G7),59:59)</f>
        <v>0</v>
      </c>
      <c r="I7" s="372"/>
      <c r="J7" s="371">
        <f>SUMIF(58:58,YEAR(I7)&amp;"-"&amp;MONTH(I7),59:59)</f>
        <v>0</v>
      </c>
      <c r="K7" s="568"/>
      <c r="L7" s="2946"/>
      <c r="M7" s="2947"/>
      <c r="N7" s="2947"/>
      <c r="O7" s="2947"/>
      <c r="P7" s="3398" t="s">
        <v>2366</v>
      </c>
      <c r="Q7" s="3400"/>
      <c r="R7" s="710" t="s">
        <v>17</v>
      </c>
      <c r="S7" s="711">
        <f t="shared" ref="S7:S15" si="0">F7</f>
        <v>0</v>
      </c>
      <c r="T7" s="710" t="s">
        <v>17</v>
      </c>
      <c r="U7" s="711">
        <f t="shared" ref="U7:U15" si="1">H7</f>
        <v>0</v>
      </c>
      <c r="V7" s="710" t="s">
        <v>17</v>
      </c>
      <c r="W7" s="711">
        <f t="shared" ref="W7:W15" si="2">J7</f>
        <v>0</v>
      </c>
      <c r="X7" s="712"/>
      <c r="Y7" s="3398" t="s">
        <v>2366</v>
      </c>
      <c r="Z7" s="3399"/>
      <c r="AA7" s="713" t="e">
        <f>D7/F7</f>
        <v>#DIV/0!</v>
      </c>
      <c r="AB7" s="713" t="e">
        <f>D7/H7</f>
        <v>#DIV/0!</v>
      </c>
      <c r="AC7" s="713" t="e">
        <f>D7/J7</f>
        <v>#DIV/0!</v>
      </c>
    </row>
    <row r="8" spans="1:29" s="113" customFormat="1" ht="15.75" thickBot="1">
      <c r="A8" s="368" t="s">
        <v>2367</v>
      </c>
      <c r="B8" s="369"/>
      <c r="C8" s="374" t="s">
        <v>2469</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398" t="s">
        <v>2369</v>
      </c>
      <c r="Q8" s="3399"/>
      <c r="R8" s="710" t="s">
        <v>17</v>
      </c>
      <c r="S8" s="711">
        <f t="shared" si="0"/>
        <v>0</v>
      </c>
      <c r="T8" s="710" t="s">
        <v>17</v>
      </c>
      <c r="U8" s="711">
        <f t="shared" si="1"/>
        <v>0</v>
      </c>
      <c r="V8" s="710" t="s">
        <v>17</v>
      </c>
      <c r="W8" s="711">
        <f t="shared" si="2"/>
        <v>0</v>
      </c>
      <c r="X8" s="712"/>
      <c r="Y8" s="3398" t="s">
        <v>2369</v>
      </c>
      <c r="Z8" s="3399"/>
      <c r="AA8" s="713" t="e">
        <f t="shared" ref="AA8:AA46" si="3">D8/F8</f>
        <v>#DIV/0!</v>
      </c>
      <c r="AB8" s="713" t="e">
        <f t="shared" ref="AB8:AB46" si="4">D8/H8</f>
        <v>#DIV/0!</v>
      </c>
      <c r="AC8" s="713" t="e">
        <f t="shared" ref="AC8:AC46" si="5">D8/J8</f>
        <v>#DIV/0!</v>
      </c>
    </row>
    <row r="9" spans="1:29" s="113" customFormat="1">
      <c r="A9" s="375" t="s">
        <v>2370</v>
      </c>
      <c r="B9" s="67" t="s">
        <v>2371</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368" t="s">
        <v>2372</v>
      </c>
      <c r="Q9" s="1527" t="str">
        <f t="shared" ref="Q9:Q15" si="6">B9</f>
        <v>用途</v>
      </c>
      <c r="R9" s="710" t="s">
        <v>17</v>
      </c>
      <c r="S9" s="711">
        <f t="shared" si="0"/>
        <v>100</v>
      </c>
      <c r="T9" s="710" t="s">
        <v>17</v>
      </c>
      <c r="U9" s="711">
        <f t="shared" si="1"/>
        <v>100</v>
      </c>
      <c r="V9" s="710" t="s">
        <v>17</v>
      </c>
      <c r="W9" s="711">
        <f t="shared" si="2"/>
        <v>100</v>
      </c>
      <c r="X9" s="712"/>
      <c r="Y9" s="3263"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368"/>
      <c r="Q10" s="1527" t="str">
        <f t="shared" si="6"/>
        <v>土地使用年限（年）</v>
      </c>
      <c r="R10" s="710" t="s">
        <v>17</v>
      </c>
      <c r="S10" s="711">
        <f t="shared" si="0"/>
        <v>100</v>
      </c>
      <c r="T10" s="710" t="s">
        <v>17</v>
      </c>
      <c r="U10" s="711">
        <f t="shared" si="1"/>
        <v>100</v>
      </c>
      <c r="V10" s="710" t="s">
        <v>17</v>
      </c>
      <c r="W10" s="711">
        <f t="shared" si="2"/>
        <v>100</v>
      </c>
      <c r="X10" s="712"/>
      <c r="Y10" s="3263"/>
      <c r="Z10" s="55" t="str">
        <f t="shared" si="7"/>
        <v>土地使用年限（年）</v>
      </c>
      <c r="AA10" s="713">
        <f t="shared" si="3"/>
        <v>1</v>
      </c>
      <c r="AB10" s="713">
        <f t="shared" si="4"/>
        <v>1</v>
      </c>
      <c r="AC10" s="713">
        <f t="shared" si="5"/>
        <v>1</v>
      </c>
    </row>
    <row r="11" spans="1:29" ht="15">
      <c r="A11" s="387"/>
      <c r="B11" s="381" t="s">
        <v>2375</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368"/>
      <c r="Q11" s="1527" t="str">
        <f t="shared" si="6"/>
        <v>容积率</v>
      </c>
      <c r="R11" s="710" t="s">
        <v>17</v>
      </c>
      <c r="S11" s="711" t="e">
        <f t="shared" si="0"/>
        <v>#N/A</v>
      </c>
      <c r="T11" s="710" t="s">
        <v>17</v>
      </c>
      <c r="U11" s="711" t="e">
        <f t="shared" si="1"/>
        <v>#N/A</v>
      </c>
      <c r="V11" s="710" t="s">
        <v>17</v>
      </c>
      <c r="W11" s="711" t="e">
        <f t="shared" si="2"/>
        <v>#N/A</v>
      </c>
      <c r="X11" s="712"/>
      <c r="Y11" s="3263"/>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368"/>
      <c r="Q12" s="1527">
        <f t="shared" si="6"/>
        <v>111</v>
      </c>
      <c r="R12" s="710" t="s">
        <v>17</v>
      </c>
      <c r="S12" s="711">
        <f t="shared" si="0"/>
        <v>100</v>
      </c>
      <c r="T12" s="710" t="s">
        <v>17</v>
      </c>
      <c r="U12" s="711">
        <f t="shared" si="1"/>
        <v>100</v>
      </c>
      <c r="V12" s="710" t="s">
        <v>17</v>
      </c>
      <c r="W12" s="711">
        <f t="shared" si="2"/>
        <v>100</v>
      </c>
      <c r="X12" s="712"/>
      <c r="Y12" s="3263"/>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368"/>
      <c r="Q13" s="1527">
        <f t="shared" si="6"/>
        <v>111</v>
      </c>
      <c r="R13" s="710" t="s">
        <v>17</v>
      </c>
      <c r="S13" s="711">
        <f t="shared" si="0"/>
        <v>100</v>
      </c>
      <c r="T13" s="710" t="s">
        <v>17</v>
      </c>
      <c r="U13" s="711">
        <f t="shared" si="1"/>
        <v>100</v>
      </c>
      <c r="V13" s="710" t="s">
        <v>17</v>
      </c>
      <c r="W13" s="711">
        <f t="shared" si="2"/>
        <v>100</v>
      </c>
      <c r="X13" s="712"/>
      <c r="Y13" s="3263"/>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368"/>
      <c r="Q14" s="1527">
        <f t="shared" si="6"/>
        <v>111</v>
      </c>
      <c r="R14" s="710" t="s">
        <v>17</v>
      </c>
      <c r="S14" s="711">
        <f t="shared" si="0"/>
        <v>100</v>
      </c>
      <c r="T14" s="710" t="s">
        <v>17</v>
      </c>
      <c r="U14" s="711">
        <f t="shared" si="1"/>
        <v>100</v>
      </c>
      <c r="V14" s="710" t="s">
        <v>17</v>
      </c>
      <c r="W14" s="711">
        <f t="shared" si="2"/>
        <v>100</v>
      </c>
      <c r="X14" s="712"/>
      <c r="Y14" s="3263"/>
      <c r="Z14" s="55">
        <f t="shared" si="7"/>
        <v>111</v>
      </c>
      <c r="AA14" s="713">
        <f t="shared" si="3"/>
        <v>1</v>
      </c>
      <c r="AB14" s="713">
        <f t="shared" si="4"/>
        <v>1</v>
      </c>
      <c r="AC14" s="713">
        <f t="shared" si="5"/>
        <v>1</v>
      </c>
    </row>
    <row r="15" spans="1:29" ht="71.25">
      <c r="A15" s="399" t="s">
        <v>2376</v>
      </c>
      <c r="B15" s="65" t="s">
        <v>2470</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439" t="s">
        <v>2377</v>
      </c>
      <c r="Q15" s="1536" t="str">
        <f t="shared" si="6"/>
        <v>商业繁华度</v>
      </c>
      <c r="R15" s="714" t="s">
        <v>17</v>
      </c>
      <c r="S15" s="715">
        <f t="shared" si="0"/>
        <v>100</v>
      </c>
      <c r="T15" s="714" t="s">
        <v>17</v>
      </c>
      <c r="U15" s="715">
        <f t="shared" si="1"/>
        <v>100</v>
      </c>
      <c r="V15" s="714" t="s">
        <v>17</v>
      </c>
      <c r="W15" s="715">
        <f t="shared" si="2"/>
        <v>100</v>
      </c>
      <c r="X15" s="1539"/>
      <c r="Y15" s="3371" t="s">
        <v>2377</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1"/>
      <c r="M16" s="2945"/>
      <c r="N16" s="2945"/>
      <c r="O16" s="2945"/>
      <c r="P16" s="3440"/>
      <c r="Q16" s="1536"/>
      <c r="R16" s="714"/>
      <c r="S16" s="715"/>
      <c r="T16" s="714"/>
      <c r="U16" s="715"/>
      <c r="V16" s="714"/>
      <c r="W16" s="715"/>
      <c r="X16" s="1539"/>
      <c r="Y16" s="3372"/>
      <c r="Z16" s="1540"/>
      <c r="AA16" s="1537">
        <v>1</v>
      </c>
      <c r="AB16" s="1537">
        <v>1</v>
      </c>
      <c r="AC16" s="1537">
        <v>1</v>
      </c>
    </row>
    <row r="17" spans="1:29" ht="85.5">
      <c r="A17" s="387"/>
      <c r="B17" s="410" t="s">
        <v>1941</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440"/>
      <c r="Q17" s="1536" t="str">
        <f>B17</f>
        <v>交通便捷度</v>
      </c>
      <c r="R17" s="714" t="s">
        <v>17</v>
      </c>
      <c r="S17" s="715">
        <f>F17</f>
        <v>100</v>
      </c>
      <c r="T17" s="714" t="s">
        <v>17</v>
      </c>
      <c r="U17" s="715">
        <f>H17</f>
        <v>100</v>
      </c>
      <c r="V17" s="714" t="s">
        <v>17</v>
      </c>
      <c r="W17" s="715">
        <f>J17</f>
        <v>100</v>
      </c>
      <c r="X17" s="1539"/>
      <c r="Y17" s="3372"/>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1"/>
      <c r="M18" s="2945"/>
      <c r="N18" s="2945"/>
      <c r="O18" s="2945"/>
      <c r="P18" s="3440"/>
      <c r="Q18" s="1536"/>
      <c r="R18" s="714"/>
      <c r="S18" s="715"/>
      <c r="T18" s="714"/>
      <c r="U18" s="715"/>
      <c r="V18" s="714"/>
      <c r="W18" s="715"/>
      <c r="X18" s="1539"/>
      <c r="Y18" s="3372"/>
      <c r="Z18" s="1540"/>
      <c r="AA18" s="1537">
        <v>1</v>
      </c>
      <c r="AB18" s="1537">
        <v>1</v>
      </c>
      <c r="AC18" s="1537">
        <v>1</v>
      </c>
    </row>
    <row r="19" spans="1:29" ht="42.75">
      <c r="A19" s="387"/>
      <c r="B19" s="410" t="s">
        <v>2471</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440"/>
      <c r="Q19" s="1536" t="str">
        <f>B19</f>
        <v>公共配套设施</v>
      </c>
      <c r="R19" s="714" t="s">
        <v>17</v>
      </c>
      <c r="S19" s="715">
        <f>F19</f>
        <v>100</v>
      </c>
      <c r="T19" s="714" t="s">
        <v>17</v>
      </c>
      <c r="U19" s="715">
        <f>H19</f>
        <v>100</v>
      </c>
      <c r="V19" s="714" t="s">
        <v>17</v>
      </c>
      <c r="W19" s="715">
        <f>J19</f>
        <v>100</v>
      </c>
      <c r="X19" s="1539"/>
      <c r="Y19" s="3372"/>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1"/>
      <c r="M20" s="2945"/>
      <c r="N20" s="2945"/>
      <c r="O20" s="2945"/>
      <c r="P20" s="3440"/>
      <c r="Q20" s="1536"/>
      <c r="R20" s="714"/>
      <c r="S20" s="715"/>
      <c r="T20" s="714"/>
      <c r="U20" s="715"/>
      <c r="V20" s="714"/>
      <c r="W20" s="715"/>
      <c r="X20" s="1539"/>
      <c r="Y20" s="3372"/>
      <c r="Z20" s="1540"/>
      <c r="AA20" s="1537">
        <v>1</v>
      </c>
      <c r="AB20" s="1537">
        <v>1</v>
      </c>
      <c r="AC20" s="1537">
        <v>1</v>
      </c>
    </row>
    <row r="21" spans="1:29" ht="28.5">
      <c r="A21" s="387"/>
      <c r="B21" s="1293" t="s">
        <v>2472</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440"/>
      <c r="Q21" s="1536" t="str">
        <f>B21</f>
        <v>基础设施水平</v>
      </c>
      <c r="R21" s="714" t="s">
        <v>17</v>
      </c>
      <c r="S21" s="715">
        <f>F21</f>
        <v>100</v>
      </c>
      <c r="T21" s="714" t="s">
        <v>17</v>
      </c>
      <c r="U21" s="715">
        <f>H21</f>
        <v>100</v>
      </c>
      <c r="V21" s="714" t="s">
        <v>17</v>
      </c>
      <c r="W21" s="715">
        <f>J21</f>
        <v>100</v>
      </c>
      <c r="X21" s="1539"/>
      <c r="Y21" s="3372"/>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1"/>
      <c r="M22" s="2945"/>
      <c r="N22" s="2945"/>
      <c r="O22" s="2945"/>
      <c r="P22" s="3440"/>
      <c r="Q22" s="1536"/>
      <c r="R22" s="714"/>
      <c r="S22" s="715"/>
      <c r="T22" s="714"/>
      <c r="U22" s="715"/>
      <c r="V22" s="714"/>
      <c r="W22" s="715"/>
      <c r="X22" s="1539"/>
      <c r="Y22" s="3372"/>
      <c r="Z22" s="1540"/>
      <c r="AA22" s="1537">
        <v>1</v>
      </c>
      <c r="AB22" s="1537">
        <v>1</v>
      </c>
      <c r="AC22" s="1537">
        <v>1</v>
      </c>
    </row>
    <row r="23" spans="1:29" ht="57">
      <c r="A23" s="387"/>
      <c r="B23" s="410" t="s">
        <v>1943</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440"/>
      <c r="Q23" s="1536" t="str">
        <f>B23</f>
        <v>自然及人文环境</v>
      </c>
      <c r="R23" s="714" t="s">
        <v>17</v>
      </c>
      <c r="S23" s="715">
        <f>F23</f>
        <v>100</v>
      </c>
      <c r="T23" s="714" t="s">
        <v>17</v>
      </c>
      <c r="U23" s="715">
        <f>H23</f>
        <v>100</v>
      </c>
      <c r="V23" s="714" t="s">
        <v>17</v>
      </c>
      <c r="W23" s="715">
        <f>J23</f>
        <v>100</v>
      </c>
      <c r="X23" s="1539"/>
      <c r="Y23" s="3372"/>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1"/>
      <c r="M24" s="2945"/>
      <c r="N24" s="2945"/>
      <c r="O24" s="2945"/>
      <c r="P24" s="3440"/>
      <c r="Q24" s="1536"/>
      <c r="R24" s="714"/>
      <c r="S24" s="715"/>
      <c r="T24" s="714"/>
      <c r="U24" s="715"/>
      <c r="V24" s="714"/>
      <c r="W24" s="715"/>
      <c r="X24" s="1539"/>
      <c r="Y24" s="3372"/>
      <c r="Z24" s="1540"/>
      <c r="AA24" s="1537">
        <v>1</v>
      </c>
      <c r="AB24" s="1537">
        <v>1</v>
      </c>
      <c r="AC24" s="1537">
        <v>1</v>
      </c>
    </row>
    <row r="25" spans="1:29" ht="15">
      <c r="A25" s="387"/>
      <c r="B25" s="381" t="s">
        <v>2473</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440"/>
      <c r="Q25" s="1536" t="str">
        <f t="shared" ref="Q25:Q46" si="11">B25</f>
        <v>临街状况</v>
      </c>
      <c r="R25" s="714" t="s">
        <v>17</v>
      </c>
      <c r="S25" s="715">
        <f>F25</f>
        <v>100</v>
      </c>
      <c r="T25" s="714" t="s">
        <v>17</v>
      </c>
      <c r="U25" s="715">
        <f>H25</f>
        <v>100</v>
      </c>
      <c r="V25" s="714" t="s">
        <v>17</v>
      </c>
      <c r="W25" s="715">
        <f>J25</f>
        <v>100</v>
      </c>
      <c r="X25" s="1539"/>
      <c r="Y25" s="3372"/>
      <c r="Z25" s="1540" t="str">
        <f>Q25</f>
        <v>临街状况</v>
      </c>
      <c r="AA25" s="1537">
        <f t="shared" si="3"/>
        <v>1</v>
      </c>
      <c r="AB25" s="1537">
        <f t="shared" si="4"/>
        <v>1</v>
      </c>
      <c r="AC25" s="1537">
        <f t="shared" si="5"/>
        <v>1</v>
      </c>
    </row>
    <row r="26" spans="1:29" ht="15">
      <c r="A26" s="387"/>
      <c r="B26" s="1295" t="s">
        <v>2474</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440"/>
      <c r="Q26" s="1536" t="str">
        <f t="shared" si="11"/>
        <v>平面位置/可视性</v>
      </c>
      <c r="R26" s="714" t="s">
        <v>17</v>
      </c>
      <c r="S26" s="715">
        <f>F26</f>
        <v>100</v>
      </c>
      <c r="T26" s="714" t="s">
        <v>17</v>
      </c>
      <c r="U26" s="715">
        <f>H26</f>
        <v>100</v>
      </c>
      <c r="V26" s="714" t="s">
        <v>17</v>
      </c>
      <c r="W26" s="715">
        <f>J26</f>
        <v>100</v>
      </c>
      <c r="X26" s="1539"/>
      <c r="Y26" s="3372"/>
      <c r="Z26" s="1540" t="str">
        <f>Q26</f>
        <v>平面位置/可视性</v>
      </c>
      <c r="AA26" s="1537">
        <f t="shared" si="3"/>
        <v>1</v>
      </c>
      <c r="AB26" s="1537">
        <f t="shared" si="4"/>
        <v>1</v>
      </c>
      <c r="AC26" s="1537">
        <f t="shared" si="5"/>
        <v>1</v>
      </c>
    </row>
    <row r="27" spans="1:29" s="113" customFormat="1" ht="15">
      <c r="A27" s="390"/>
      <c r="B27" s="410" t="s">
        <v>2475</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440"/>
      <c r="Q27" s="1527" t="str">
        <f t="shared" si="11"/>
        <v>人流量</v>
      </c>
      <c r="R27" s="710" t="s">
        <v>17</v>
      </c>
      <c r="S27" s="711">
        <f>F27</f>
        <v>100</v>
      </c>
      <c r="T27" s="710" t="s">
        <v>17</v>
      </c>
      <c r="U27" s="711">
        <f>H27</f>
        <v>100</v>
      </c>
      <c r="V27" s="710" t="s">
        <v>17</v>
      </c>
      <c r="W27" s="711">
        <f>J27</f>
        <v>100</v>
      </c>
      <c r="X27" s="712"/>
      <c r="Y27" s="3372"/>
      <c r="Z27" s="55" t="str">
        <f>Q27</f>
        <v>人流量</v>
      </c>
      <c r="AA27" s="1537">
        <f>D27/F27</f>
        <v>1</v>
      </c>
      <c r="AB27" s="1537">
        <f>D27/H27</f>
        <v>1</v>
      </c>
      <c r="AC27" s="1537">
        <f>D27/J27</f>
        <v>1</v>
      </c>
    </row>
    <row r="28" spans="1:29" ht="15">
      <c r="A28" s="387"/>
      <c r="B28" s="381" t="s">
        <v>2476</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440"/>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72"/>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440"/>
      <c r="Q29" s="1536">
        <f t="shared" si="11"/>
        <v>111</v>
      </c>
      <c r="R29" s="714" t="s">
        <v>17</v>
      </c>
      <c r="S29" s="715">
        <f t="shared" si="12"/>
        <v>100</v>
      </c>
      <c r="T29" s="714" t="s">
        <v>17</v>
      </c>
      <c r="U29" s="715">
        <f t="shared" si="13"/>
        <v>100</v>
      </c>
      <c r="V29" s="714" t="s">
        <v>17</v>
      </c>
      <c r="W29" s="715">
        <f t="shared" si="14"/>
        <v>100</v>
      </c>
      <c r="X29" s="1539"/>
      <c r="Y29" s="3372"/>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440"/>
      <c r="Q30" s="1536">
        <f t="shared" si="11"/>
        <v>111</v>
      </c>
      <c r="R30" s="714" t="s">
        <v>17</v>
      </c>
      <c r="S30" s="715">
        <f t="shared" si="12"/>
        <v>100</v>
      </c>
      <c r="T30" s="714" t="s">
        <v>17</v>
      </c>
      <c r="U30" s="715">
        <f t="shared" si="13"/>
        <v>100</v>
      </c>
      <c r="V30" s="714" t="s">
        <v>17</v>
      </c>
      <c r="W30" s="715">
        <f t="shared" si="14"/>
        <v>100</v>
      </c>
      <c r="X30" s="1539"/>
      <c r="Y30" s="3372"/>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440"/>
      <c r="Q31" s="1536">
        <f t="shared" si="11"/>
        <v>111</v>
      </c>
      <c r="R31" s="714" t="s">
        <v>17</v>
      </c>
      <c r="S31" s="715">
        <f t="shared" si="12"/>
        <v>100</v>
      </c>
      <c r="T31" s="714" t="s">
        <v>17</v>
      </c>
      <c r="U31" s="715">
        <f t="shared" si="13"/>
        <v>100</v>
      </c>
      <c r="V31" s="714" t="s">
        <v>17</v>
      </c>
      <c r="W31" s="715">
        <f t="shared" si="14"/>
        <v>100</v>
      </c>
      <c r="X31" s="1539"/>
      <c r="Y31" s="3372"/>
      <c r="Z31" s="1540">
        <f t="shared" si="15"/>
        <v>111</v>
      </c>
      <c r="AA31" s="1537">
        <f t="shared" si="3"/>
        <v>1</v>
      </c>
      <c r="AB31" s="1537">
        <f t="shared" si="4"/>
        <v>1</v>
      </c>
      <c r="AC31" s="1537">
        <f t="shared" si="5"/>
        <v>1</v>
      </c>
    </row>
    <row r="32" spans="1:29" ht="15">
      <c r="A32" s="399" t="s">
        <v>2380</v>
      </c>
      <c r="B32" s="67" t="s">
        <v>2477</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435" t="s">
        <v>2382</v>
      </c>
      <c r="Q32" s="1536" t="str">
        <f t="shared" si="11"/>
        <v>商业类型</v>
      </c>
      <c r="R32" s="714" t="s">
        <v>17</v>
      </c>
      <c r="S32" s="715">
        <f t="shared" si="12"/>
        <v>100</v>
      </c>
      <c r="T32" s="714" t="s">
        <v>17</v>
      </c>
      <c r="U32" s="715">
        <f t="shared" si="13"/>
        <v>100</v>
      </c>
      <c r="V32" s="714" t="s">
        <v>17</v>
      </c>
      <c r="W32" s="715">
        <f t="shared" si="14"/>
        <v>100</v>
      </c>
      <c r="X32" s="1539"/>
      <c r="Y32" s="3374" t="s">
        <v>2382</v>
      </c>
      <c r="Z32" s="1540" t="str">
        <f t="shared" si="15"/>
        <v>商业类型</v>
      </c>
      <c r="AA32" s="1537">
        <f t="shared" si="3"/>
        <v>1</v>
      </c>
      <c r="AB32" s="1537">
        <f t="shared" si="4"/>
        <v>1</v>
      </c>
      <c r="AC32" s="1537">
        <f t="shared" si="5"/>
        <v>1</v>
      </c>
    </row>
    <row r="33" spans="1:29" s="430" customFormat="1" ht="15">
      <c r="A33" s="427"/>
      <c r="B33" s="381" t="s">
        <v>2383</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436"/>
      <c r="Q33" s="716" t="str">
        <f t="shared" si="11"/>
        <v>项目建筑规模</v>
      </c>
      <c r="R33" s="717" t="s">
        <v>17</v>
      </c>
      <c r="S33" s="718" t="e">
        <f t="shared" si="12"/>
        <v>#N/A</v>
      </c>
      <c r="T33" s="717" t="s">
        <v>17</v>
      </c>
      <c r="U33" s="718" t="e">
        <f t="shared" si="13"/>
        <v>#N/A</v>
      </c>
      <c r="V33" s="717" t="s">
        <v>17</v>
      </c>
      <c r="W33" s="718" t="e">
        <f t="shared" si="14"/>
        <v>#N/A</v>
      </c>
      <c r="X33" s="719"/>
      <c r="Y33" s="3374"/>
      <c r="Z33" s="720" t="str">
        <f t="shared" si="15"/>
        <v>项目建筑规模</v>
      </c>
      <c r="AA33" s="1537" t="e">
        <f t="shared" si="3"/>
        <v>#N/A</v>
      </c>
      <c r="AB33" s="1537" t="e">
        <f t="shared" si="4"/>
        <v>#N/A</v>
      </c>
      <c r="AC33" s="1537" t="e">
        <f t="shared" si="5"/>
        <v>#N/A</v>
      </c>
    </row>
    <row r="34" spans="1:29" ht="15">
      <c r="A34" s="431"/>
      <c r="B34" s="381" t="s">
        <v>2384</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436"/>
      <c r="Q34" s="1536" t="str">
        <f t="shared" si="11"/>
        <v>建筑结构</v>
      </c>
      <c r="R34" s="714" t="s">
        <v>17</v>
      </c>
      <c r="S34" s="715">
        <f t="shared" si="12"/>
        <v>100</v>
      </c>
      <c r="T34" s="714" t="s">
        <v>17</v>
      </c>
      <c r="U34" s="715">
        <f t="shared" si="13"/>
        <v>100</v>
      </c>
      <c r="V34" s="714" t="s">
        <v>17</v>
      </c>
      <c r="W34" s="715">
        <f t="shared" si="14"/>
        <v>100</v>
      </c>
      <c r="X34" s="1539"/>
      <c r="Y34" s="3374"/>
      <c r="Z34" s="1540" t="str">
        <f t="shared" si="15"/>
        <v>建筑结构</v>
      </c>
      <c r="AA34" s="1537">
        <f t="shared" si="3"/>
        <v>1</v>
      </c>
      <c r="AB34" s="1537">
        <f t="shared" si="4"/>
        <v>1</v>
      </c>
      <c r="AC34" s="1537">
        <f t="shared" si="5"/>
        <v>1</v>
      </c>
    </row>
    <row r="35" spans="1:29" ht="15">
      <c r="A35" s="431"/>
      <c r="B35" s="381" t="s">
        <v>2478</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436"/>
      <c r="Q35" s="1536" t="str">
        <f t="shared" si="11"/>
        <v>公共部分装修</v>
      </c>
      <c r="R35" s="714" t="s">
        <v>17</v>
      </c>
      <c r="S35" s="715">
        <f t="shared" si="12"/>
        <v>100</v>
      </c>
      <c r="T35" s="714" t="s">
        <v>17</v>
      </c>
      <c r="U35" s="715">
        <f t="shared" si="13"/>
        <v>100</v>
      </c>
      <c r="V35" s="714" t="s">
        <v>17</v>
      </c>
      <c r="W35" s="715">
        <f t="shared" si="14"/>
        <v>100</v>
      </c>
      <c r="X35" s="1539"/>
      <c r="Y35" s="3374"/>
      <c r="Z35" s="1540" t="str">
        <f t="shared" si="15"/>
        <v>公共部分装修</v>
      </c>
      <c r="AA35" s="1537">
        <f t="shared" si="3"/>
        <v>1</v>
      </c>
      <c r="AB35" s="1537">
        <f t="shared" si="4"/>
        <v>1</v>
      </c>
      <c r="AC35" s="1537">
        <f t="shared" si="5"/>
        <v>1</v>
      </c>
    </row>
    <row r="36" spans="1:29" ht="15">
      <c r="A36" s="431"/>
      <c r="B36" s="381" t="s">
        <v>2479</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436"/>
      <c r="Q36" s="1536" t="str">
        <f t="shared" si="11"/>
        <v>成新度</v>
      </c>
      <c r="R36" s="714" t="s">
        <v>17</v>
      </c>
      <c r="S36" s="715" t="e">
        <f t="shared" si="12"/>
        <v>#N/A</v>
      </c>
      <c r="T36" s="714" t="s">
        <v>17</v>
      </c>
      <c r="U36" s="715" t="e">
        <f t="shared" si="13"/>
        <v>#N/A</v>
      </c>
      <c r="V36" s="714" t="s">
        <v>17</v>
      </c>
      <c r="W36" s="715" t="e">
        <f t="shared" si="14"/>
        <v>#N/A</v>
      </c>
      <c r="X36" s="1539"/>
      <c r="Y36" s="3374"/>
      <c r="Z36" s="1540" t="str">
        <f t="shared" si="15"/>
        <v>成新度</v>
      </c>
      <c r="AA36" s="1537" t="e">
        <f t="shared" si="3"/>
        <v>#N/A</v>
      </c>
      <c r="AB36" s="1537" t="e">
        <f t="shared" si="4"/>
        <v>#N/A</v>
      </c>
      <c r="AC36" s="1537" t="e">
        <f t="shared" si="5"/>
        <v>#N/A</v>
      </c>
    </row>
    <row r="37" spans="1:29" s="113" customFormat="1" ht="15">
      <c r="A37" s="432"/>
      <c r="B37" s="381" t="s">
        <v>2480</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436"/>
      <c r="Q37" s="1527" t="str">
        <f t="shared" si="11"/>
        <v>市政基础设施</v>
      </c>
      <c r="R37" s="710" t="s">
        <v>17</v>
      </c>
      <c r="S37" s="711">
        <f t="shared" si="12"/>
        <v>100</v>
      </c>
      <c r="T37" s="710" t="s">
        <v>17</v>
      </c>
      <c r="U37" s="711">
        <f t="shared" si="13"/>
        <v>100</v>
      </c>
      <c r="V37" s="710" t="s">
        <v>17</v>
      </c>
      <c r="W37" s="711">
        <f t="shared" si="14"/>
        <v>100</v>
      </c>
      <c r="X37" s="712"/>
      <c r="Y37" s="3374"/>
      <c r="Z37" s="55" t="str">
        <f t="shared" si="15"/>
        <v>市政基础设施</v>
      </c>
      <c r="AA37" s="713">
        <f t="shared" si="3"/>
        <v>1</v>
      </c>
      <c r="AB37" s="713">
        <f t="shared" si="4"/>
        <v>1</v>
      </c>
      <c r="AC37" s="713">
        <f t="shared" si="5"/>
        <v>1</v>
      </c>
    </row>
    <row r="38" spans="1:29" ht="15">
      <c r="A38" s="431"/>
      <c r="B38" s="381" t="s">
        <v>2481</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436" t="s">
        <v>2382</v>
      </c>
      <c r="Q38" s="1536" t="str">
        <f t="shared" si="11"/>
        <v>业态</v>
      </c>
      <c r="R38" s="714" t="s">
        <v>17</v>
      </c>
      <c r="S38" s="715">
        <f t="shared" si="12"/>
        <v>100</v>
      </c>
      <c r="T38" s="714" t="s">
        <v>17</v>
      </c>
      <c r="U38" s="715">
        <f t="shared" si="13"/>
        <v>100</v>
      </c>
      <c r="V38" s="714" t="s">
        <v>17</v>
      </c>
      <c r="W38" s="715">
        <f t="shared" si="14"/>
        <v>100</v>
      </c>
      <c r="X38" s="1539"/>
      <c r="Y38" s="3374" t="s">
        <v>2382</v>
      </c>
      <c r="Z38" s="1540" t="str">
        <f t="shared" si="15"/>
        <v>业态</v>
      </c>
      <c r="AA38" s="1537">
        <f t="shared" si="3"/>
        <v>1</v>
      </c>
      <c r="AB38" s="1537">
        <f t="shared" si="4"/>
        <v>1</v>
      </c>
      <c r="AC38" s="1537">
        <f t="shared" si="5"/>
        <v>1</v>
      </c>
    </row>
    <row r="39" spans="1:29" ht="15">
      <c r="A39" s="431"/>
      <c r="B39" s="381" t="s">
        <v>2482</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436"/>
      <c r="Q39" s="1536" t="str">
        <f t="shared" si="11"/>
        <v>层高</v>
      </c>
      <c r="R39" s="714" t="s">
        <v>17</v>
      </c>
      <c r="S39" s="715">
        <f t="shared" si="12"/>
        <v>100</v>
      </c>
      <c r="T39" s="714" t="s">
        <v>17</v>
      </c>
      <c r="U39" s="715">
        <f t="shared" si="13"/>
        <v>100</v>
      </c>
      <c r="V39" s="714" t="s">
        <v>17</v>
      </c>
      <c r="W39" s="715">
        <f t="shared" si="14"/>
        <v>100</v>
      </c>
      <c r="X39" s="1539"/>
      <c r="Y39" s="3374"/>
      <c r="Z39" s="1540" t="str">
        <f t="shared" si="15"/>
        <v>层高</v>
      </c>
      <c r="AA39" s="1537">
        <f t="shared" si="3"/>
        <v>1</v>
      </c>
      <c r="AB39" s="1537">
        <f t="shared" si="4"/>
        <v>1</v>
      </c>
      <c r="AC39" s="1537">
        <f t="shared" si="5"/>
        <v>1</v>
      </c>
    </row>
    <row r="40" spans="1:29" ht="15">
      <c r="A40" s="431"/>
      <c r="B40" s="381" t="s">
        <v>2483</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436"/>
      <c r="Q40" s="1536" t="str">
        <f t="shared" si="11"/>
        <v>单套建筑面积</v>
      </c>
      <c r="R40" s="714" t="s">
        <v>17</v>
      </c>
      <c r="S40" s="715">
        <f t="shared" si="12"/>
        <v>100</v>
      </c>
      <c r="T40" s="714" t="s">
        <v>17</v>
      </c>
      <c r="U40" s="715">
        <f t="shared" si="13"/>
        <v>100</v>
      </c>
      <c r="V40" s="714" t="s">
        <v>17</v>
      </c>
      <c r="W40" s="715">
        <f t="shared" si="14"/>
        <v>100</v>
      </c>
      <c r="X40" s="1539"/>
      <c r="Y40" s="3374"/>
      <c r="Z40" s="1540" t="str">
        <f t="shared" si="15"/>
        <v>单套建筑面积</v>
      </c>
      <c r="AA40" s="1537">
        <f t="shared" si="3"/>
        <v>1</v>
      </c>
      <c r="AB40" s="1537">
        <f t="shared" si="4"/>
        <v>1</v>
      </c>
      <c r="AC40" s="1537">
        <f t="shared" si="5"/>
        <v>1</v>
      </c>
    </row>
    <row r="41" spans="1:29" s="430" customFormat="1" ht="15">
      <c r="A41" s="427"/>
      <c r="B41" s="1538" t="s">
        <v>2484</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436"/>
      <c r="Q41" s="716" t="str">
        <f t="shared" si="11"/>
        <v>进深比</v>
      </c>
      <c r="R41" s="717" t="s">
        <v>17</v>
      </c>
      <c r="S41" s="718">
        <f t="shared" si="12"/>
        <v>100</v>
      </c>
      <c r="T41" s="717" t="s">
        <v>17</v>
      </c>
      <c r="U41" s="718">
        <f t="shared" si="13"/>
        <v>100</v>
      </c>
      <c r="V41" s="717" t="s">
        <v>17</v>
      </c>
      <c r="W41" s="718">
        <f t="shared" si="14"/>
        <v>100</v>
      </c>
      <c r="X41" s="719"/>
      <c r="Y41" s="3374"/>
      <c r="Z41" s="720" t="str">
        <f t="shared" si="15"/>
        <v>进深比</v>
      </c>
      <c r="AA41" s="1537">
        <f t="shared" si="3"/>
        <v>1</v>
      </c>
      <c r="AB41" s="1537">
        <f t="shared" si="4"/>
        <v>1</v>
      </c>
      <c r="AC41" s="1537">
        <f t="shared" si="5"/>
        <v>1</v>
      </c>
    </row>
    <row r="42" spans="1:29" ht="15">
      <c r="A42" s="431"/>
      <c r="B42" s="381" t="s">
        <v>2485</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436"/>
      <c r="Q42" s="1536" t="str">
        <f t="shared" si="11"/>
        <v>内部装修</v>
      </c>
      <c r="R42" s="714" t="s">
        <v>17</v>
      </c>
      <c r="S42" s="715">
        <f t="shared" si="12"/>
        <v>100</v>
      </c>
      <c r="T42" s="714" t="s">
        <v>17</v>
      </c>
      <c r="U42" s="715">
        <f t="shared" si="13"/>
        <v>100</v>
      </c>
      <c r="V42" s="714" t="s">
        <v>17</v>
      </c>
      <c r="W42" s="715">
        <f t="shared" si="14"/>
        <v>100</v>
      </c>
      <c r="X42" s="1539"/>
      <c r="Y42" s="3374"/>
      <c r="Z42" s="1540" t="str">
        <f t="shared" si="15"/>
        <v>内部装修</v>
      </c>
      <c r="AA42" s="1537">
        <f t="shared" si="3"/>
        <v>1</v>
      </c>
      <c r="AB42" s="1537">
        <f t="shared" si="4"/>
        <v>1</v>
      </c>
      <c r="AC42" s="1537">
        <f t="shared" si="5"/>
        <v>1</v>
      </c>
    </row>
    <row r="43" spans="1:29" ht="15">
      <c r="A43" s="431"/>
      <c r="B43" s="381" t="s">
        <v>2393</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436"/>
      <c r="Q43" s="1536" t="str">
        <f t="shared" si="11"/>
        <v>内部装修维护情况</v>
      </c>
      <c r="R43" s="714" t="s">
        <v>17</v>
      </c>
      <c r="S43" s="715">
        <f t="shared" si="12"/>
        <v>100</v>
      </c>
      <c r="T43" s="714" t="s">
        <v>17</v>
      </c>
      <c r="U43" s="715">
        <f t="shared" si="13"/>
        <v>100</v>
      </c>
      <c r="V43" s="714" t="s">
        <v>17</v>
      </c>
      <c r="W43" s="715">
        <f t="shared" si="14"/>
        <v>100</v>
      </c>
      <c r="X43" s="1539"/>
      <c r="Y43" s="3374"/>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436"/>
      <c r="Q44" s="1527">
        <f t="shared" si="11"/>
        <v>111</v>
      </c>
      <c r="R44" s="710" t="s">
        <v>17</v>
      </c>
      <c r="S44" s="711">
        <f t="shared" si="12"/>
        <v>100</v>
      </c>
      <c r="T44" s="710" t="s">
        <v>17</v>
      </c>
      <c r="U44" s="711">
        <f t="shared" si="13"/>
        <v>100</v>
      </c>
      <c r="V44" s="710" t="s">
        <v>17</v>
      </c>
      <c r="W44" s="711">
        <f t="shared" si="14"/>
        <v>100</v>
      </c>
      <c r="X44" s="712"/>
      <c r="Y44" s="3374"/>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436"/>
      <c r="Q45" s="1536">
        <f t="shared" si="11"/>
        <v>111</v>
      </c>
      <c r="R45" s="714" t="s">
        <v>17</v>
      </c>
      <c r="S45" s="715">
        <f t="shared" si="12"/>
        <v>100</v>
      </c>
      <c r="T45" s="714" t="s">
        <v>17</v>
      </c>
      <c r="U45" s="715">
        <f t="shared" si="13"/>
        <v>100</v>
      </c>
      <c r="V45" s="714" t="s">
        <v>17</v>
      </c>
      <c r="W45" s="715">
        <f t="shared" si="14"/>
        <v>100</v>
      </c>
      <c r="X45" s="1539"/>
      <c r="Y45" s="3374"/>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437"/>
      <c r="Q46" s="1536">
        <f t="shared" si="11"/>
        <v>111</v>
      </c>
      <c r="R46" s="714" t="s">
        <v>17</v>
      </c>
      <c r="S46" s="715">
        <f t="shared" si="12"/>
        <v>100</v>
      </c>
      <c r="T46" s="714" t="s">
        <v>17</v>
      </c>
      <c r="U46" s="715">
        <f t="shared" si="13"/>
        <v>100</v>
      </c>
      <c r="V46" s="714" t="s">
        <v>17</v>
      </c>
      <c r="W46" s="715">
        <f t="shared" si="14"/>
        <v>100</v>
      </c>
      <c r="X46" s="1539"/>
      <c r="Y46" s="3438"/>
      <c r="Z46" s="1540">
        <f t="shared" si="15"/>
        <v>111</v>
      </c>
      <c r="AA46" s="1537">
        <f t="shared" si="3"/>
        <v>1</v>
      </c>
      <c r="AB46" s="1537">
        <f t="shared" si="4"/>
        <v>1</v>
      </c>
      <c r="AC46" s="1537">
        <f t="shared" si="5"/>
        <v>1</v>
      </c>
    </row>
    <row r="47" spans="1:29" ht="15">
      <c r="A47" s="438" t="s">
        <v>2394</v>
      </c>
      <c r="B47" s="439"/>
      <c r="C47" s="1316" t="s">
        <v>1</v>
      </c>
      <c r="D47" s="1317"/>
      <c r="E47" s="1318"/>
      <c r="F47" s="1319"/>
      <c r="G47" s="1320"/>
      <c r="H47" s="1321"/>
      <c r="I47" s="1318"/>
      <c r="J47" s="1321"/>
      <c r="K47" s="723"/>
      <c r="L47" s="2953"/>
      <c r="M47" s="2954"/>
      <c r="N47" s="2945"/>
      <c r="O47" s="2954"/>
      <c r="P47" s="3369" t="str">
        <f>A47</f>
        <v>成交单价（元/平方米）</v>
      </c>
      <c r="Q47" s="3369"/>
      <c r="R47" s="3375">
        <f>E47</f>
        <v>0</v>
      </c>
      <c r="S47" s="3375"/>
      <c r="T47" s="3375">
        <f>G47</f>
        <v>0</v>
      </c>
      <c r="U47" s="3375"/>
      <c r="V47" s="3375">
        <f>I47</f>
        <v>0</v>
      </c>
      <c r="W47" s="3375"/>
      <c r="X47" s="699"/>
      <c r="Y47" s="721"/>
      <c r="Z47" s="699"/>
      <c r="AA47" s="699"/>
      <c r="AB47" s="699"/>
      <c r="AC47" s="699"/>
    </row>
    <row r="48" spans="1:29" ht="15.75" thickBot="1">
      <c r="A48" s="445" t="s">
        <v>2486</v>
      </c>
      <c r="B48" s="446"/>
      <c r="C48" s="1322" t="e">
        <f>R49</f>
        <v>#DIV/0!</v>
      </c>
      <c r="D48" s="2538" t="s">
        <v>2876</v>
      </c>
      <c r="E48" s="1323" t="e">
        <f>R48</f>
        <v>#DIV/0!</v>
      </c>
      <c r="F48" s="2539"/>
      <c r="G48" s="1322" t="e">
        <f>T48</f>
        <v>#DIV/0!</v>
      </c>
      <c r="H48" s="2539"/>
      <c r="I48" s="1323" t="e">
        <f>V48</f>
        <v>#DIV/0!</v>
      </c>
      <c r="J48" s="2539"/>
      <c r="K48" s="2541">
        <f>F48+H48+J48</f>
        <v>0</v>
      </c>
      <c r="L48" s="2953"/>
      <c r="M48" s="2954"/>
      <c r="N48" s="2945"/>
      <c r="O48" s="2954"/>
      <c r="P48" s="3369" t="str">
        <f>A48</f>
        <v>比较价值（元/平方米）</v>
      </c>
      <c r="Q48" s="3369"/>
      <c r="R48" s="3434" t="e">
        <f>IF(F1="售价",ROUND(PRODUCT(R47,AA7:AA46),0),ROUND(PRODUCT(R47,AA7:AA46),1))</f>
        <v>#DIV/0!</v>
      </c>
      <c r="S48" s="3434"/>
      <c r="T48" s="3434" t="e">
        <f>IF(F1="售价",ROUND(PRODUCT(T47,AB7:AB46),0),ROUND(PRODUCT(T47,AB7:AB46),1))</f>
        <v>#DIV/0!</v>
      </c>
      <c r="U48" s="3434"/>
      <c r="V48" s="3434" t="e">
        <f>IF(F1="售价",ROUND(PRODUCT(V47,AC7:AC46),0),ROUND(PRODUCT(V47,AC7:AC46),1))</f>
        <v>#DIV/0!</v>
      </c>
      <c r="W48" s="3434"/>
      <c r="X48" s="699"/>
      <c r="Y48" s="699"/>
      <c r="Z48" s="699"/>
      <c r="AA48" s="699"/>
      <c r="AB48" s="699"/>
      <c r="AC48" s="699"/>
    </row>
    <row r="49" spans="1:29" ht="15.75" thickBot="1">
      <c r="A49" s="449" t="s">
        <v>2487</v>
      </c>
      <c r="B49" s="450"/>
      <c r="C49" s="1325" t="e">
        <f>R49</f>
        <v>#DIV/0!</v>
      </c>
      <c r="D49" s="1325"/>
      <c r="E49" s="1325"/>
      <c r="F49" s="1325"/>
      <c r="G49" s="1325"/>
      <c r="H49" s="1325"/>
      <c r="I49" s="1325"/>
      <c r="J49" s="1325"/>
      <c r="K49" s="724"/>
      <c r="L49" s="2953"/>
      <c r="M49" s="2954"/>
      <c r="N49" s="2945"/>
      <c r="O49" s="2954"/>
      <c r="P49" s="3363" t="str">
        <f>A49</f>
        <v>估价对象XX用房的比较价值（楼面单价，元/平方米）</v>
      </c>
      <c r="Q49" s="3364"/>
      <c r="R49" s="3433" t="e">
        <f>IF(F1="售价",ROUND(IF(D48="简单平均",AVERAGE(R48:V48),R48*F48+T48*H48+V48*J48),0),ROUND(IF(D48="简单平均",AVERAGE(R48:V48),R48*F48+T48*H48+V48*J48),1))</f>
        <v>#DIV/0!</v>
      </c>
      <c r="S49" s="3433"/>
      <c r="T49" s="3433"/>
      <c r="U49" s="3433"/>
      <c r="V49" s="3433"/>
      <c r="W49" s="3433"/>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2488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2489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2491</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2365</v>
      </c>
      <c r="B58" s="463"/>
      <c r="C58" s="1346" t="str">
        <f>YEAR(C7)&amp;"-"&amp;MONTH(C7)</f>
        <v>2021-12</v>
      </c>
      <c r="D58" s="1347">
        <f>EDATE(C58,-1)</f>
        <v>44501</v>
      </c>
      <c r="E58" s="1347">
        <f t="shared" ref="E58:N58" si="16">EDATE(D58,-1)</f>
        <v>44470</v>
      </c>
      <c r="F58" s="1347">
        <f t="shared" si="16"/>
        <v>44440</v>
      </c>
      <c r="G58" s="1347">
        <f t="shared" si="16"/>
        <v>44409</v>
      </c>
      <c r="H58" s="1347">
        <f t="shared" si="16"/>
        <v>44378</v>
      </c>
      <c r="I58" s="1347">
        <f t="shared" si="16"/>
        <v>44348</v>
      </c>
      <c r="J58" s="1347">
        <f t="shared" si="16"/>
        <v>44317</v>
      </c>
      <c r="K58" s="1347">
        <f t="shared" si="16"/>
        <v>44287</v>
      </c>
      <c r="L58" s="1347">
        <f t="shared" si="16"/>
        <v>44256</v>
      </c>
      <c r="M58" s="1347">
        <f t="shared" si="16"/>
        <v>44228</v>
      </c>
      <c r="N58" s="1347">
        <f t="shared" si="16"/>
        <v>44197</v>
      </c>
      <c r="O58" s="1347">
        <f>EDATE(N58,-1)</f>
        <v>44166</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2402</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2367</v>
      </c>
      <c r="B61" s="467"/>
      <c r="C61" s="479" t="s">
        <v>2469</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2405</v>
      </c>
      <c r="B63" s="485" t="s">
        <v>2371</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2374</v>
      </c>
      <c r="C65" s="496" t="s">
        <v>2406</v>
      </c>
      <c r="D65" s="496" t="s">
        <v>2407</v>
      </c>
      <c r="E65" s="496" t="s">
        <v>2408</v>
      </c>
      <c r="F65" s="496" t="s">
        <v>2409</v>
      </c>
      <c r="G65" s="496" t="s">
        <v>2410</v>
      </c>
      <c r="H65" s="496" t="s">
        <v>2411</v>
      </c>
      <c r="I65" s="496" t="s">
        <v>2412</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2375</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2376</v>
      </c>
      <c r="B76" s="485" t="s">
        <v>2413</v>
      </c>
      <c r="C76" s="530" t="s">
        <v>2414</v>
      </c>
      <c r="D76" s="530" t="s">
        <v>2415</v>
      </c>
      <c r="E76" s="530" t="s">
        <v>2416</v>
      </c>
      <c r="F76" s="530" t="s">
        <v>2417</v>
      </c>
      <c r="G76" s="530" t="s">
        <v>2418</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2419</v>
      </c>
      <c r="C78" s="535" t="s">
        <v>2414</v>
      </c>
      <c r="D78" s="535" t="s">
        <v>2415</v>
      </c>
      <c r="E78" s="535" t="s">
        <v>2416</v>
      </c>
      <c r="F78" s="535" t="s">
        <v>2417</v>
      </c>
      <c r="G78" s="535" t="s">
        <v>2418</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2420</v>
      </c>
      <c r="C80" s="535" t="s">
        <v>2414</v>
      </c>
      <c r="D80" s="535" t="s">
        <v>2415</v>
      </c>
      <c r="E80" s="535" t="s">
        <v>2416</v>
      </c>
      <c r="F80" s="535" t="s">
        <v>2417</v>
      </c>
      <c r="G80" s="535" t="s">
        <v>2418</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2472</v>
      </c>
      <c r="C82" s="616" t="s">
        <v>2492</v>
      </c>
      <c r="D82" s="616" t="s">
        <v>2493</v>
      </c>
      <c r="E82" s="616" t="s">
        <v>2494</v>
      </c>
      <c r="F82" s="616" t="s">
        <v>2495</v>
      </c>
      <c r="G82" s="616" t="s">
        <v>2496</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2426</v>
      </c>
      <c r="C84" s="535" t="s">
        <v>2414</v>
      </c>
      <c r="D84" s="535" t="s">
        <v>2415</v>
      </c>
      <c r="E84" s="535" t="s">
        <v>2416</v>
      </c>
      <c r="F84" s="535" t="s">
        <v>2417</v>
      </c>
      <c r="G84" s="535" t="s">
        <v>2418</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2497</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2380</v>
      </c>
      <c r="B100" s="485" t="s">
        <v>2498</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2430</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2431</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2433</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1872</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2435</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2499</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2500</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2501</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2502</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2437</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2438</v>
      </c>
      <c r="C124" s="535" t="s">
        <v>2414</v>
      </c>
      <c r="D124" s="535" t="s">
        <v>2415</v>
      </c>
      <c r="E124" s="535" t="s">
        <v>2416</v>
      </c>
      <c r="F124" s="535" t="s">
        <v>2417</v>
      </c>
      <c r="G124" s="535" t="s">
        <v>2418</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4" priority="21" stopIfTrue="1" operator="containsText" text="超过">
      <formula>NOT(ISERROR(SEARCH("超过",F52)))</formula>
    </cfRule>
  </conditionalFormatting>
  <conditionalFormatting sqref="H54">
    <cfRule type="containsText" dxfId="133" priority="19" stopIfTrue="1" operator="containsText" text="超过">
      <formula>NOT(ISERROR(SEARCH("超过",H54)))</formula>
    </cfRule>
  </conditionalFormatting>
  <conditionalFormatting sqref="F54">
    <cfRule type="containsText" dxfId="132" priority="18" stopIfTrue="1" operator="containsText" text="超过">
      <formula>NOT(ISERROR(SEARCH("超过",F54)))</formula>
    </cfRule>
  </conditionalFormatting>
  <conditionalFormatting sqref="F53 H53">
    <cfRule type="containsText" dxfId="131" priority="17" stopIfTrue="1" operator="containsText" text="超过">
      <formula>NOT(ISERROR(SEARCH("超过",F53)))</formula>
    </cfRule>
  </conditionalFormatting>
  <conditionalFormatting sqref="E52">
    <cfRule type="expression" dxfId="130" priority="16" stopIfTrue="1">
      <formula>$F$52="超过30%"</formula>
    </cfRule>
  </conditionalFormatting>
  <conditionalFormatting sqref="E53">
    <cfRule type="expression" dxfId="129" priority="15" stopIfTrue="1">
      <formula>$F$53="超过20%"</formula>
    </cfRule>
  </conditionalFormatting>
  <conditionalFormatting sqref="E54">
    <cfRule type="expression" dxfId="128" priority="14" stopIfTrue="1">
      <formula>$F$54="超过30%"</formula>
    </cfRule>
  </conditionalFormatting>
  <conditionalFormatting sqref="G54">
    <cfRule type="expression" dxfId="127" priority="13" stopIfTrue="1">
      <formula>$H$54="超过30%"</formula>
    </cfRule>
  </conditionalFormatting>
  <conditionalFormatting sqref="G52">
    <cfRule type="expression" dxfId="126" priority="12" stopIfTrue="1">
      <formula>$H$52="超过30%"</formula>
    </cfRule>
  </conditionalFormatting>
  <conditionalFormatting sqref="G53">
    <cfRule type="expression" dxfId="125" priority="11" stopIfTrue="1">
      <formula>$H$53="超过20%"</formula>
    </cfRule>
  </conditionalFormatting>
  <conditionalFormatting sqref="J52">
    <cfRule type="containsText" dxfId="124" priority="10" stopIfTrue="1" operator="containsText" text="超过">
      <formula>NOT(ISERROR(SEARCH("超过",J52)))</formula>
    </cfRule>
  </conditionalFormatting>
  <conditionalFormatting sqref="J54">
    <cfRule type="containsText" dxfId="123" priority="9" stopIfTrue="1" operator="containsText" text="超过">
      <formula>NOT(ISERROR(SEARCH("超过",J54)))</formula>
    </cfRule>
  </conditionalFormatting>
  <conditionalFormatting sqref="J53">
    <cfRule type="containsText" dxfId="122" priority="8" stopIfTrue="1" operator="containsText" text="超过">
      <formula>NOT(ISERROR(SEARCH("超过",J53)))</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5">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43 E43 G43 I43" xr:uid="{00000000-0002-0000-1C00-000002000000}">
      <formula1>内部装修维护情况</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E18 G18 I18 C18" xr:uid="{00000000-0002-0000-1C00-000004000000}">
      <formula1>交通便捷度</formula1>
    </dataValidation>
    <dataValidation type="list" allowBlank="1" showInputMessage="1" showErrorMessage="1" sqref="E24 G24 I24 C24" xr:uid="{00000000-0002-0000-1C00-000005000000}">
      <formula1>环境</formula1>
    </dataValidation>
    <dataValidation type="list" allowBlank="1" showInputMessage="1" showErrorMessage="1" sqref="C25 E25 G25 I25" xr:uid="{00000000-0002-0000-1C00-000006000000}">
      <formula1>商业临街状况</formula1>
    </dataValidation>
    <dataValidation type="list" allowBlank="1" showInputMessage="1" showErrorMessage="1" sqref="C27 E27 G27 I27" xr:uid="{00000000-0002-0000-1C00-000007000000}">
      <formula1>商业人流量</formula1>
    </dataValidation>
    <dataValidation type="list" allowBlank="1" showInputMessage="1" showErrorMessage="1" sqref="C28 E28 G28 I28" xr:uid="{00000000-0002-0000-1C00-000008000000}">
      <formula1>商业楼层</formula1>
    </dataValidation>
    <dataValidation type="list" allowBlank="1" showInputMessage="1" showErrorMessage="1" sqref="C32 E32 G32 I32" xr:uid="{00000000-0002-0000-1C00-000009000000}">
      <formula1>商业类型</formula1>
    </dataValidation>
    <dataValidation type="list" allowBlank="1" showInputMessage="1" showErrorMessage="1" sqref="C34 E34 G34 I34" xr:uid="{00000000-0002-0000-1C00-00000A000000}">
      <formula1>商业建筑结构</formula1>
    </dataValidation>
    <dataValidation type="list" allowBlank="1" showInputMessage="1" showErrorMessage="1" sqref="C35 E35 G35 I35" xr:uid="{00000000-0002-0000-1C00-00000B000000}">
      <formula1>商业公共部分装修</formula1>
    </dataValidation>
    <dataValidation type="list" allowBlank="1" showInputMessage="1" showErrorMessage="1" sqref="C37 E37 G37 I37" xr:uid="{00000000-0002-0000-1C00-00000C000000}">
      <formula1>商业基础设施水平</formula1>
    </dataValidation>
    <dataValidation type="list" allowBlank="1" showInputMessage="1" showErrorMessage="1" sqref="C41 E41 G41 I41" xr:uid="{00000000-0002-0000-1C00-00000D000000}">
      <formula1>商业进深比</formula1>
    </dataValidation>
    <dataValidation type="list" allowBlank="1" showInputMessage="1" showErrorMessage="1" sqref="C42 E42 G42 I42" xr:uid="{00000000-0002-0000-1C00-00000E000000}">
      <formula1>商业内部装修</formula1>
    </dataValidation>
    <dataValidation type="list" allowBlank="1" showInputMessage="1" showErrorMessage="1" sqref="E9 G9 I9" xr:uid="{00000000-0002-0000-1C00-00000F000000}">
      <formula1>商业用途</formula1>
    </dataValidation>
    <dataValidation type="list" allowBlank="1" showInputMessage="1" showErrorMessage="1" sqref="C38 E38 G38 I38" xr:uid="{00000000-0002-0000-1C00-000010000000}">
      <formula1>商业业态</formula1>
    </dataValidation>
    <dataValidation type="list" allowBlank="1" showInputMessage="1" showErrorMessage="1" sqref="C39 E39 G39 I39" xr:uid="{00000000-0002-0000-1C00-000011000000}">
      <formula1>商业层高</formula1>
    </dataValidation>
    <dataValidation type="list" allowBlank="1" showInputMessage="1" showErrorMessage="1" sqref="C8 E8 G8 I8" xr:uid="{00000000-0002-0000-1C00-000012000000}">
      <formula1>商业交易情况</formula1>
    </dataValidation>
    <dataValidation type="list" allowBlank="1" showInputMessage="1" showErrorMessage="1" sqref="C16 E16 G16 I16" xr:uid="{00000000-0002-0000-1C00-000013000000}">
      <formula1>商业繁华度</formula1>
    </dataValidation>
    <dataValidation type="list" allowBlank="1" showInputMessage="1" showErrorMessage="1" sqref="C22 E22 G22 I22" xr:uid="{00000000-0002-0000-1C00-000014000000}">
      <formula1>基础设施水平</formula1>
    </dataValidation>
    <dataValidation type="list" allowBlank="1" showInputMessage="1" showErrorMessage="1" sqref="F1" xr:uid="{00000000-0002-0000-1C00-000015000000}">
      <formula1>"售价,租金"</formula1>
    </dataValidation>
    <dataValidation type="list" allowBlank="1" showInputMessage="1" showErrorMessage="1" sqref="C2" xr:uid="{00000000-0002-0000-1C00-000016000000}">
      <formula1>"需扣减承租人权益,——"</formula1>
    </dataValidation>
    <dataValidation type="list" allowBlank="1" showInputMessage="1" showErrorMessage="1" sqref="F2" xr:uid="{00000000-0002-0000-1C00-000017000000}">
      <formula1>估价方法</formula1>
    </dataValidation>
    <dataValidation type="list" allowBlank="1" showInputMessage="1" showErrorMessage="1" sqref="D48" xr:uid="{00000000-0002-0000-1C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1572</v>
      </c>
    </row>
    <row r="2" spans="1:1">
      <c r="A2" s="1663"/>
    </row>
    <row r="3" spans="1:1" ht="18">
      <c r="A3" s="1664" t="str">
        <f>项目基本情况!B5&amp;"："</f>
        <v>：</v>
      </c>
    </row>
    <row r="4" spans="1:1" ht="18">
      <c r="A4" s="1665" t="str">
        <f>"受贵公司委托，我公司对"&amp;项目基本情况!S1&amp;"进行了预评估。"</f>
        <v>受贵公司委托，我公司对房地产抵押价值进行了预评估。</v>
      </c>
    </row>
    <row r="5" spans="1:1" ht="18.75">
      <c r="A5" s="1666" t="s">
        <v>1573</v>
      </c>
    </row>
    <row r="6" spans="1:1" ht="18.75">
      <c r="A6" s="1667" t="s">
        <v>1574</v>
      </c>
    </row>
    <row r="7" spans="1:1" ht="36">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估价对象为房地产，为所有。根据《国有土地使用证》[]，估价对象（分摊）出让国有建设用地使用权面积为131807平方米，建筑面积为93605.4平方米。</v>
      </c>
    </row>
    <row r="8" spans="1:1" ht="57.75">
      <c r="A8" s="1668" t="s">
        <v>1575</v>
      </c>
    </row>
    <row r="9" spans="1:1" ht="18.75">
      <c r="A9" s="1667" t="s">
        <v>1576</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估价对象为房地产,属开发建设的，该项目尚在开发建设中。根据《国有土地使用证》[]，估价对象（分摊）出让国有建设用地使用权面积为131807平方米，规划建筑面积为93605.4平方米。</v>
      </c>
    </row>
    <row r="11" spans="1:1" ht="76.5">
      <c r="A11" s="1668" t="s">
        <v>1577</v>
      </c>
    </row>
    <row r="12" spans="1:1" ht="18.75">
      <c r="A12" s="1666" t="s">
        <v>1578</v>
      </c>
    </row>
    <row r="13" spans="1:1" ht="38.25" customHeight="1">
      <c r="A13" s="166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1579</v>
      </c>
    </row>
    <row r="15" spans="1:1" ht="18">
      <c r="A15" s="1671" t="str">
        <f>TEXT(项目基本情况!D3,"yyyy年m月d日;;")&amp;IF(项目基本情况!D3=项目基本情况!B3,"（评估专业人员实地查勘之日）","")</f>
        <v>2021年12月25日</v>
      </c>
    </row>
    <row r="16" spans="1:1" ht="18.75">
      <c r="A16" s="1670" t="s">
        <v>1580</v>
      </c>
    </row>
    <row r="17" spans="1:1" ht="75">
      <c r="A17" s="1665" t="s">
        <v>1581</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25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1570</v>
      </c>
    </row>
    <row r="24" spans="1:1" ht="18">
      <c r="A24" s="1672" t="str">
        <f>"本次评估采用的主估价方法为"&amp;结果表!K4&amp;"和"&amp;结果表!L4&amp;"。"</f>
        <v>本次评估采用的主估价方法为成本法和收益法。</v>
      </c>
    </row>
    <row r="25" spans="1:1" ht="18">
      <c r="A25" s="1672"/>
    </row>
    <row r="26" spans="1:1" ht="18.75">
      <c r="A26" s="1673" t="s">
        <v>1571</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2345</v>
      </c>
      <c r="B1" s="2143" t="s">
        <v>2503</v>
      </c>
      <c r="C1" s="1392" t="s">
        <v>2347</v>
      </c>
      <c r="D1" s="1393"/>
      <c r="E1" s="1402"/>
      <c r="F1" s="2065"/>
      <c r="G1" s="1403" t="s">
        <v>2460</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2144</v>
      </c>
      <c r="B2" s="1326" t="e">
        <f ca="1">IF(C2="——",ROUND(C50*D3/10000,0),ROUND(C50*D3/10000,0)-D2)</f>
        <v>#DIV/0!</v>
      </c>
      <c r="C2" s="2067"/>
      <c r="D2" s="1275" t="e">
        <f ca="1">SUMIF(INDIRECT("'"&amp;F2&amp;"'"&amp;"!A:A"),"承租人权益价值",INDIRECT("'"&amp;F2&amp;"'"&amp;"!c:c"))</f>
        <v>#REF!</v>
      </c>
      <c r="E2" s="2068" t="s">
        <v>2145</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2146</v>
      </c>
      <c r="B3" s="566" t="e">
        <f ca="1">IF(C2="——",C50,ROUND(B2*10000/D3,0))</f>
        <v>#DIV/0!</v>
      </c>
      <c r="C3" s="360" t="s">
        <v>2461</v>
      </c>
      <c r="D3" s="359">
        <f>IF(D1="",'数据-汇总表'!E3,SUMIF('数据-汇总表'!$C19:$C33,D1,'数据-汇总表'!$E19:$E33))</f>
        <v>93605.4</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2462</v>
      </c>
      <c r="B4" s="362"/>
      <c r="C4" s="3366" t="s">
        <v>2463</v>
      </c>
      <c r="D4" s="3379"/>
      <c r="E4" s="3380" t="s">
        <v>2464</v>
      </c>
      <c r="F4" s="3381"/>
      <c r="G4" s="3366" t="s">
        <v>2465</v>
      </c>
      <c r="H4" s="3379"/>
      <c r="I4" s="3366" t="s">
        <v>2466</v>
      </c>
      <c r="J4" s="3379"/>
      <c r="K4" s="567" t="s">
        <v>2467</v>
      </c>
      <c r="L4" s="2944"/>
      <c r="M4" s="2945"/>
      <c r="N4" s="2945"/>
      <c r="O4" s="2945"/>
      <c r="P4" s="3447" t="s">
        <v>2468</v>
      </c>
      <c r="Q4" s="3448"/>
      <c r="R4" s="3451" t="s">
        <v>2464</v>
      </c>
      <c r="S4" s="3452"/>
      <c r="T4" s="3451" t="s">
        <v>2465</v>
      </c>
      <c r="U4" s="3452"/>
      <c r="V4" s="3453" t="s">
        <v>2466</v>
      </c>
      <c r="W4" s="3453"/>
      <c r="X4" s="2144"/>
      <c r="Y4" s="3451" t="s">
        <v>2468</v>
      </c>
      <c r="Z4" s="3452"/>
      <c r="AA4" s="3455" t="s">
        <v>2464</v>
      </c>
      <c r="AB4" s="3455" t="s">
        <v>2465</v>
      </c>
      <c r="AC4" s="3444" t="s">
        <v>2466</v>
      </c>
    </row>
    <row r="5" spans="1:29" ht="15">
      <c r="A5" s="364"/>
      <c r="B5" s="365"/>
      <c r="C5" s="3396" t="s">
        <v>2359</v>
      </c>
      <c r="D5" s="3397"/>
      <c r="E5" s="3403" t="s">
        <v>2360</v>
      </c>
      <c r="F5" s="3404"/>
      <c r="G5" s="3396" t="s">
        <v>2361</v>
      </c>
      <c r="H5" s="3397"/>
      <c r="I5" s="3396" t="s">
        <v>2362</v>
      </c>
      <c r="J5" s="3397"/>
      <c r="K5" s="567"/>
      <c r="L5" s="2944"/>
      <c r="M5" s="2945"/>
      <c r="N5" s="2945"/>
      <c r="O5" s="2945"/>
      <c r="P5" s="3449"/>
      <c r="Q5" s="3385"/>
      <c r="R5" s="3390"/>
      <c r="S5" s="3391"/>
      <c r="T5" s="3390"/>
      <c r="U5" s="3391"/>
      <c r="V5" s="3375"/>
      <c r="W5" s="3375"/>
      <c r="X5" s="1539"/>
      <c r="Y5" s="3390"/>
      <c r="Z5" s="3391"/>
      <c r="AA5" s="3377"/>
      <c r="AB5" s="3377"/>
      <c r="AC5" s="3445"/>
    </row>
    <row r="6" spans="1:29" ht="15.75" thickBot="1">
      <c r="A6" s="366"/>
      <c r="B6" s="367"/>
      <c r="C6" s="3394" t="s">
        <v>2363</v>
      </c>
      <c r="D6" s="3395"/>
      <c r="E6" s="3401" t="s">
        <v>2363</v>
      </c>
      <c r="F6" s="3402"/>
      <c r="G6" s="3394" t="s">
        <v>2363</v>
      </c>
      <c r="H6" s="3395"/>
      <c r="I6" s="3394" t="s">
        <v>2363</v>
      </c>
      <c r="J6" s="3395"/>
      <c r="K6" s="567" t="s">
        <v>2364</v>
      </c>
      <c r="L6" s="2944"/>
      <c r="M6" s="2945"/>
      <c r="N6" s="2945"/>
      <c r="O6" s="2945"/>
      <c r="P6" s="3450"/>
      <c r="Q6" s="3387"/>
      <c r="R6" s="3390"/>
      <c r="S6" s="3391"/>
      <c r="T6" s="3392"/>
      <c r="U6" s="3393"/>
      <c r="V6" s="3375"/>
      <c r="W6" s="3375"/>
      <c r="X6" s="1539"/>
      <c r="Y6" s="3392"/>
      <c r="Z6" s="3393"/>
      <c r="AA6" s="3378"/>
      <c r="AB6" s="3378"/>
      <c r="AC6" s="3446"/>
    </row>
    <row r="7" spans="1:29" s="113" customFormat="1" ht="15.75" thickBot="1">
      <c r="A7" s="368" t="s">
        <v>2365</v>
      </c>
      <c r="B7" s="369"/>
      <c r="C7" s="370">
        <f>'数据-取费表'!B2</f>
        <v>44555</v>
      </c>
      <c r="D7" s="371">
        <v>100</v>
      </c>
      <c r="E7" s="372"/>
      <c r="F7" s="373">
        <f>SUMIF(59:59,YEAR(E7)&amp;"-"&amp;MONTH(E7),60:60)</f>
        <v>0</v>
      </c>
      <c r="G7" s="372"/>
      <c r="H7" s="371">
        <f>SUMIF(59:59,YEAR(G7)&amp;"-"&amp;MONTH(G7),60:60)</f>
        <v>0</v>
      </c>
      <c r="I7" s="372"/>
      <c r="J7" s="371">
        <f>SUMIF(59:59,YEAR(I7)&amp;"-"&amp;MONTH(I7),60:60)</f>
        <v>0</v>
      </c>
      <c r="K7" s="568"/>
      <c r="L7" s="2946"/>
      <c r="M7" s="2947"/>
      <c r="N7" s="2947"/>
      <c r="O7" s="2947"/>
      <c r="P7" s="3454" t="s">
        <v>2366</v>
      </c>
      <c r="Q7" s="3400"/>
      <c r="R7" s="710" t="s">
        <v>17</v>
      </c>
      <c r="S7" s="711">
        <f t="shared" ref="S7:S15" si="0">F7</f>
        <v>0</v>
      </c>
      <c r="T7" s="710" t="s">
        <v>17</v>
      </c>
      <c r="U7" s="711">
        <f t="shared" ref="U7:U15" si="1">H7</f>
        <v>0</v>
      </c>
      <c r="V7" s="710" t="s">
        <v>17</v>
      </c>
      <c r="W7" s="711">
        <f t="shared" ref="W7:W15" si="2">J7</f>
        <v>0</v>
      </c>
      <c r="X7" s="712"/>
      <c r="Y7" s="3398" t="s">
        <v>2366</v>
      </c>
      <c r="Z7" s="3399"/>
      <c r="AA7" s="713" t="e">
        <f>D7/F7</f>
        <v>#DIV/0!</v>
      </c>
      <c r="AB7" s="713" t="e">
        <f>D7/H7</f>
        <v>#DIV/0!</v>
      </c>
      <c r="AC7" s="2145" t="e">
        <f>D7/J7</f>
        <v>#DIV/0!</v>
      </c>
    </row>
    <row r="8" spans="1:29" s="113" customFormat="1" ht="15.75" thickBot="1">
      <c r="A8" s="368" t="s">
        <v>2367</v>
      </c>
      <c r="B8" s="369"/>
      <c r="C8" s="374" t="s">
        <v>2469</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3454" t="s">
        <v>2369</v>
      </c>
      <c r="Q8" s="3399"/>
      <c r="R8" s="710" t="s">
        <v>17</v>
      </c>
      <c r="S8" s="711">
        <f t="shared" si="0"/>
        <v>0</v>
      </c>
      <c r="T8" s="710" t="s">
        <v>17</v>
      </c>
      <c r="U8" s="711">
        <f t="shared" si="1"/>
        <v>0</v>
      </c>
      <c r="V8" s="710" t="s">
        <v>17</v>
      </c>
      <c r="W8" s="711">
        <f t="shared" si="2"/>
        <v>0</v>
      </c>
      <c r="X8" s="712"/>
      <c r="Y8" s="3398" t="s">
        <v>2369</v>
      </c>
      <c r="Z8" s="3399"/>
      <c r="AA8" s="713" t="e">
        <f t="shared" ref="AA8:AA47" si="3">D8/F8</f>
        <v>#DIV/0!</v>
      </c>
      <c r="AB8" s="713" t="e">
        <f t="shared" ref="AB8:AB47" si="4">D8/H8</f>
        <v>#DIV/0!</v>
      </c>
      <c r="AC8" s="2145" t="e">
        <f t="shared" ref="AC8:AC47" si="5">D8/J8</f>
        <v>#DIV/0!</v>
      </c>
    </row>
    <row r="9" spans="1:29" s="113" customFormat="1">
      <c r="A9" s="375" t="s">
        <v>2370</v>
      </c>
      <c r="B9" s="67" t="s">
        <v>2371</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368" t="s">
        <v>2372</v>
      </c>
      <c r="Q9" s="1527" t="str">
        <f t="shared" ref="Q9:Q15" si="6">B9</f>
        <v>用途</v>
      </c>
      <c r="R9" s="710" t="s">
        <v>17</v>
      </c>
      <c r="S9" s="711">
        <f t="shared" si="0"/>
        <v>100</v>
      </c>
      <c r="T9" s="710" t="s">
        <v>17</v>
      </c>
      <c r="U9" s="711">
        <f t="shared" si="1"/>
        <v>100</v>
      </c>
      <c r="V9" s="710" t="s">
        <v>17</v>
      </c>
      <c r="W9" s="711">
        <f t="shared" si="2"/>
        <v>100</v>
      </c>
      <c r="X9" s="712"/>
      <c r="Y9" s="3263" t="s">
        <v>2373</v>
      </c>
      <c r="Z9" s="55" t="str">
        <f t="shared" ref="Z9:Z15" si="7">Q9</f>
        <v>用途</v>
      </c>
      <c r="AA9" s="713">
        <f t="shared" si="3"/>
        <v>1</v>
      </c>
      <c r="AB9" s="713">
        <f t="shared" si="4"/>
        <v>1</v>
      </c>
      <c r="AC9" s="2145">
        <f t="shared" si="5"/>
        <v>1</v>
      </c>
    </row>
    <row r="10" spans="1:29" s="386" customFormat="1" ht="27">
      <c r="A10" s="380"/>
      <c r="B10" s="381" t="s">
        <v>2374</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368"/>
      <c r="Q10" s="1527" t="str">
        <f t="shared" si="6"/>
        <v>土地使用年限（年）</v>
      </c>
      <c r="R10" s="710" t="s">
        <v>17</v>
      </c>
      <c r="S10" s="711">
        <f t="shared" si="0"/>
        <v>100</v>
      </c>
      <c r="T10" s="710" t="s">
        <v>17</v>
      </c>
      <c r="U10" s="711">
        <f t="shared" si="1"/>
        <v>100</v>
      </c>
      <c r="V10" s="710" t="s">
        <v>17</v>
      </c>
      <c r="W10" s="711">
        <f t="shared" si="2"/>
        <v>100</v>
      </c>
      <c r="X10" s="712"/>
      <c r="Y10" s="3263"/>
      <c r="Z10" s="55" t="str">
        <f t="shared" si="7"/>
        <v>土地使用年限（年）</v>
      </c>
      <c r="AA10" s="713">
        <f t="shared" si="3"/>
        <v>1</v>
      </c>
      <c r="AB10" s="713">
        <f t="shared" si="4"/>
        <v>1</v>
      </c>
      <c r="AC10" s="2145">
        <f t="shared" si="5"/>
        <v>1</v>
      </c>
    </row>
    <row r="11" spans="1:29" ht="15">
      <c r="A11" s="387"/>
      <c r="B11" s="381" t="s">
        <v>2375</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368"/>
      <c r="Q11" s="1527" t="str">
        <f t="shared" si="6"/>
        <v>容积率</v>
      </c>
      <c r="R11" s="710" t="s">
        <v>17</v>
      </c>
      <c r="S11" s="711" t="e">
        <f t="shared" si="0"/>
        <v>#N/A</v>
      </c>
      <c r="T11" s="710" t="s">
        <v>17</v>
      </c>
      <c r="U11" s="711" t="e">
        <f t="shared" si="1"/>
        <v>#N/A</v>
      </c>
      <c r="V11" s="710" t="s">
        <v>17</v>
      </c>
      <c r="W11" s="711" t="e">
        <f t="shared" si="2"/>
        <v>#N/A</v>
      </c>
      <c r="X11" s="712"/>
      <c r="Y11" s="3263"/>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368"/>
      <c r="Q12" s="1527">
        <f t="shared" si="6"/>
        <v>111</v>
      </c>
      <c r="R12" s="710" t="s">
        <v>17</v>
      </c>
      <c r="S12" s="711">
        <f t="shared" si="0"/>
        <v>100</v>
      </c>
      <c r="T12" s="710" t="s">
        <v>17</v>
      </c>
      <c r="U12" s="711">
        <f t="shared" si="1"/>
        <v>100</v>
      </c>
      <c r="V12" s="710" t="s">
        <v>17</v>
      </c>
      <c r="W12" s="711">
        <f t="shared" si="2"/>
        <v>100</v>
      </c>
      <c r="X12" s="712"/>
      <c r="Y12" s="3263"/>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368"/>
      <c r="Q13" s="1527">
        <f t="shared" si="6"/>
        <v>111</v>
      </c>
      <c r="R13" s="710" t="s">
        <v>17</v>
      </c>
      <c r="S13" s="711">
        <f t="shared" si="0"/>
        <v>100</v>
      </c>
      <c r="T13" s="710" t="s">
        <v>17</v>
      </c>
      <c r="U13" s="711">
        <f t="shared" si="1"/>
        <v>100</v>
      </c>
      <c r="V13" s="710" t="s">
        <v>17</v>
      </c>
      <c r="W13" s="711">
        <f t="shared" si="2"/>
        <v>100</v>
      </c>
      <c r="X13" s="712"/>
      <c r="Y13" s="3263"/>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368"/>
      <c r="Q14" s="1527">
        <f t="shared" si="6"/>
        <v>111</v>
      </c>
      <c r="R14" s="710" t="s">
        <v>17</v>
      </c>
      <c r="S14" s="711">
        <f t="shared" si="0"/>
        <v>100</v>
      </c>
      <c r="T14" s="710" t="s">
        <v>17</v>
      </c>
      <c r="U14" s="711">
        <f t="shared" si="1"/>
        <v>100</v>
      </c>
      <c r="V14" s="710" t="s">
        <v>17</v>
      </c>
      <c r="W14" s="711">
        <f t="shared" si="2"/>
        <v>100</v>
      </c>
      <c r="X14" s="712"/>
      <c r="Y14" s="3263"/>
      <c r="Z14" s="55">
        <f t="shared" si="7"/>
        <v>111</v>
      </c>
      <c r="AA14" s="713">
        <f t="shared" si="3"/>
        <v>1</v>
      </c>
      <c r="AB14" s="713">
        <f t="shared" si="4"/>
        <v>1</v>
      </c>
      <c r="AC14" s="2145">
        <f t="shared" si="5"/>
        <v>1</v>
      </c>
    </row>
    <row r="15" spans="1:29" ht="71.25">
      <c r="A15" s="399" t="s">
        <v>2376</v>
      </c>
      <c r="B15" s="585" t="s">
        <v>2504</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439" t="s">
        <v>2377</v>
      </c>
      <c r="Q15" s="1536" t="str">
        <f t="shared" si="6"/>
        <v>办公集聚程度</v>
      </c>
      <c r="R15" s="714" t="s">
        <v>17</v>
      </c>
      <c r="S15" s="715">
        <f t="shared" si="0"/>
        <v>100</v>
      </c>
      <c r="T15" s="714" t="s">
        <v>17</v>
      </c>
      <c r="U15" s="715">
        <f t="shared" si="1"/>
        <v>100</v>
      </c>
      <c r="V15" s="714" t="s">
        <v>17</v>
      </c>
      <c r="W15" s="715">
        <f t="shared" si="2"/>
        <v>100</v>
      </c>
      <c r="X15" s="1539"/>
      <c r="Y15" s="3371" t="s">
        <v>2377</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51"/>
      <c r="M16" s="2945"/>
      <c r="N16" s="2945"/>
      <c r="O16" s="2945"/>
      <c r="P16" s="3440"/>
      <c r="Q16" s="1536"/>
      <c r="R16" s="714"/>
      <c r="S16" s="715"/>
      <c r="T16" s="714"/>
      <c r="U16" s="715"/>
      <c r="V16" s="714"/>
      <c r="W16" s="715"/>
      <c r="X16" s="1539"/>
      <c r="Y16" s="3372"/>
      <c r="Z16" s="1540"/>
      <c r="AA16" s="1537">
        <v>1</v>
      </c>
      <c r="AB16" s="1537">
        <v>1</v>
      </c>
      <c r="AC16" s="2148">
        <v>1</v>
      </c>
    </row>
    <row r="17" spans="1:29" ht="71.25">
      <c r="A17" s="387"/>
      <c r="B17" s="587" t="s">
        <v>1941</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440"/>
      <c r="Q17" s="1536" t="str">
        <f>B17</f>
        <v>交通便捷度</v>
      </c>
      <c r="R17" s="714" t="s">
        <v>17</v>
      </c>
      <c r="S17" s="715">
        <f>F17</f>
        <v>100</v>
      </c>
      <c r="T17" s="714" t="s">
        <v>17</v>
      </c>
      <c r="U17" s="715">
        <f>H17</f>
        <v>100</v>
      </c>
      <c r="V17" s="714" t="s">
        <v>17</v>
      </c>
      <c r="W17" s="715">
        <f>J17</f>
        <v>100</v>
      </c>
      <c r="X17" s="1539"/>
      <c r="Y17" s="3372"/>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51"/>
      <c r="M18" s="2945"/>
      <c r="N18" s="2945"/>
      <c r="O18" s="2945"/>
      <c r="P18" s="3440"/>
      <c r="Q18" s="1536"/>
      <c r="R18" s="714"/>
      <c r="S18" s="715"/>
      <c r="T18" s="714"/>
      <c r="U18" s="715"/>
      <c r="V18" s="714"/>
      <c r="W18" s="715"/>
      <c r="X18" s="1539"/>
      <c r="Y18" s="3372"/>
      <c r="Z18" s="1540"/>
      <c r="AA18" s="1537">
        <v>1</v>
      </c>
      <c r="AB18" s="1537">
        <v>1</v>
      </c>
      <c r="AC18" s="2148">
        <v>1</v>
      </c>
    </row>
    <row r="19" spans="1:29" ht="42.75">
      <c r="A19" s="387"/>
      <c r="B19" s="587" t="s">
        <v>2505</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440"/>
      <c r="Q19" s="1536" t="str">
        <f>B19</f>
        <v>公共配套设施</v>
      </c>
      <c r="R19" s="714" t="s">
        <v>17</v>
      </c>
      <c r="S19" s="715">
        <f>F19</f>
        <v>100</v>
      </c>
      <c r="T19" s="714" t="s">
        <v>17</v>
      </c>
      <c r="U19" s="715">
        <f>H19</f>
        <v>100</v>
      </c>
      <c r="V19" s="714" t="s">
        <v>17</v>
      </c>
      <c r="W19" s="715">
        <f>J19</f>
        <v>100</v>
      </c>
      <c r="X19" s="1539"/>
      <c r="Y19" s="3372"/>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51"/>
      <c r="M20" s="2945"/>
      <c r="N20" s="2945"/>
      <c r="O20" s="2945"/>
      <c r="P20" s="3440"/>
      <c r="Q20" s="1536"/>
      <c r="R20" s="714"/>
      <c r="S20" s="715"/>
      <c r="T20" s="714"/>
      <c r="U20" s="715"/>
      <c r="V20" s="714"/>
      <c r="W20" s="715"/>
      <c r="X20" s="1539"/>
      <c r="Y20" s="3372"/>
      <c r="Z20" s="1540"/>
      <c r="AA20" s="1537">
        <v>1</v>
      </c>
      <c r="AB20" s="1537">
        <v>1</v>
      </c>
      <c r="AC20" s="2148">
        <v>1</v>
      </c>
    </row>
    <row r="21" spans="1:29" ht="28.5">
      <c r="A21" s="387"/>
      <c r="B21" s="589" t="s">
        <v>2506</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440"/>
      <c r="Q21" s="1536" t="str">
        <f>B21</f>
        <v>基础设施水平</v>
      </c>
      <c r="R21" s="714" t="s">
        <v>17</v>
      </c>
      <c r="S21" s="715">
        <f>F21</f>
        <v>100</v>
      </c>
      <c r="T21" s="714" t="s">
        <v>17</v>
      </c>
      <c r="U21" s="715">
        <f>H21</f>
        <v>100</v>
      </c>
      <c r="V21" s="714" t="s">
        <v>17</v>
      </c>
      <c r="W21" s="715">
        <f>J21</f>
        <v>100</v>
      </c>
      <c r="X21" s="1539"/>
      <c r="Y21" s="3372"/>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51"/>
      <c r="M22" s="2945"/>
      <c r="N22" s="2945"/>
      <c r="O22" s="2945"/>
      <c r="P22" s="3440"/>
      <c r="Q22" s="1536"/>
      <c r="R22" s="714"/>
      <c r="S22" s="715"/>
      <c r="T22" s="714"/>
      <c r="U22" s="715"/>
      <c r="V22" s="714"/>
      <c r="W22" s="715"/>
      <c r="X22" s="1539"/>
      <c r="Y22" s="3372"/>
      <c r="Z22" s="1540"/>
      <c r="AA22" s="1537">
        <v>1</v>
      </c>
      <c r="AB22" s="1537">
        <v>1</v>
      </c>
      <c r="AC22" s="2148">
        <v>1</v>
      </c>
    </row>
    <row r="23" spans="1:29" ht="42.75">
      <c r="A23" s="387"/>
      <c r="B23" s="587" t="s">
        <v>2507</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440"/>
      <c r="Q23" s="1536" t="str">
        <f>B23</f>
        <v>环境质量</v>
      </c>
      <c r="R23" s="714" t="s">
        <v>17</v>
      </c>
      <c r="S23" s="715">
        <f>F23</f>
        <v>100</v>
      </c>
      <c r="T23" s="714" t="s">
        <v>17</v>
      </c>
      <c r="U23" s="715">
        <f>H23</f>
        <v>100</v>
      </c>
      <c r="V23" s="714" t="s">
        <v>17</v>
      </c>
      <c r="W23" s="715">
        <f>J23</f>
        <v>100</v>
      </c>
      <c r="X23" s="1539"/>
      <c r="Y23" s="3372"/>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51"/>
      <c r="M24" s="2945"/>
      <c r="N24" s="2945"/>
      <c r="O24" s="2945"/>
      <c r="P24" s="3440"/>
      <c r="Q24" s="1536"/>
      <c r="R24" s="714"/>
      <c r="S24" s="715"/>
      <c r="T24" s="714"/>
      <c r="U24" s="715"/>
      <c r="V24" s="714"/>
      <c r="W24" s="715"/>
      <c r="X24" s="1539"/>
      <c r="Y24" s="3372"/>
      <c r="Z24" s="1540"/>
      <c r="AA24" s="1537">
        <v>1</v>
      </c>
      <c r="AB24" s="1537">
        <v>1</v>
      </c>
      <c r="AC24" s="2148">
        <v>1</v>
      </c>
    </row>
    <row r="25" spans="1:29" ht="27">
      <c r="A25" s="364"/>
      <c r="B25" s="587" t="s">
        <v>2508</v>
      </c>
      <c r="C25" s="2094"/>
      <c r="D25" s="394">
        <v>100</v>
      </c>
      <c r="E25" s="393"/>
      <c r="F25" s="394">
        <f>SUMIF(87:87,E26,88:88)-SUMIF(87:87,C26,88:88)+100</f>
        <v>100</v>
      </c>
      <c r="G25" s="2094"/>
      <c r="H25" s="394">
        <f>SUMIF(87:87,G26,88:88)-SUMIF(87:87,C26,88:88)+100</f>
        <v>100</v>
      </c>
      <c r="I25" s="393"/>
      <c r="J25" s="394">
        <f>SUMIF(87:87,I26,88:88)-SUMIF(87:87,C26,88:88)+100</f>
        <v>100</v>
      </c>
      <c r="K25" s="571"/>
      <c r="L25" s="2951"/>
      <c r="M25" s="2945"/>
      <c r="N25" s="2945"/>
      <c r="O25" s="2945"/>
      <c r="P25" s="3440"/>
      <c r="Q25" s="1536" t="str">
        <f>B25</f>
        <v>毗邻道路的类型与等级</v>
      </c>
      <c r="R25" s="714" t="s">
        <v>17</v>
      </c>
      <c r="S25" s="715">
        <f>F25</f>
        <v>100</v>
      </c>
      <c r="T25" s="714" t="s">
        <v>17</v>
      </c>
      <c r="U25" s="715">
        <f>H25</f>
        <v>100</v>
      </c>
      <c r="V25" s="714" t="s">
        <v>17</v>
      </c>
      <c r="W25" s="715">
        <f>J25</f>
        <v>100</v>
      </c>
      <c r="X25" s="1539"/>
      <c r="Y25" s="3372"/>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1"/>
      <c r="M26" s="2945"/>
      <c r="N26" s="2945"/>
      <c r="O26" s="2945"/>
      <c r="P26" s="3440"/>
      <c r="Q26" s="1536"/>
      <c r="R26" s="714"/>
      <c r="S26" s="715"/>
      <c r="T26" s="714"/>
      <c r="U26" s="715"/>
      <c r="V26" s="714"/>
      <c r="W26" s="715"/>
      <c r="X26" s="1539"/>
      <c r="Y26" s="3372"/>
      <c r="Z26" s="1540"/>
      <c r="AA26" s="1537">
        <v>1</v>
      </c>
      <c r="AB26" s="1537">
        <v>1</v>
      </c>
      <c r="AC26" s="2148">
        <v>1</v>
      </c>
    </row>
    <row r="27" spans="1:29" ht="15">
      <c r="A27" s="387"/>
      <c r="B27" s="588" t="s">
        <v>2476</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440"/>
      <c r="Q27" s="1536" t="str">
        <f t="shared" ref="Q27:Q47" si="11">B27</f>
        <v>楼层</v>
      </c>
      <c r="R27" s="714" t="s">
        <v>17</v>
      </c>
      <c r="S27" s="715">
        <f>F27</f>
        <v>100</v>
      </c>
      <c r="T27" s="714" t="s">
        <v>17</v>
      </c>
      <c r="U27" s="715">
        <f>H27</f>
        <v>100</v>
      </c>
      <c r="V27" s="714" t="s">
        <v>17</v>
      </c>
      <c r="W27" s="715">
        <f>J27</f>
        <v>100</v>
      </c>
      <c r="X27" s="1539"/>
      <c r="Y27" s="3372"/>
      <c r="Z27" s="1540" t="str">
        <f>Q27</f>
        <v>楼层</v>
      </c>
      <c r="AA27" s="1537">
        <f t="shared" si="3"/>
        <v>1</v>
      </c>
      <c r="AB27" s="1537">
        <f t="shared" si="4"/>
        <v>1</v>
      </c>
      <c r="AC27" s="2148">
        <f t="shared" si="5"/>
        <v>1</v>
      </c>
    </row>
    <row r="28" spans="1:29" s="113" customFormat="1" ht="15">
      <c r="A28" s="390"/>
      <c r="B28" s="587" t="s">
        <v>2509</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440"/>
      <c r="Q28" s="1527" t="str">
        <f t="shared" si="11"/>
        <v>朝向</v>
      </c>
      <c r="R28" s="710" t="s">
        <v>17</v>
      </c>
      <c r="S28" s="711">
        <f>F28</f>
        <v>100</v>
      </c>
      <c r="T28" s="710" t="s">
        <v>17</v>
      </c>
      <c r="U28" s="711">
        <f>H28</f>
        <v>100</v>
      </c>
      <c r="V28" s="710" t="s">
        <v>17</v>
      </c>
      <c r="W28" s="711">
        <f>J28</f>
        <v>100</v>
      </c>
      <c r="X28" s="712"/>
      <c r="Y28" s="3372"/>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440"/>
      <c r="Q29" s="1536">
        <f t="shared" si="11"/>
        <v>111</v>
      </c>
      <c r="R29" s="714" t="s">
        <v>17</v>
      </c>
      <c r="S29" s="715">
        <f t="shared" ref="S29:S47" si="12">F29</f>
        <v>100</v>
      </c>
      <c r="T29" s="714" t="s">
        <v>17</v>
      </c>
      <c r="U29" s="715">
        <f t="shared" ref="U29:U47" si="13">H29</f>
        <v>100</v>
      </c>
      <c r="V29" s="714" t="s">
        <v>17</v>
      </c>
      <c r="W29" s="715">
        <f t="shared" ref="W29:W47" si="14">J29</f>
        <v>100</v>
      </c>
      <c r="X29" s="1539"/>
      <c r="Y29" s="3372"/>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440"/>
      <c r="Q30" s="1536">
        <f t="shared" si="11"/>
        <v>111</v>
      </c>
      <c r="R30" s="714" t="s">
        <v>17</v>
      </c>
      <c r="S30" s="715">
        <f t="shared" si="12"/>
        <v>100</v>
      </c>
      <c r="T30" s="714" t="s">
        <v>17</v>
      </c>
      <c r="U30" s="715">
        <f t="shared" si="13"/>
        <v>100</v>
      </c>
      <c r="V30" s="714" t="s">
        <v>17</v>
      </c>
      <c r="W30" s="715">
        <f t="shared" si="14"/>
        <v>100</v>
      </c>
      <c r="X30" s="1539"/>
      <c r="Y30" s="3372"/>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440"/>
      <c r="Q31" s="1536">
        <f t="shared" si="11"/>
        <v>111</v>
      </c>
      <c r="R31" s="714" t="s">
        <v>17</v>
      </c>
      <c r="S31" s="715">
        <f t="shared" si="12"/>
        <v>100</v>
      </c>
      <c r="T31" s="714" t="s">
        <v>17</v>
      </c>
      <c r="U31" s="715">
        <f t="shared" si="13"/>
        <v>100</v>
      </c>
      <c r="V31" s="714" t="s">
        <v>17</v>
      </c>
      <c r="W31" s="715">
        <f t="shared" si="14"/>
        <v>100</v>
      </c>
      <c r="X31" s="1539"/>
      <c r="Y31" s="3372"/>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440"/>
      <c r="Q32" s="1536">
        <f t="shared" si="11"/>
        <v>111</v>
      </c>
      <c r="R32" s="714" t="s">
        <v>17</v>
      </c>
      <c r="S32" s="715">
        <f t="shared" si="12"/>
        <v>100</v>
      </c>
      <c r="T32" s="714" t="s">
        <v>17</v>
      </c>
      <c r="U32" s="715">
        <f t="shared" si="13"/>
        <v>100</v>
      </c>
      <c r="V32" s="714" t="s">
        <v>17</v>
      </c>
      <c r="W32" s="715">
        <f t="shared" si="14"/>
        <v>100</v>
      </c>
      <c r="X32" s="1539"/>
      <c r="Y32" s="3372"/>
      <c r="Z32" s="1540">
        <f t="shared" si="15"/>
        <v>111</v>
      </c>
      <c r="AA32" s="1537">
        <f t="shared" si="3"/>
        <v>1</v>
      </c>
      <c r="AB32" s="1537">
        <f t="shared" si="4"/>
        <v>1</v>
      </c>
      <c r="AC32" s="2148">
        <f t="shared" si="5"/>
        <v>1</v>
      </c>
    </row>
    <row r="33" spans="1:29" ht="15">
      <c r="A33" s="399" t="s">
        <v>2380</v>
      </c>
      <c r="B33" s="67" t="s">
        <v>2510</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1"/>
      <c r="M33" s="2945"/>
      <c r="N33" s="2945"/>
      <c r="O33" s="2945"/>
      <c r="P33" s="3435" t="s">
        <v>2382</v>
      </c>
      <c r="Q33" s="1536" t="str">
        <f t="shared" si="11"/>
        <v>建筑类型</v>
      </c>
      <c r="R33" s="714" t="s">
        <v>17</v>
      </c>
      <c r="S33" s="715">
        <f t="shared" si="12"/>
        <v>100</v>
      </c>
      <c r="T33" s="714" t="s">
        <v>17</v>
      </c>
      <c r="U33" s="715">
        <f t="shared" si="13"/>
        <v>100</v>
      </c>
      <c r="V33" s="714" t="s">
        <v>17</v>
      </c>
      <c r="W33" s="715">
        <f t="shared" si="14"/>
        <v>100</v>
      </c>
      <c r="X33" s="1539"/>
      <c r="Y33" s="3374" t="s">
        <v>2382</v>
      </c>
      <c r="Z33" s="1540" t="str">
        <f t="shared" si="15"/>
        <v>建筑类型</v>
      </c>
      <c r="AA33" s="1537">
        <f t="shared" si="3"/>
        <v>1</v>
      </c>
      <c r="AB33" s="1537">
        <f t="shared" si="4"/>
        <v>1</v>
      </c>
      <c r="AC33" s="2148">
        <f t="shared" si="5"/>
        <v>1</v>
      </c>
    </row>
    <row r="34" spans="1:29" s="430" customFormat="1" ht="15">
      <c r="A34" s="427"/>
      <c r="B34" s="381" t="s">
        <v>2383</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436"/>
      <c r="Q34" s="716" t="str">
        <f t="shared" si="11"/>
        <v>项目建筑规模</v>
      </c>
      <c r="R34" s="717" t="s">
        <v>17</v>
      </c>
      <c r="S34" s="718" t="e">
        <f t="shared" si="12"/>
        <v>#N/A</v>
      </c>
      <c r="T34" s="717" t="s">
        <v>17</v>
      </c>
      <c r="U34" s="718" t="e">
        <f t="shared" si="13"/>
        <v>#N/A</v>
      </c>
      <c r="V34" s="717" t="s">
        <v>17</v>
      </c>
      <c r="W34" s="718" t="e">
        <f t="shared" si="14"/>
        <v>#N/A</v>
      </c>
      <c r="X34" s="719"/>
      <c r="Y34" s="3374"/>
      <c r="Z34" s="720" t="str">
        <f t="shared" si="15"/>
        <v>项目建筑规模</v>
      </c>
      <c r="AA34" s="1537" t="e">
        <f t="shared" si="3"/>
        <v>#N/A</v>
      </c>
      <c r="AB34" s="1537" t="e">
        <f t="shared" si="4"/>
        <v>#N/A</v>
      </c>
      <c r="AC34" s="2148" t="e">
        <f t="shared" si="5"/>
        <v>#N/A</v>
      </c>
    </row>
    <row r="35" spans="1:29" ht="15">
      <c r="A35" s="431"/>
      <c r="B35" s="381" t="s">
        <v>2384</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436"/>
      <c r="Q35" s="1536" t="str">
        <f t="shared" si="11"/>
        <v>建筑结构</v>
      </c>
      <c r="R35" s="714" t="s">
        <v>17</v>
      </c>
      <c r="S35" s="715">
        <f t="shared" si="12"/>
        <v>100</v>
      </c>
      <c r="T35" s="714" t="s">
        <v>17</v>
      </c>
      <c r="U35" s="715">
        <f t="shared" si="13"/>
        <v>100</v>
      </c>
      <c r="V35" s="714" t="s">
        <v>17</v>
      </c>
      <c r="W35" s="715">
        <f t="shared" si="14"/>
        <v>100</v>
      </c>
      <c r="X35" s="1539"/>
      <c r="Y35" s="3374"/>
      <c r="Z35" s="1540" t="str">
        <f t="shared" si="15"/>
        <v>建筑结构</v>
      </c>
      <c r="AA35" s="1537">
        <f t="shared" si="3"/>
        <v>1</v>
      </c>
      <c r="AB35" s="1537">
        <f t="shared" si="4"/>
        <v>1</v>
      </c>
      <c r="AC35" s="2148">
        <f t="shared" si="5"/>
        <v>1</v>
      </c>
    </row>
    <row r="36" spans="1:29" ht="15">
      <c r="A36" s="431"/>
      <c r="B36" s="381" t="s">
        <v>2478</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436"/>
      <c r="Q36" s="1536" t="str">
        <f t="shared" si="11"/>
        <v>公共部分装修</v>
      </c>
      <c r="R36" s="714" t="s">
        <v>17</v>
      </c>
      <c r="S36" s="715">
        <f t="shared" si="12"/>
        <v>100</v>
      </c>
      <c r="T36" s="714" t="s">
        <v>17</v>
      </c>
      <c r="U36" s="715">
        <f t="shared" si="13"/>
        <v>100</v>
      </c>
      <c r="V36" s="714" t="s">
        <v>17</v>
      </c>
      <c r="W36" s="715">
        <f t="shared" si="14"/>
        <v>100</v>
      </c>
      <c r="X36" s="1539"/>
      <c r="Y36" s="3374"/>
      <c r="Z36" s="1540" t="str">
        <f t="shared" si="15"/>
        <v>公共部分装修</v>
      </c>
      <c r="AA36" s="1537">
        <f t="shared" si="3"/>
        <v>1</v>
      </c>
      <c r="AB36" s="1537">
        <f t="shared" si="4"/>
        <v>1</v>
      </c>
      <c r="AC36" s="2148">
        <f t="shared" si="5"/>
        <v>1</v>
      </c>
    </row>
    <row r="37" spans="1:29" ht="15">
      <c r="A37" s="431"/>
      <c r="B37" s="381" t="s">
        <v>2479</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436"/>
      <c r="Q37" s="1536" t="str">
        <f t="shared" si="11"/>
        <v>成新度</v>
      </c>
      <c r="R37" s="714" t="s">
        <v>17</v>
      </c>
      <c r="S37" s="715" t="e">
        <f t="shared" si="12"/>
        <v>#N/A</v>
      </c>
      <c r="T37" s="714" t="s">
        <v>17</v>
      </c>
      <c r="U37" s="715" t="e">
        <f t="shared" si="13"/>
        <v>#N/A</v>
      </c>
      <c r="V37" s="714" t="s">
        <v>17</v>
      </c>
      <c r="W37" s="715" t="e">
        <f t="shared" si="14"/>
        <v>#N/A</v>
      </c>
      <c r="X37" s="1539"/>
      <c r="Y37" s="3374"/>
      <c r="Z37" s="1540" t="str">
        <f t="shared" si="15"/>
        <v>成新度</v>
      </c>
      <c r="AA37" s="1537" t="e">
        <f t="shared" si="3"/>
        <v>#N/A</v>
      </c>
      <c r="AB37" s="1537" t="e">
        <f t="shared" si="4"/>
        <v>#N/A</v>
      </c>
      <c r="AC37" s="2148" t="e">
        <f t="shared" si="5"/>
        <v>#N/A</v>
      </c>
    </row>
    <row r="38" spans="1:29" s="113" customFormat="1" ht="15">
      <c r="A38" s="432"/>
      <c r="B38" s="381" t="s">
        <v>2511</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436"/>
      <c r="Q38" s="1527" t="str">
        <f t="shared" si="11"/>
        <v>写字楼等级</v>
      </c>
      <c r="R38" s="710" t="s">
        <v>17</v>
      </c>
      <c r="S38" s="711">
        <f t="shared" si="12"/>
        <v>100</v>
      </c>
      <c r="T38" s="710" t="s">
        <v>17</v>
      </c>
      <c r="U38" s="711">
        <f t="shared" si="13"/>
        <v>100</v>
      </c>
      <c r="V38" s="710" t="s">
        <v>17</v>
      </c>
      <c r="W38" s="711">
        <f t="shared" si="14"/>
        <v>100</v>
      </c>
      <c r="X38" s="712"/>
      <c r="Y38" s="3374"/>
      <c r="Z38" s="55" t="str">
        <f t="shared" si="15"/>
        <v>写字楼等级</v>
      </c>
      <c r="AA38" s="713">
        <f t="shared" si="3"/>
        <v>1</v>
      </c>
      <c r="AB38" s="713">
        <f t="shared" si="4"/>
        <v>1</v>
      </c>
      <c r="AC38" s="2145">
        <f t="shared" si="5"/>
        <v>1</v>
      </c>
    </row>
    <row r="39" spans="1:29" ht="15">
      <c r="A39" s="431"/>
      <c r="B39" s="381" t="s">
        <v>2512</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436" t="s">
        <v>2382</v>
      </c>
      <c r="Q39" s="1536" t="str">
        <f t="shared" si="11"/>
        <v>物业管理</v>
      </c>
      <c r="R39" s="714" t="s">
        <v>17</v>
      </c>
      <c r="S39" s="715">
        <f t="shared" si="12"/>
        <v>100</v>
      </c>
      <c r="T39" s="714" t="s">
        <v>17</v>
      </c>
      <c r="U39" s="715">
        <f t="shared" si="13"/>
        <v>100</v>
      </c>
      <c r="V39" s="714" t="s">
        <v>17</v>
      </c>
      <c r="W39" s="715">
        <f t="shared" si="14"/>
        <v>100</v>
      </c>
      <c r="X39" s="1539"/>
      <c r="Y39" s="3374" t="s">
        <v>2382</v>
      </c>
      <c r="Z39" s="1540" t="str">
        <f t="shared" si="15"/>
        <v>物业管理</v>
      </c>
      <c r="AA39" s="1537">
        <f t="shared" si="3"/>
        <v>1</v>
      </c>
      <c r="AB39" s="1537">
        <f t="shared" si="4"/>
        <v>1</v>
      </c>
      <c r="AC39" s="2148">
        <f t="shared" si="5"/>
        <v>1</v>
      </c>
    </row>
    <row r="40" spans="1:29" ht="15">
      <c r="A40" s="431"/>
      <c r="B40" s="381" t="s">
        <v>2480</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436"/>
      <c r="Q40" s="1536" t="str">
        <f t="shared" si="11"/>
        <v>市政基础设施</v>
      </c>
      <c r="R40" s="714" t="s">
        <v>17</v>
      </c>
      <c r="S40" s="715">
        <f t="shared" si="12"/>
        <v>100</v>
      </c>
      <c r="T40" s="714" t="s">
        <v>17</v>
      </c>
      <c r="U40" s="715">
        <f t="shared" si="13"/>
        <v>100</v>
      </c>
      <c r="V40" s="714" t="s">
        <v>17</v>
      </c>
      <c r="W40" s="715">
        <f t="shared" si="14"/>
        <v>100</v>
      </c>
      <c r="X40" s="1539"/>
      <c r="Y40" s="3374"/>
      <c r="Z40" s="1540" t="str">
        <f t="shared" si="15"/>
        <v>市政基础设施</v>
      </c>
      <c r="AA40" s="1537">
        <f t="shared" si="3"/>
        <v>1</v>
      </c>
      <c r="AB40" s="1537">
        <f t="shared" si="4"/>
        <v>1</v>
      </c>
      <c r="AC40" s="2148">
        <f t="shared" si="5"/>
        <v>1</v>
      </c>
    </row>
    <row r="41" spans="1:29" ht="15">
      <c r="A41" s="431"/>
      <c r="B41" s="381" t="s">
        <v>2482</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436"/>
      <c r="Q41" s="1536" t="str">
        <f t="shared" si="11"/>
        <v>层高</v>
      </c>
      <c r="R41" s="714" t="s">
        <v>17</v>
      </c>
      <c r="S41" s="715">
        <f t="shared" si="12"/>
        <v>100</v>
      </c>
      <c r="T41" s="714" t="s">
        <v>17</v>
      </c>
      <c r="U41" s="715">
        <f t="shared" si="13"/>
        <v>100</v>
      </c>
      <c r="V41" s="714" t="s">
        <v>17</v>
      </c>
      <c r="W41" s="715">
        <f t="shared" si="14"/>
        <v>100</v>
      </c>
      <c r="X41" s="1539"/>
      <c r="Y41" s="3374"/>
      <c r="Z41" s="1540" t="str">
        <f t="shared" si="15"/>
        <v>层高</v>
      </c>
      <c r="AA41" s="1537">
        <f t="shared" si="3"/>
        <v>1</v>
      </c>
      <c r="AB41" s="1537">
        <f t="shared" si="4"/>
        <v>1</v>
      </c>
      <c r="AC41" s="2148">
        <f t="shared" si="5"/>
        <v>1</v>
      </c>
    </row>
    <row r="42" spans="1:29" s="430" customFormat="1" ht="15">
      <c r="A42" s="427"/>
      <c r="B42" s="1538" t="s">
        <v>2513</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436"/>
      <c r="Q42" s="716" t="str">
        <f t="shared" si="11"/>
        <v>单套建筑面积</v>
      </c>
      <c r="R42" s="717" t="s">
        <v>17</v>
      </c>
      <c r="S42" s="718">
        <f t="shared" si="12"/>
        <v>100</v>
      </c>
      <c r="T42" s="717" t="s">
        <v>17</v>
      </c>
      <c r="U42" s="718">
        <f t="shared" si="13"/>
        <v>100</v>
      </c>
      <c r="V42" s="717" t="s">
        <v>17</v>
      </c>
      <c r="W42" s="718">
        <f t="shared" si="14"/>
        <v>100</v>
      </c>
      <c r="X42" s="719"/>
      <c r="Y42" s="3374"/>
      <c r="Z42" s="720" t="str">
        <f t="shared" si="15"/>
        <v>单套建筑面积</v>
      </c>
      <c r="AA42" s="1537">
        <f t="shared" si="3"/>
        <v>1</v>
      </c>
      <c r="AB42" s="1537">
        <f t="shared" si="4"/>
        <v>1</v>
      </c>
      <c r="AC42" s="2148">
        <f t="shared" si="5"/>
        <v>1</v>
      </c>
    </row>
    <row r="43" spans="1:29" ht="15">
      <c r="A43" s="431"/>
      <c r="B43" s="381" t="s">
        <v>2485</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436"/>
      <c r="Q43" s="1536" t="str">
        <f t="shared" si="11"/>
        <v>内部装修</v>
      </c>
      <c r="R43" s="714" t="s">
        <v>17</v>
      </c>
      <c r="S43" s="715">
        <f t="shared" si="12"/>
        <v>100</v>
      </c>
      <c r="T43" s="714" t="s">
        <v>17</v>
      </c>
      <c r="U43" s="715">
        <f t="shared" si="13"/>
        <v>100</v>
      </c>
      <c r="V43" s="714" t="s">
        <v>17</v>
      </c>
      <c r="W43" s="715">
        <f t="shared" si="14"/>
        <v>100</v>
      </c>
      <c r="X43" s="1539"/>
      <c r="Y43" s="3374"/>
      <c r="Z43" s="1540" t="str">
        <f t="shared" si="15"/>
        <v>内部装修</v>
      </c>
      <c r="AA43" s="1537">
        <f t="shared" si="3"/>
        <v>1</v>
      </c>
      <c r="AB43" s="1537">
        <f t="shared" si="4"/>
        <v>1</v>
      </c>
      <c r="AC43" s="2148">
        <f t="shared" si="5"/>
        <v>1</v>
      </c>
    </row>
    <row r="44" spans="1:29" ht="15">
      <c r="A44" s="431"/>
      <c r="B44" s="381" t="s">
        <v>2393</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1"/>
      <c r="M44" s="2945"/>
      <c r="N44" s="2945"/>
      <c r="O44" s="2945"/>
      <c r="P44" s="3436"/>
      <c r="Q44" s="1536" t="str">
        <f t="shared" si="11"/>
        <v>内部装修维护情况</v>
      </c>
      <c r="R44" s="714" t="s">
        <v>17</v>
      </c>
      <c r="S44" s="715">
        <f t="shared" si="12"/>
        <v>100</v>
      </c>
      <c r="T44" s="714" t="s">
        <v>17</v>
      </c>
      <c r="U44" s="715">
        <f t="shared" si="13"/>
        <v>100</v>
      </c>
      <c r="V44" s="714" t="s">
        <v>17</v>
      </c>
      <c r="W44" s="715">
        <f t="shared" si="14"/>
        <v>100</v>
      </c>
      <c r="X44" s="1539"/>
      <c r="Y44" s="3374"/>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436"/>
      <c r="Q45" s="1527">
        <f t="shared" si="11"/>
        <v>111</v>
      </c>
      <c r="R45" s="710" t="s">
        <v>17</v>
      </c>
      <c r="S45" s="711">
        <f t="shared" si="12"/>
        <v>100</v>
      </c>
      <c r="T45" s="710" t="s">
        <v>17</v>
      </c>
      <c r="U45" s="711">
        <f t="shared" si="13"/>
        <v>100</v>
      </c>
      <c r="V45" s="710" t="s">
        <v>17</v>
      </c>
      <c r="W45" s="711">
        <f t="shared" si="14"/>
        <v>100</v>
      </c>
      <c r="X45" s="712"/>
      <c r="Y45" s="3374"/>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436"/>
      <c r="Q46" s="1536">
        <f t="shared" si="11"/>
        <v>111</v>
      </c>
      <c r="R46" s="714" t="s">
        <v>17</v>
      </c>
      <c r="S46" s="715">
        <f t="shared" si="12"/>
        <v>100</v>
      </c>
      <c r="T46" s="714" t="s">
        <v>17</v>
      </c>
      <c r="U46" s="715">
        <f t="shared" si="13"/>
        <v>100</v>
      </c>
      <c r="V46" s="714" t="s">
        <v>17</v>
      </c>
      <c r="W46" s="715">
        <f t="shared" si="14"/>
        <v>100</v>
      </c>
      <c r="X46" s="1539"/>
      <c r="Y46" s="3374"/>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437"/>
      <c r="Q47" s="1536">
        <f t="shared" si="11"/>
        <v>111</v>
      </c>
      <c r="R47" s="714" t="s">
        <v>17</v>
      </c>
      <c r="S47" s="715">
        <f t="shared" si="12"/>
        <v>100</v>
      </c>
      <c r="T47" s="714" t="s">
        <v>17</v>
      </c>
      <c r="U47" s="715">
        <f t="shared" si="13"/>
        <v>100</v>
      </c>
      <c r="V47" s="714" t="s">
        <v>17</v>
      </c>
      <c r="W47" s="715">
        <f t="shared" si="14"/>
        <v>100</v>
      </c>
      <c r="X47" s="1539"/>
      <c r="Y47" s="3438"/>
      <c r="Z47" s="1540">
        <f t="shared" si="15"/>
        <v>111</v>
      </c>
      <c r="AA47" s="1537">
        <f t="shared" si="3"/>
        <v>1</v>
      </c>
      <c r="AB47" s="1537">
        <f t="shared" si="4"/>
        <v>1</v>
      </c>
      <c r="AC47" s="2148">
        <f t="shared" si="5"/>
        <v>1</v>
      </c>
    </row>
    <row r="48" spans="1:29" ht="15">
      <c r="A48" s="438" t="s">
        <v>2394</v>
      </c>
      <c r="B48" s="439"/>
      <c r="C48" s="1316" t="s">
        <v>1</v>
      </c>
      <c r="D48" s="1317"/>
      <c r="E48" s="1318"/>
      <c r="F48" s="1319"/>
      <c r="G48" s="1320"/>
      <c r="H48" s="1321"/>
      <c r="I48" s="1318"/>
      <c r="J48" s="444"/>
      <c r="K48" s="723"/>
      <c r="L48" s="2953"/>
      <c r="M48" s="2945"/>
      <c r="N48" s="2945"/>
      <c r="O48" s="2945"/>
      <c r="P48" s="3368" t="str">
        <f>A48</f>
        <v>成交单价（元/平方米）</v>
      </c>
      <c r="Q48" s="3369"/>
      <c r="R48" s="3434">
        <f>E48</f>
        <v>0</v>
      </c>
      <c r="S48" s="3434"/>
      <c r="T48" s="3434">
        <f>G48</f>
        <v>0</v>
      </c>
      <c r="U48" s="3434"/>
      <c r="V48" s="3434">
        <f>I48</f>
        <v>0</v>
      </c>
      <c r="W48" s="3434"/>
      <c r="X48" s="405"/>
      <c r="Y48" s="721"/>
      <c r="Z48" s="405"/>
      <c r="AA48" s="405"/>
      <c r="AB48" s="405"/>
      <c r="AC48" s="586"/>
    </row>
    <row r="49" spans="1:29" ht="15.75" thickBot="1">
      <c r="A49" s="445" t="s">
        <v>2486</v>
      </c>
      <c r="B49" s="446"/>
      <c r="C49" s="1322" t="e">
        <f>R50</f>
        <v>#DIV/0!</v>
      </c>
      <c r="D49" s="2538" t="s">
        <v>2876</v>
      </c>
      <c r="E49" s="1323" t="e">
        <f>R49</f>
        <v>#DIV/0!</v>
      </c>
      <c r="F49" s="2539"/>
      <c r="G49" s="1322" t="e">
        <f>T49</f>
        <v>#DIV/0!</v>
      </c>
      <c r="H49" s="2539"/>
      <c r="I49" s="1323" t="e">
        <f>V49</f>
        <v>#DIV/0!</v>
      </c>
      <c r="J49" s="2539"/>
      <c r="K49" s="2541">
        <f>F49+H49+J49</f>
        <v>0</v>
      </c>
      <c r="L49" s="2953"/>
      <c r="M49" s="2945"/>
      <c r="N49" s="2945"/>
      <c r="O49" s="2945"/>
      <c r="P49" s="3368" t="str">
        <f>A49</f>
        <v>比较价值（元/平方米）</v>
      </c>
      <c r="Q49" s="3369"/>
      <c r="R49" s="3434" t="e">
        <f>IF(F1="售价",ROUND(PRODUCT(R48,AA7:AA47),0),ROUND(PRODUCT(R48,AA7:AA47),1))</f>
        <v>#DIV/0!</v>
      </c>
      <c r="S49" s="3434"/>
      <c r="T49" s="3434" t="e">
        <f>IF(F1="售价",ROUND(PRODUCT(T48,AB7:AB47),0),ROUND(PRODUCT(T48,AB7:AB47),1))</f>
        <v>#DIV/0!</v>
      </c>
      <c r="U49" s="3434"/>
      <c r="V49" s="3434" t="e">
        <f>IF(F1="售价",ROUND(PRODUCT(V48,AC7:AC47),0),ROUND(PRODUCT(V48,AC7:AC47),1))</f>
        <v>#DIV/0!</v>
      </c>
      <c r="W49" s="3434"/>
      <c r="X49" s="405"/>
      <c r="Y49" s="405"/>
      <c r="Z49" s="405"/>
      <c r="AA49" s="405"/>
      <c r="AB49" s="405"/>
      <c r="AC49" s="586"/>
    </row>
    <row r="50" spans="1:29" ht="15.75" thickBot="1">
      <c r="A50" s="449" t="s">
        <v>2487</v>
      </c>
      <c r="B50" s="450"/>
      <c r="C50" s="1325" t="e">
        <f>R50</f>
        <v>#DIV/0!</v>
      </c>
      <c r="D50" s="1325"/>
      <c r="E50" s="1325"/>
      <c r="F50" s="1325"/>
      <c r="G50" s="1325"/>
      <c r="H50" s="1325"/>
      <c r="I50" s="1325"/>
      <c r="J50" s="451"/>
      <c r="K50" s="724"/>
      <c r="L50" s="2953"/>
      <c r="M50" s="2945"/>
      <c r="N50" s="2945"/>
      <c r="O50" s="2945"/>
      <c r="P50" s="3441" t="str">
        <f>A50</f>
        <v>估价对象XX用房的比较价值（楼面单价，元/平方米）</v>
      </c>
      <c r="Q50" s="3442"/>
      <c r="R50" s="3443" t="e">
        <f>IF(F1="售价",ROUND(IF(D49="简单平均",AVERAGE(R49:V49),R49*F49+T49*H49+V49*J49),0),ROUND(IF(D49="简单平均",AVERAGE(R49:V49),R49*F49+T49*H49+V49*J49),1))</f>
        <v>#DIV/0!</v>
      </c>
      <c r="S50" s="3443"/>
      <c r="T50" s="3443"/>
      <c r="U50" s="3443"/>
      <c r="V50" s="3443"/>
      <c r="W50" s="3443"/>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2488</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2489</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2490</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2491</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2365</v>
      </c>
      <c r="B59" s="463"/>
      <c r="C59" s="1346" t="str">
        <f>YEAR(C7)&amp;"-"&amp;MONTH(C7)</f>
        <v>2021-12</v>
      </c>
      <c r="D59" s="1347">
        <f>EDATE(C59,-1)</f>
        <v>44501</v>
      </c>
      <c r="E59" s="1347">
        <f>EDATE(D59,-1)</f>
        <v>44470</v>
      </c>
      <c r="F59" s="1347">
        <f t="shared" ref="F59:O59" si="16">EDATE(E59,-1)</f>
        <v>44440</v>
      </c>
      <c r="G59" s="1347">
        <f t="shared" si="16"/>
        <v>44409</v>
      </c>
      <c r="H59" s="1347">
        <f t="shared" si="16"/>
        <v>44378</v>
      </c>
      <c r="I59" s="1347">
        <f t="shared" si="16"/>
        <v>44348</v>
      </c>
      <c r="J59" s="1347">
        <f t="shared" si="16"/>
        <v>44317</v>
      </c>
      <c r="K59" s="1347">
        <f t="shared" si="16"/>
        <v>44287</v>
      </c>
      <c r="L59" s="1347">
        <f t="shared" si="16"/>
        <v>44256</v>
      </c>
      <c r="M59" s="1347">
        <f t="shared" si="16"/>
        <v>44228</v>
      </c>
      <c r="N59" s="1347">
        <f t="shared" si="16"/>
        <v>44197</v>
      </c>
      <c r="O59" s="1347">
        <f t="shared" si="16"/>
        <v>44166</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2402</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2367</v>
      </c>
      <c r="B62" s="467"/>
      <c r="C62" s="479" t="s">
        <v>2469</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2405</v>
      </c>
      <c r="B64" s="485" t="s">
        <v>2371</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2374</v>
      </c>
      <c r="C66" s="496" t="s">
        <v>2406</v>
      </c>
      <c r="D66" s="496" t="s">
        <v>2407</v>
      </c>
      <c r="E66" s="496" t="s">
        <v>2408</v>
      </c>
      <c r="F66" s="496" t="s">
        <v>2409</v>
      </c>
      <c r="G66" s="496" t="s">
        <v>2410</v>
      </c>
      <c r="H66" s="496" t="s">
        <v>2411</v>
      </c>
      <c r="I66" s="496" t="s">
        <v>2412</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2375</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2376</v>
      </c>
      <c r="B77" s="485" t="s">
        <v>2514</v>
      </c>
      <c r="C77" s="530" t="s">
        <v>2414</v>
      </c>
      <c r="D77" s="530" t="s">
        <v>2415</v>
      </c>
      <c r="E77" s="530" t="s">
        <v>2416</v>
      </c>
      <c r="F77" s="530" t="s">
        <v>2417</v>
      </c>
      <c r="G77" s="530" t="s">
        <v>2418</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2419</v>
      </c>
      <c r="C79" s="535" t="s">
        <v>2414</v>
      </c>
      <c r="D79" s="535" t="s">
        <v>2415</v>
      </c>
      <c r="E79" s="535" t="s">
        <v>2416</v>
      </c>
      <c r="F79" s="535" t="s">
        <v>2417</v>
      </c>
      <c r="G79" s="535" t="s">
        <v>2418</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2420</v>
      </c>
      <c r="C81" s="535" t="s">
        <v>2414</v>
      </c>
      <c r="D81" s="535" t="s">
        <v>2415</v>
      </c>
      <c r="E81" s="535" t="s">
        <v>2416</v>
      </c>
      <c r="F81" s="535" t="s">
        <v>2417</v>
      </c>
      <c r="G81" s="535" t="s">
        <v>2418</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2506</v>
      </c>
      <c r="C83" s="616" t="s">
        <v>2492</v>
      </c>
      <c r="D83" s="616" t="s">
        <v>2493</v>
      </c>
      <c r="E83" s="616" t="s">
        <v>2494</v>
      </c>
      <c r="F83" s="616" t="s">
        <v>2495</v>
      </c>
      <c r="G83" s="616" t="s">
        <v>2496</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2515</v>
      </c>
      <c r="C85" s="535" t="s">
        <v>2414</v>
      </c>
      <c r="D85" s="535" t="s">
        <v>2415</v>
      </c>
      <c r="E85" s="535" t="s">
        <v>2416</v>
      </c>
      <c r="F85" s="535" t="s">
        <v>2417</v>
      </c>
      <c r="G85" s="535" t="s">
        <v>2418</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2516</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2380</v>
      </c>
      <c r="B101" s="485" t="s">
        <v>2429</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2430</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2431</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2433</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1872</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2517</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2434</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2435</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2518</v>
      </c>
      <c r="C119" s="540"/>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2501</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2437</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2438</v>
      </c>
      <c r="C125" s="535" t="s">
        <v>2414</v>
      </c>
      <c r="D125" s="535" t="s">
        <v>2415</v>
      </c>
      <c r="E125" s="535" t="s">
        <v>2416</v>
      </c>
      <c r="F125" s="535" t="s">
        <v>2417</v>
      </c>
      <c r="G125" s="535" t="s">
        <v>2418</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4" priority="20" stopIfTrue="1" operator="containsText" text="超过">
      <formula>NOT(ISERROR(SEARCH("超过",F53)))</formula>
    </cfRule>
  </conditionalFormatting>
  <conditionalFormatting sqref="H55">
    <cfRule type="containsText" dxfId="113" priority="19" stopIfTrue="1" operator="containsText" text="超过">
      <formula>NOT(ISERROR(SEARCH("超过",H55)))</formula>
    </cfRule>
  </conditionalFormatting>
  <conditionalFormatting sqref="F55">
    <cfRule type="containsText" dxfId="112" priority="18" stopIfTrue="1" operator="containsText" text="超过">
      <formula>NOT(ISERROR(SEARCH("超过",F55)))</formula>
    </cfRule>
  </conditionalFormatting>
  <conditionalFormatting sqref="F54 H54">
    <cfRule type="containsText" dxfId="111" priority="17" stopIfTrue="1" operator="containsText" text="超过">
      <formula>NOT(ISERROR(SEARCH("超过",F54)))</formula>
    </cfRule>
  </conditionalFormatting>
  <conditionalFormatting sqref="E53">
    <cfRule type="expression" dxfId="110" priority="16" stopIfTrue="1">
      <formula>$F$53="超过30%"</formula>
    </cfRule>
  </conditionalFormatting>
  <conditionalFormatting sqref="E54">
    <cfRule type="expression" dxfId="109" priority="15" stopIfTrue="1">
      <formula>$F$54="超过20%"</formula>
    </cfRule>
  </conditionalFormatting>
  <conditionalFormatting sqref="E55">
    <cfRule type="expression" dxfId="108" priority="14" stopIfTrue="1">
      <formula>$F$55="超过30%"</formula>
    </cfRule>
  </conditionalFormatting>
  <conditionalFormatting sqref="G55">
    <cfRule type="expression" dxfId="107" priority="13" stopIfTrue="1">
      <formula>$H$55="超过30%"</formula>
    </cfRule>
  </conditionalFormatting>
  <conditionalFormatting sqref="G53">
    <cfRule type="expression" dxfId="106" priority="12" stopIfTrue="1">
      <formula>$H$53="超过30%"</formula>
    </cfRule>
  </conditionalFormatting>
  <conditionalFormatting sqref="G54">
    <cfRule type="expression" dxfId="105" priority="11" stopIfTrue="1">
      <formula>$H$54="超过20%"</formula>
    </cfRule>
  </conditionalFormatting>
  <conditionalFormatting sqref="J53">
    <cfRule type="containsText" dxfId="104" priority="10" stopIfTrue="1" operator="containsText" text="超过">
      <formula>NOT(ISERROR(SEARCH("超过",J53)))</formula>
    </cfRule>
  </conditionalFormatting>
  <conditionalFormatting sqref="J55">
    <cfRule type="containsText" dxfId="103" priority="9" stopIfTrue="1" operator="containsText" text="超过">
      <formula>NOT(ISERROR(SEARCH("超过",J55)))</formula>
    </cfRule>
  </conditionalFormatting>
  <conditionalFormatting sqref="J54">
    <cfRule type="containsText" dxfId="102" priority="8" stopIfTrue="1" operator="containsText" text="超过">
      <formula>NOT(ISERROR(SEARCH("超过",J54)))</formula>
    </cfRule>
  </conditionalFormatting>
  <conditionalFormatting sqref="I53">
    <cfRule type="expression" dxfId="101" priority="7" stopIfTrue="1">
      <formula>$J$53="超过30%"</formula>
    </cfRule>
  </conditionalFormatting>
  <conditionalFormatting sqref="I54">
    <cfRule type="expression" dxfId="100" priority="6" stopIfTrue="1">
      <formula>$J$53+$J$54="超过20%"</formula>
    </cfRule>
  </conditionalFormatting>
  <conditionalFormatting sqref="I55">
    <cfRule type="expression" dxfId="99" priority="5" stopIfTrue="1">
      <formula>$J$55="超过30%"</formula>
    </cfRule>
  </conditionalFormatting>
  <conditionalFormatting sqref="F49">
    <cfRule type="expression" dxfId="98" priority="4">
      <formula>$D$49="简单平均"</formula>
    </cfRule>
  </conditionalFormatting>
  <conditionalFormatting sqref="H49">
    <cfRule type="expression" dxfId="97" priority="3">
      <formula>$D$49="简单平均"</formula>
    </cfRule>
  </conditionalFormatting>
  <conditionalFormatting sqref="J49">
    <cfRule type="expression" dxfId="96" priority="2">
      <formula>$D$49="简单平均"</formula>
    </cfRule>
  </conditionalFormatting>
  <conditionalFormatting sqref="F7:F47 H7:H47 J7:J47">
    <cfRule type="cellIs" dxfId="95" priority="1" operator="notEqual">
      <formula>100</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C10 E10 G10 I10" xr:uid="{00000000-0002-0000-1D00-000006000000}">
      <formula1>土地年限区间</formula1>
    </dataValidation>
    <dataValidation type="list" allowBlank="1" showInputMessage="1" showErrorMessage="1" sqref="E9 G9 I9" xr:uid="{00000000-0002-0000-1D00-000007000000}">
      <formula1>办公用途</formula1>
    </dataValidation>
    <dataValidation type="list" allowBlank="1" showInputMessage="1" showErrorMessage="1" sqref="C16 E16 G16 I16" xr:uid="{00000000-0002-0000-1D00-000008000000}">
      <formula1>办公集聚程度</formula1>
    </dataValidation>
    <dataValidation type="list" allowBlank="1" showInputMessage="1" showErrorMessage="1" sqref="G26 C26 E26 I26" xr:uid="{00000000-0002-0000-1D00-000009000000}">
      <formula1>办公道路级别</formula1>
    </dataValidation>
    <dataValidation type="list" allowBlank="1" showInputMessage="1" showErrorMessage="1" sqref="C28 E28 G28 I28" xr:uid="{00000000-0002-0000-1D00-00000A000000}">
      <formula1>办公朝向</formula1>
    </dataValidation>
    <dataValidation type="list" allowBlank="1" showInputMessage="1" showErrorMessage="1" sqref="C27 E27 G27 I27" xr:uid="{00000000-0002-0000-1D00-00000B000000}">
      <formula1>办公楼层</formula1>
    </dataValidation>
    <dataValidation type="list" allowBlank="1" showInputMessage="1" showErrorMessage="1" sqref="C33 E33 G33 I33" xr:uid="{00000000-0002-0000-1D00-00000C000000}">
      <formula1>办公建筑类型</formula1>
    </dataValidation>
    <dataValidation type="list" allowBlank="1" showInputMessage="1" showErrorMessage="1" sqref="C36 E36 G36 I36" xr:uid="{00000000-0002-0000-1D00-00000D000000}">
      <formula1>办公公共部分装修</formula1>
    </dataValidation>
    <dataValidation type="list" allowBlank="1" showInputMessage="1" showErrorMessage="1" sqref="C38 E38 G38 I38" xr:uid="{00000000-0002-0000-1D00-00000E000000}">
      <formula1>写字楼等级</formula1>
    </dataValidation>
    <dataValidation type="list" allowBlank="1" showInputMessage="1" showErrorMessage="1" sqref="C39 E39 G39 I39" xr:uid="{00000000-0002-0000-1D00-00000F000000}">
      <formula1>办公物业管理</formula1>
    </dataValidation>
    <dataValidation type="list" allowBlank="1" showInputMessage="1" showErrorMessage="1" sqref="C40 E40 G40 I40" xr:uid="{00000000-0002-0000-1D00-000010000000}">
      <formula1>办公基础设施水平</formula1>
    </dataValidation>
    <dataValidation type="list" allowBlank="1" showInputMessage="1" showErrorMessage="1" sqref="C41 E41 G41 I41" xr:uid="{00000000-0002-0000-1D00-000011000000}">
      <formula1>办公层高</formula1>
    </dataValidation>
    <dataValidation type="list" allowBlank="1" showInputMessage="1" showErrorMessage="1" sqref="C43 E43 G43 I43" xr:uid="{00000000-0002-0000-1D00-000012000000}">
      <formula1>办公内部装修</formula1>
    </dataValidation>
    <dataValidation type="list" allowBlank="1" showInputMessage="1" showErrorMessage="1" sqref="C8 E8 G8 I8" xr:uid="{00000000-0002-0000-1D00-000013000000}">
      <formula1>办公交易情况</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 type="list" allowBlank="1" showInputMessage="1" showErrorMessage="1" sqref="D49" xr:uid="{00000000-0002-0000-1D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2345</v>
      </c>
      <c r="B1" s="2143" t="s">
        <v>2519</v>
      </c>
      <c r="C1" s="1392" t="s">
        <v>2347</v>
      </c>
      <c r="D1" s="1393"/>
      <c r="E1" s="1402"/>
      <c r="F1" s="2065"/>
      <c r="G1" s="1403" t="s">
        <v>2460</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2144</v>
      </c>
      <c r="B2" s="1326" t="e">
        <f ca="1">IF(C2="——",ROUND(C43*D3/10000,0),ROUND(C43*D3/10000,0)-D2)</f>
        <v>#DIV/0!</v>
      </c>
      <c r="C2" s="2067"/>
      <c r="D2" s="1038" t="e">
        <f ca="1">SUMIF(INDIRECT("'"&amp;F2&amp;"'"&amp;"!A:A"),"承租人权益价值",INDIRECT("'"&amp;F2&amp;"'"&amp;"!c:c"))</f>
        <v>#REF!</v>
      </c>
      <c r="E2" s="2068" t="s">
        <v>2145</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2146</v>
      </c>
      <c r="B3" s="566" t="e">
        <f ca="1">IF(C2="——",C43,ROUND(B2*10000/D3,0))</f>
        <v>#DIV/0!</v>
      </c>
      <c r="C3" s="360" t="s">
        <v>2461</v>
      </c>
      <c r="D3" s="359">
        <f>IF(D1="",'数据-汇总表'!E3,SUMIF('数据-汇总表'!$C19:$C33,D1,'数据-汇总表'!$E19:$E33))</f>
        <v>93605.4</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2462</v>
      </c>
      <c r="B4" s="362"/>
      <c r="C4" s="3366" t="s">
        <v>2463</v>
      </c>
      <c r="D4" s="3379"/>
      <c r="E4" s="3380" t="s">
        <v>2464</v>
      </c>
      <c r="F4" s="3381"/>
      <c r="G4" s="3366" t="s">
        <v>2465</v>
      </c>
      <c r="H4" s="3379"/>
      <c r="I4" s="3366" t="s">
        <v>2466</v>
      </c>
      <c r="J4" s="3379"/>
      <c r="K4" s="567" t="s">
        <v>2467</v>
      </c>
      <c r="L4" s="1044"/>
      <c r="M4" s="1045"/>
      <c r="N4" s="1045"/>
      <c r="O4" s="1045"/>
      <c r="P4" s="3382" t="s">
        <v>2468</v>
      </c>
      <c r="Q4" s="3383"/>
      <c r="R4" s="3388" t="s">
        <v>2464</v>
      </c>
      <c r="S4" s="3389"/>
      <c r="T4" s="3388" t="s">
        <v>2465</v>
      </c>
      <c r="U4" s="3389"/>
      <c r="V4" s="3375" t="s">
        <v>2466</v>
      </c>
      <c r="W4" s="3375"/>
      <c r="X4" s="1539"/>
      <c r="Y4" s="3388" t="s">
        <v>2468</v>
      </c>
      <c r="Z4" s="3389"/>
      <c r="AA4" s="3376" t="s">
        <v>2464</v>
      </c>
      <c r="AB4" s="3377" t="s">
        <v>2465</v>
      </c>
      <c r="AC4" s="3376" t="s">
        <v>2466</v>
      </c>
    </row>
    <row r="5" spans="1:29" ht="15">
      <c r="A5" s="364"/>
      <c r="B5" s="365"/>
      <c r="C5" s="3396" t="s">
        <v>2359</v>
      </c>
      <c r="D5" s="3397"/>
      <c r="E5" s="3403" t="s">
        <v>2360</v>
      </c>
      <c r="F5" s="3404"/>
      <c r="G5" s="3396" t="s">
        <v>2361</v>
      </c>
      <c r="H5" s="3397"/>
      <c r="I5" s="3396" t="s">
        <v>2362</v>
      </c>
      <c r="J5" s="3397"/>
      <c r="K5" s="567"/>
      <c r="L5" s="1044"/>
      <c r="M5" s="1045"/>
      <c r="N5" s="1045"/>
      <c r="O5" s="1045"/>
      <c r="P5" s="3384"/>
      <c r="Q5" s="3385"/>
      <c r="R5" s="3390"/>
      <c r="S5" s="3391"/>
      <c r="T5" s="3390"/>
      <c r="U5" s="3391"/>
      <c r="V5" s="3375"/>
      <c r="W5" s="3375"/>
      <c r="X5" s="1539"/>
      <c r="Y5" s="3390"/>
      <c r="Z5" s="3391"/>
      <c r="AA5" s="3377"/>
      <c r="AB5" s="3377"/>
      <c r="AC5" s="3377"/>
    </row>
    <row r="6" spans="1:29" ht="15.75" thickBot="1">
      <c r="A6" s="366"/>
      <c r="B6" s="367"/>
      <c r="C6" s="3394" t="s">
        <v>2363</v>
      </c>
      <c r="D6" s="3395"/>
      <c r="E6" s="3401" t="s">
        <v>2363</v>
      </c>
      <c r="F6" s="3402"/>
      <c r="G6" s="3394" t="s">
        <v>2363</v>
      </c>
      <c r="H6" s="3395"/>
      <c r="I6" s="3394" t="s">
        <v>2363</v>
      </c>
      <c r="J6" s="3395"/>
      <c r="K6" s="567" t="s">
        <v>2364</v>
      </c>
      <c r="L6" s="1044"/>
      <c r="M6" s="1045"/>
      <c r="N6" s="1045"/>
      <c r="O6" s="1045"/>
      <c r="P6" s="3386"/>
      <c r="Q6" s="3387"/>
      <c r="R6" s="3390"/>
      <c r="S6" s="3391"/>
      <c r="T6" s="3392"/>
      <c r="U6" s="3393"/>
      <c r="V6" s="3375"/>
      <c r="W6" s="3375"/>
      <c r="X6" s="1539"/>
      <c r="Y6" s="3392"/>
      <c r="Z6" s="3393"/>
      <c r="AA6" s="3378"/>
      <c r="AB6" s="3378"/>
      <c r="AC6" s="3378"/>
    </row>
    <row r="7" spans="1:29" s="113" customFormat="1" ht="15.75" thickBot="1">
      <c r="A7" s="368" t="s">
        <v>2365</v>
      </c>
      <c r="B7" s="369"/>
      <c r="C7" s="370">
        <f>'数据-取费表'!B2</f>
        <v>44555</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98" t="s">
        <v>2366</v>
      </c>
      <c r="Q7" s="3400"/>
      <c r="R7" s="710" t="s">
        <v>17</v>
      </c>
      <c r="S7" s="711">
        <f t="shared" ref="S7:S15" si="0">F7</f>
        <v>0</v>
      </c>
      <c r="T7" s="710" t="s">
        <v>17</v>
      </c>
      <c r="U7" s="711">
        <f t="shared" ref="U7:U15" si="1">H7</f>
        <v>0</v>
      </c>
      <c r="V7" s="710" t="s">
        <v>17</v>
      </c>
      <c r="W7" s="711">
        <f t="shared" ref="W7:W15" si="2">J7</f>
        <v>0</v>
      </c>
      <c r="X7" s="712"/>
      <c r="Y7" s="3398" t="s">
        <v>2366</v>
      </c>
      <c r="Z7" s="3399"/>
      <c r="AA7" s="713" t="e">
        <f>D7/F7</f>
        <v>#DIV/0!</v>
      </c>
      <c r="AB7" s="713" t="e">
        <f>D7/H7</f>
        <v>#DIV/0!</v>
      </c>
      <c r="AC7" s="713" t="e">
        <f>D7/J7</f>
        <v>#DIV/0!</v>
      </c>
    </row>
    <row r="8" spans="1:29" s="113" customFormat="1" ht="15.75" thickBot="1">
      <c r="A8" s="368" t="s">
        <v>2367</v>
      </c>
      <c r="B8" s="369"/>
      <c r="C8" s="374" t="s">
        <v>2368</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98" t="s">
        <v>2369</v>
      </c>
      <c r="Q8" s="3399"/>
      <c r="R8" s="710" t="s">
        <v>17</v>
      </c>
      <c r="S8" s="711">
        <f t="shared" si="0"/>
        <v>0</v>
      </c>
      <c r="T8" s="710" t="s">
        <v>17</v>
      </c>
      <c r="U8" s="711">
        <f t="shared" si="1"/>
        <v>0</v>
      </c>
      <c r="V8" s="710" t="s">
        <v>17</v>
      </c>
      <c r="W8" s="711">
        <f t="shared" si="2"/>
        <v>0</v>
      </c>
      <c r="X8" s="712"/>
      <c r="Y8" s="3398" t="s">
        <v>2369</v>
      </c>
      <c r="Z8" s="3399"/>
      <c r="AA8" s="713" t="e">
        <f t="shared" ref="AA8:AA40" si="3">D8/F8</f>
        <v>#DIV/0!</v>
      </c>
      <c r="AB8" s="713" t="e">
        <f t="shared" ref="AB8:AB40" si="4">D8/H8</f>
        <v>#DIV/0!</v>
      </c>
      <c r="AC8" s="713" t="e">
        <f t="shared" ref="AC8:AC40" si="5">D8/J8</f>
        <v>#DIV/0!</v>
      </c>
    </row>
    <row r="9" spans="1:29" s="113" customFormat="1">
      <c r="A9" s="375" t="s">
        <v>2370</v>
      </c>
      <c r="B9" s="67" t="s">
        <v>2371</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69" t="s">
        <v>2372</v>
      </c>
      <c r="Q9" s="1527" t="str">
        <f t="shared" ref="Q9:Q15" si="6">B9</f>
        <v>用途</v>
      </c>
      <c r="R9" s="710" t="s">
        <v>17</v>
      </c>
      <c r="S9" s="711">
        <f t="shared" si="0"/>
        <v>100</v>
      </c>
      <c r="T9" s="710" t="s">
        <v>17</v>
      </c>
      <c r="U9" s="711">
        <f t="shared" si="1"/>
        <v>100</v>
      </c>
      <c r="V9" s="710" t="s">
        <v>17</v>
      </c>
      <c r="W9" s="711">
        <f t="shared" si="2"/>
        <v>100</v>
      </c>
      <c r="X9" s="712"/>
      <c r="Y9" s="3263"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69"/>
      <c r="Q10" s="1527" t="str">
        <f t="shared" si="6"/>
        <v>土地使用年限（年）</v>
      </c>
      <c r="R10" s="710" t="s">
        <v>17</v>
      </c>
      <c r="S10" s="711">
        <f t="shared" si="0"/>
        <v>100</v>
      </c>
      <c r="T10" s="710" t="s">
        <v>17</v>
      </c>
      <c r="U10" s="711">
        <f t="shared" si="1"/>
        <v>100</v>
      </c>
      <c r="V10" s="710" t="s">
        <v>17</v>
      </c>
      <c r="W10" s="711">
        <f t="shared" si="2"/>
        <v>100</v>
      </c>
      <c r="X10" s="712"/>
      <c r="Y10" s="3263"/>
      <c r="Z10" s="55" t="str">
        <f t="shared" si="7"/>
        <v>土地使用年限（年）</v>
      </c>
      <c r="AA10" s="713">
        <f t="shared" si="3"/>
        <v>1</v>
      </c>
      <c r="AB10" s="713">
        <f t="shared" si="4"/>
        <v>1</v>
      </c>
      <c r="AC10" s="713">
        <f t="shared" si="5"/>
        <v>1</v>
      </c>
    </row>
    <row r="11" spans="1:29" ht="15">
      <c r="A11" s="387"/>
      <c r="B11" s="381" t="s">
        <v>2375</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69"/>
      <c r="Q11" s="1527" t="str">
        <f t="shared" si="6"/>
        <v>容积率</v>
      </c>
      <c r="R11" s="710" t="s">
        <v>17</v>
      </c>
      <c r="S11" s="711" t="e">
        <f t="shared" si="0"/>
        <v>#N/A</v>
      </c>
      <c r="T11" s="710" t="s">
        <v>17</v>
      </c>
      <c r="U11" s="711" t="e">
        <f t="shared" si="1"/>
        <v>#N/A</v>
      </c>
      <c r="V11" s="710" t="s">
        <v>17</v>
      </c>
      <c r="W11" s="711" t="e">
        <f t="shared" si="2"/>
        <v>#N/A</v>
      </c>
      <c r="X11" s="712"/>
      <c r="Y11" s="3263"/>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69"/>
      <c r="Q12" s="1527">
        <f t="shared" si="6"/>
        <v>111</v>
      </c>
      <c r="R12" s="710" t="s">
        <v>17</v>
      </c>
      <c r="S12" s="711">
        <f t="shared" si="0"/>
        <v>100</v>
      </c>
      <c r="T12" s="710" t="s">
        <v>17</v>
      </c>
      <c r="U12" s="711">
        <f t="shared" si="1"/>
        <v>100</v>
      </c>
      <c r="V12" s="710" t="s">
        <v>17</v>
      </c>
      <c r="W12" s="711">
        <f t="shared" si="2"/>
        <v>100</v>
      </c>
      <c r="X12" s="712"/>
      <c r="Y12" s="3263"/>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69"/>
      <c r="Q13" s="1527">
        <f t="shared" si="6"/>
        <v>111</v>
      </c>
      <c r="R13" s="710" t="s">
        <v>17</v>
      </c>
      <c r="S13" s="711">
        <f t="shared" si="0"/>
        <v>100</v>
      </c>
      <c r="T13" s="710" t="s">
        <v>17</v>
      </c>
      <c r="U13" s="711">
        <f t="shared" si="1"/>
        <v>100</v>
      </c>
      <c r="V13" s="710" t="s">
        <v>17</v>
      </c>
      <c r="W13" s="711">
        <f t="shared" si="2"/>
        <v>100</v>
      </c>
      <c r="X13" s="712"/>
      <c r="Y13" s="3263"/>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69"/>
      <c r="Q14" s="1527">
        <f t="shared" si="6"/>
        <v>111</v>
      </c>
      <c r="R14" s="710" t="s">
        <v>17</v>
      </c>
      <c r="S14" s="711">
        <f t="shared" si="0"/>
        <v>100</v>
      </c>
      <c r="T14" s="710" t="s">
        <v>17</v>
      </c>
      <c r="U14" s="711">
        <f t="shared" si="1"/>
        <v>100</v>
      </c>
      <c r="V14" s="710" t="s">
        <v>17</v>
      </c>
      <c r="W14" s="711">
        <f t="shared" si="2"/>
        <v>100</v>
      </c>
      <c r="X14" s="712"/>
      <c r="Y14" s="3263"/>
      <c r="Z14" s="55">
        <f t="shared" si="7"/>
        <v>111</v>
      </c>
      <c r="AA14" s="713">
        <f t="shared" si="3"/>
        <v>1</v>
      </c>
      <c r="AB14" s="713">
        <f t="shared" si="4"/>
        <v>1</v>
      </c>
      <c r="AC14" s="713">
        <f t="shared" si="5"/>
        <v>1</v>
      </c>
    </row>
    <row r="15" spans="1:29" ht="57">
      <c r="A15" s="399" t="s">
        <v>2376</v>
      </c>
      <c r="B15" s="65" t="s">
        <v>2520</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71" t="s">
        <v>2377</v>
      </c>
      <c r="Q15" s="1536" t="str">
        <f t="shared" si="6"/>
        <v>产业集聚程度</v>
      </c>
      <c r="R15" s="714" t="s">
        <v>17</v>
      </c>
      <c r="S15" s="715">
        <f t="shared" si="0"/>
        <v>100</v>
      </c>
      <c r="T15" s="714" t="s">
        <v>17</v>
      </c>
      <c r="U15" s="715">
        <f t="shared" si="1"/>
        <v>100</v>
      </c>
      <c r="V15" s="714" t="s">
        <v>17</v>
      </c>
      <c r="W15" s="715">
        <f t="shared" si="2"/>
        <v>100</v>
      </c>
      <c r="X15" s="1539"/>
      <c r="Y15" s="3371" t="s">
        <v>2377</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72"/>
      <c r="Q16" s="1536"/>
      <c r="R16" s="714"/>
      <c r="S16" s="715"/>
      <c r="T16" s="714"/>
      <c r="U16" s="715"/>
      <c r="V16" s="714"/>
      <c r="W16" s="715"/>
      <c r="X16" s="1539"/>
      <c r="Y16" s="3372"/>
      <c r="Z16" s="1540"/>
      <c r="AA16" s="1537">
        <v>1</v>
      </c>
      <c r="AB16" s="1537">
        <v>1</v>
      </c>
      <c r="AC16" s="1537">
        <v>1</v>
      </c>
    </row>
    <row r="17" spans="1:29" ht="85.5">
      <c r="A17" s="387"/>
      <c r="B17" s="410" t="s">
        <v>1941</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72"/>
      <c r="Q17" s="1536" t="str">
        <f>B17</f>
        <v>交通便捷度</v>
      </c>
      <c r="R17" s="714" t="s">
        <v>17</v>
      </c>
      <c r="S17" s="715">
        <f>F17</f>
        <v>100</v>
      </c>
      <c r="T17" s="714" t="s">
        <v>17</v>
      </c>
      <c r="U17" s="715">
        <f>H17</f>
        <v>100</v>
      </c>
      <c r="V17" s="714" t="s">
        <v>17</v>
      </c>
      <c r="W17" s="715">
        <f>J17</f>
        <v>100</v>
      </c>
      <c r="X17" s="1539"/>
      <c r="Y17" s="3372"/>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72"/>
      <c r="Q18" s="1536"/>
      <c r="R18" s="714"/>
      <c r="S18" s="715"/>
      <c r="T18" s="714"/>
      <c r="U18" s="715"/>
      <c r="V18" s="714"/>
      <c r="W18" s="715"/>
      <c r="X18" s="1539"/>
      <c r="Y18" s="3372"/>
      <c r="Z18" s="1540"/>
      <c r="AA18" s="1537">
        <v>1</v>
      </c>
      <c r="AB18" s="1537">
        <v>1</v>
      </c>
      <c r="AC18" s="1537">
        <v>1</v>
      </c>
    </row>
    <row r="19" spans="1:29" ht="42.75">
      <c r="A19" s="387"/>
      <c r="B19" s="410" t="s">
        <v>2505</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72"/>
      <c r="Q19" s="1536" t="str">
        <f>B19</f>
        <v>公共配套设施</v>
      </c>
      <c r="R19" s="714" t="s">
        <v>17</v>
      </c>
      <c r="S19" s="715">
        <f>F19</f>
        <v>100</v>
      </c>
      <c r="T19" s="714" t="s">
        <v>17</v>
      </c>
      <c r="U19" s="715">
        <f>H19</f>
        <v>100</v>
      </c>
      <c r="V19" s="714" t="s">
        <v>17</v>
      </c>
      <c r="W19" s="715">
        <f>J19</f>
        <v>100</v>
      </c>
      <c r="X19" s="1539"/>
      <c r="Y19" s="3372"/>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72"/>
      <c r="Q20" s="1536"/>
      <c r="R20" s="714"/>
      <c r="S20" s="715"/>
      <c r="T20" s="714"/>
      <c r="U20" s="715"/>
      <c r="V20" s="714"/>
      <c r="W20" s="715"/>
      <c r="X20" s="1539"/>
      <c r="Y20" s="3372"/>
      <c r="Z20" s="1540"/>
      <c r="AA20" s="1537">
        <v>1</v>
      </c>
      <c r="AB20" s="1537">
        <v>1</v>
      </c>
      <c r="AC20" s="1537">
        <v>1</v>
      </c>
    </row>
    <row r="21" spans="1:29" ht="28.5">
      <c r="A21" s="387"/>
      <c r="B21" s="1293" t="s">
        <v>2506</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72"/>
      <c r="Q21" s="1536" t="str">
        <f>B21</f>
        <v>基础设施水平</v>
      </c>
      <c r="R21" s="714" t="s">
        <v>17</v>
      </c>
      <c r="S21" s="715">
        <f>F21</f>
        <v>100</v>
      </c>
      <c r="T21" s="714" t="s">
        <v>17</v>
      </c>
      <c r="U21" s="715">
        <f>H21</f>
        <v>100</v>
      </c>
      <c r="V21" s="714" t="s">
        <v>17</v>
      </c>
      <c r="W21" s="715">
        <f>J21</f>
        <v>100</v>
      </c>
      <c r="X21" s="1539"/>
      <c r="Y21" s="3372"/>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372"/>
      <c r="Q22" s="1536"/>
      <c r="R22" s="714"/>
      <c r="S22" s="715"/>
      <c r="T22" s="714"/>
      <c r="U22" s="715"/>
      <c r="V22" s="714"/>
      <c r="W22" s="715"/>
      <c r="X22" s="1539"/>
      <c r="Y22" s="3372"/>
      <c r="Z22" s="1540"/>
      <c r="AA22" s="1537">
        <v>1</v>
      </c>
      <c r="AB22" s="1537">
        <v>1</v>
      </c>
      <c r="AC22" s="1537">
        <v>1</v>
      </c>
    </row>
    <row r="23" spans="1:29" ht="71.25">
      <c r="A23" s="387"/>
      <c r="B23" s="410" t="s">
        <v>2507</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72"/>
      <c r="Q23" s="1536" t="str">
        <f>B23</f>
        <v>环境质量</v>
      </c>
      <c r="R23" s="714" t="s">
        <v>17</v>
      </c>
      <c r="S23" s="715">
        <f>F23</f>
        <v>100</v>
      </c>
      <c r="T23" s="714" t="s">
        <v>17</v>
      </c>
      <c r="U23" s="715">
        <f>H23</f>
        <v>100</v>
      </c>
      <c r="V23" s="714" t="s">
        <v>17</v>
      </c>
      <c r="W23" s="715">
        <f>J23</f>
        <v>100</v>
      </c>
      <c r="X23" s="1539"/>
      <c r="Y23" s="3372"/>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372"/>
      <c r="Q24" s="1536"/>
      <c r="R24" s="714"/>
      <c r="S24" s="715"/>
      <c r="T24" s="714"/>
      <c r="U24" s="715"/>
      <c r="V24" s="714"/>
      <c r="W24" s="715"/>
      <c r="X24" s="1539"/>
      <c r="Y24" s="3372"/>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72"/>
      <c r="Q25" s="1536">
        <f>B25</f>
        <v>111</v>
      </c>
      <c r="R25" s="714" t="s">
        <v>17</v>
      </c>
      <c r="S25" s="715">
        <f>F25</f>
        <v>100</v>
      </c>
      <c r="T25" s="714" t="s">
        <v>17</v>
      </c>
      <c r="U25" s="715">
        <f>H25</f>
        <v>100</v>
      </c>
      <c r="V25" s="714" t="s">
        <v>17</v>
      </c>
      <c r="W25" s="715">
        <f>J25</f>
        <v>100</v>
      </c>
      <c r="X25" s="1539"/>
      <c r="Y25" s="3372"/>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72"/>
      <c r="Q26" s="1536">
        <f t="shared" ref="Q26:Q40" si="11">B26</f>
        <v>111</v>
      </c>
      <c r="R26" s="714" t="s">
        <v>17</v>
      </c>
      <c r="S26" s="715">
        <f>F26</f>
        <v>100</v>
      </c>
      <c r="T26" s="714" t="s">
        <v>17</v>
      </c>
      <c r="U26" s="715">
        <f>H26</f>
        <v>100</v>
      </c>
      <c r="V26" s="714" t="s">
        <v>17</v>
      </c>
      <c r="W26" s="715">
        <f>J26</f>
        <v>100</v>
      </c>
      <c r="X26" s="1539"/>
      <c r="Y26" s="3372"/>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72"/>
      <c r="Q27" s="1527">
        <f t="shared" si="11"/>
        <v>111</v>
      </c>
      <c r="R27" s="710" t="s">
        <v>17</v>
      </c>
      <c r="S27" s="711">
        <f>F27</f>
        <v>100</v>
      </c>
      <c r="T27" s="710" t="s">
        <v>17</v>
      </c>
      <c r="U27" s="711">
        <f>H27</f>
        <v>100</v>
      </c>
      <c r="V27" s="710" t="s">
        <v>17</v>
      </c>
      <c r="W27" s="711">
        <f>J27</f>
        <v>100</v>
      </c>
      <c r="X27" s="712"/>
      <c r="Y27" s="3372"/>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72"/>
      <c r="Q28" s="1536">
        <f t="shared" si="11"/>
        <v>111</v>
      </c>
      <c r="R28" s="714" t="s">
        <v>17</v>
      </c>
      <c r="S28" s="715">
        <f t="shared" ref="S28:S40" si="12">F28</f>
        <v>100</v>
      </c>
      <c r="T28" s="714" t="s">
        <v>17</v>
      </c>
      <c r="U28" s="715">
        <f t="shared" ref="U28:U40" si="13">H28</f>
        <v>100</v>
      </c>
      <c r="V28" s="714" t="s">
        <v>17</v>
      </c>
      <c r="W28" s="715">
        <f t="shared" ref="W28:W40" si="14">J28</f>
        <v>100</v>
      </c>
      <c r="X28" s="1539"/>
      <c r="Y28" s="3372"/>
      <c r="Z28" s="1540">
        <f t="shared" ref="Z28:Z40" si="15">Q28</f>
        <v>111</v>
      </c>
      <c r="AA28" s="1537">
        <f t="shared" si="3"/>
        <v>1</v>
      </c>
      <c r="AB28" s="1537">
        <f t="shared" si="4"/>
        <v>1</v>
      </c>
      <c r="AC28" s="1537">
        <f t="shared" si="5"/>
        <v>1</v>
      </c>
    </row>
    <row r="29" spans="1:29" ht="28.5">
      <c r="A29" s="425" t="s">
        <v>2380</v>
      </c>
      <c r="B29" s="67" t="s">
        <v>2510</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73" t="s">
        <v>2382</v>
      </c>
      <c r="Q29" s="1536" t="str">
        <f t="shared" si="11"/>
        <v>建筑类型</v>
      </c>
      <c r="R29" s="714" t="s">
        <v>17</v>
      </c>
      <c r="S29" s="715">
        <f t="shared" si="12"/>
        <v>100</v>
      </c>
      <c r="T29" s="714" t="s">
        <v>17</v>
      </c>
      <c r="U29" s="715">
        <f t="shared" si="13"/>
        <v>100</v>
      </c>
      <c r="V29" s="714" t="s">
        <v>17</v>
      </c>
      <c r="W29" s="715">
        <f t="shared" si="14"/>
        <v>100</v>
      </c>
      <c r="X29" s="1539"/>
      <c r="Y29" s="3374" t="s">
        <v>2382</v>
      </c>
      <c r="Z29" s="1540" t="str">
        <f t="shared" si="15"/>
        <v>建筑类型</v>
      </c>
      <c r="AA29" s="1537">
        <f t="shared" si="3"/>
        <v>1</v>
      </c>
      <c r="AB29" s="1537">
        <f t="shared" si="4"/>
        <v>1</v>
      </c>
      <c r="AC29" s="1537">
        <f t="shared" si="5"/>
        <v>1</v>
      </c>
    </row>
    <row r="30" spans="1:29" s="430" customFormat="1" ht="15">
      <c r="A30" s="427"/>
      <c r="B30" s="381" t="s">
        <v>2383</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74"/>
      <c r="Q30" s="716" t="str">
        <f t="shared" si="11"/>
        <v>项目建筑规模</v>
      </c>
      <c r="R30" s="717" t="s">
        <v>17</v>
      </c>
      <c r="S30" s="718" t="e">
        <f t="shared" si="12"/>
        <v>#N/A</v>
      </c>
      <c r="T30" s="717" t="s">
        <v>17</v>
      </c>
      <c r="U30" s="718" t="e">
        <f t="shared" si="13"/>
        <v>#N/A</v>
      </c>
      <c r="V30" s="717" t="s">
        <v>17</v>
      </c>
      <c r="W30" s="718" t="e">
        <f t="shared" si="14"/>
        <v>#N/A</v>
      </c>
      <c r="X30" s="719"/>
      <c r="Y30" s="3374"/>
      <c r="Z30" s="720" t="str">
        <f t="shared" si="15"/>
        <v>项目建筑规模</v>
      </c>
      <c r="AA30" s="1537" t="e">
        <f t="shared" si="3"/>
        <v>#N/A</v>
      </c>
      <c r="AB30" s="1537" t="e">
        <f t="shared" si="4"/>
        <v>#N/A</v>
      </c>
      <c r="AC30" s="1537" t="e">
        <f t="shared" si="5"/>
        <v>#N/A</v>
      </c>
    </row>
    <row r="31" spans="1:29" ht="15">
      <c r="A31" s="431"/>
      <c r="B31" s="381" t="s">
        <v>2384</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74"/>
      <c r="Q31" s="1536" t="str">
        <f t="shared" si="11"/>
        <v>建筑结构</v>
      </c>
      <c r="R31" s="714" t="s">
        <v>17</v>
      </c>
      <c r="S31" s="715">
        <f t="shared" si="12"/>
        <v>100</v>
      </c>
      <c r="T31" s="714" t="s">
        <v>17</v>
      </c>
      <c r="U31" s="715">
        <f t="shared" si="13"/>
        <v>100</v>
      </c>
      <c r="V31" s="714" t="s">
        <v>17</v>
      </c>
      <c r="W31" s="715">
        <f t="shared" si="14"/>
        <v>100</v>
      </c>
      <c r="X31" s="1539"/>
      <c r="Y31" s="3374"/>
      <c r="Z31" s="1540" t="str">
        <f t="shared" si="15"/>
        <v>建筑结构</v>
      </c>
      <c r="AA31" s="1537">
        <f t="shared" si="3"/>
        <v>1</v>
      </c>
      <c r="AB31" s="1537">
        <f t="shared" si="4"/>
        <v>1</v>
      </c>
      <c r="AC31" s="1537">
        <f t="shared" si="5"/>
        <v>1</v>
      </c>
    </row>
    <row r="32" spans="1:29" ht="15">
      <c r="A32" s="431"/>
      <c r="B32" s="381" t="s">
        <v>2478</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74"/>
      <c r="Q32" s="1536" t="str">
        <f t="shared" si="11"/>
        <v>公共部分装修</v>
      </c>
      <c r="R32" s="714" t="s">
        <v>17</v>
      </c>
      <c r="S32" s="715">
        <f t="shared" si="12"/>
        <v>100</v>
      </c>
      <c r="T32" s="714" t="s">
        <v>17</v>
      </c>
      <c r="U32" s="715">
        <f t="shared" si="13"/>
        <v>100</v>
      </c>
      <c r="V32" s="714" t="s">
        <v>17</v>
      </c>
      <c r="W32" s="715">
        <f t="shared" si="14"/>
        <v>100</v>
      </c>
      <c r="X32" s="1539"/>
      <c r="Y32" s="3374"/>
      <c r="Z32" s="1540" t="str">
        <f t="shared" si="15"/>
        <v>公共部分装修</v>
      </c>
      <c r="AA32" s="1537">
        <f t="shared" si="3"/>
        <v>1</v>
      </c>
      <c r="AB32" s="1537">
        <f t="shared" si="4"/>
        <v>1</v>
      </c>
      <c r="AC32" s="1537">
        <f t="shared" si="5"/>
        <v>1</v>
      </c>
    </row>
    <row r="33" spans="1:29" ht="15">
      <c r="A33" s="431"/>
      <c r="B33" s="381" t="s">
        <v>2479</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74"/>
      <c r="Q33" s="1536" t="str">
        <f t="shared" si="11"/>
        <v>成新度</v>
      </c>
      <c r="R33" s="714" t="s">
        <v>17</v>
      </c>
      <c r="S33" s="715" t="e">
        <f t="shared" si="12"/>
        <v>#N/A</v>
      </c>
      <c r="T33" s="714" t="s">
        <v>17</v>
      </c>
      <c r="U33" s="715" t="e">
        <f t="shared" si="13"/>
        <v>#N/A</v>
      </c>
      <c r="V33" s="714" t="s">
        <v>17</v>
      </c>
      <c r="W33" s="715" t="e">
        <f t="shared" si="14"/>
        <v>#N/A</v>
      </c>
      <c r="X33" s="1539"/>
      <c r="Y33" s="3374"/>
      <c r="Z33" s="1540" t="str">
        <f t="shared" si="15"/>
        <v>成新度</v>
      </c>
      <c r="AA33" s="1537" t="e">
        <f t="shared" si="3"/>
        <v>#N/A</v>
      </c>
      <c r="AB33" s="1537" t="e">
        <f t="shared" si="4"/>
        <v>#N/A</v>
      </c>
      <c r="AC33" s="1537" t="e">
        <f t="shared" si="5"/>
        <v>#N/A</v>
      </c>
    </row>
    <row r="34" spans="1:29" s="113" customFormat="1" ht="15">
      <c r="A34" s="432"/>
      <c r="B34" s="381" t="s">
        <v>2512</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74"/>
      <c r="Q34" s="1527" t="str">
        <f t="shared" si="11"/>
        <v>物业管理</v>
      </c>
      <c r="R34" s="710" t="s">
        <v>17</v>
      </c>
      <c r="S34" s="711">
        <f t="shared" si="12"/>
        <v>100</v>
      </c>
      <c r="T34" s="710" t="s">
        <v>17</v>
      </c>
      <c r="U34" s="711">
        <f t="shared" si="13"/>
        <v>100</v>
      </c>
      <c r="V34" s="710" t="s">
        <v>17</v>
      </c>
      <c r="W34" s="711">
        <f t="shared" si="14"/>
        <v>100</v>
      </c>
      <c r="X34" s="712"/>
      <c r="Y34" s="3374"/>
      <c r="Z34" s="55" t="str">
        <f t="shared" si="15"/>
        <v>物业管理</v>
      </c>
      <c r="AA34" s="713">
        <f t="shared" si="3"/>
        <v>1</v>
      </c>
      <c r="AB34" s="713">
        <f t="shared" si="4"/>
        <v>1</v>
      </c>
      <c r="AC34" s="713">
        <f t="shared" si="5"/>
        <v>1</v>
      </c>
    </row>
    <row r="35" spans="1:29" ht="15">
      <c r="A35" s="431"/>
      <c r="B35" s="381" t="s">
        <v>2480</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74" t="s">
        <v>2382</v>
      </c>
      <c r="Q35" s="1536" t="str">
        <f t="shared" si="11"/>
        <v>市政基础设施</v>
      </c>
      <c r="R35" s="714" t="s">
        <v>17</v>
      </c>
      <c r="S35" s="715">
        <f t="shared" si="12"/>
        <v>100</v>
      </c>
      <c r="T35" s="714" t="s">
        <v>17</v>
      </c>
      <c r="U35" s="715">
        <f t="shared" si="13"/>
        <v>100</v>
      </c>
      <c r="V35" s="714" t="s">
        <v>17</v>
      </c>
      <c r="W35" s="715">
        <f t="shared" si="14"/>
        <v>100</v>
      </c>
      <c r="X35" s="1539"/>
      <c r="Y35" s="3374" t="s">
        <v>2382</v>
      </c>
      <c r="Z35" s="1540" t="str">
        <f t="shared" si="15"/>
        <v>市政基础设施</v>
      </c>
      <c r="AA35" s="1537">
        <f t="shared" si="3"/>
        <v>1</v>
      </c>
      <c r="AB35" s="1537">
        <f t="shared" si="4"/>
        <v>1</v>
      </c>
      <c r="AC35" s="1537">
        <f t="shared" si="5"/>
        <v>1</v>
      </c>
    </row>
    <row r="36" spans="1:29" ht="15">
      <c r="A36" s="431"/>
      <c r="B36" s="381" t="s">
        <v>2485</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74"/>
      <c r="Q36" s="1536" t="str">
        <f t="shared" si="11"/>
        <v>内部装修</v>
      </c>
      <c r="R36" s="714" t="s">
        <v>17</v>
      </c>
      <c r="S36" s="715">
        <f t="shared" si="12"/>
        <v>100</v>
      </c>
      <c r="T36" s="714" t="s">
        <v>17</v>
      </c>
      <c r="U36" s="715">
        <f t="shared" si="13"/>
        <v>100</v>
      </c>
      <c r="V36" s="714" t="s">
        <v>17</v>
      </c>
      <c r="W36" s="715">
        <f t="shared" si="14"/>
        <v>100</v>
      </c>
      <c r="X36" s="1539"/>
      <c r="Y36" s="3374"/>
      <c r="Z36" s="1540" t="str">
        <f t="shared" si="15"/>
        <v>内部装修</v>
      </c>
      <c r="AA36" s="1537">
        <f t="shared" si="3"/>
        <v>1</v>
      </c>
      <c r="AB36" s="1537">
        <f t="shared" si="4"/>
        <v>1</v>
      </c>
      <c r="AC36" s="1537">
        <f t="shared" si="5"/>
        <v>1</v>
      </c>
    </row>
    <row r="37" spans="1:29" ht="15">
      <c r="A37" s="431"/>
      <c r="B37" s="381" t="s">
        <v>2521</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74"/>
      <c r="Q37" s="1536" t="str">
        <f t="shared" si="11"/>
        <v>内部装修状况</v>
      </c>
      <c r="R37" s="714" t="s">
        <v>17</v>
      </c>
      <c r="S37" s="715">
        <f t="shared" si="12"/>
        <v>100</v>
      </c>
      <c r="T37" s="714" t="s">
        <v>17</v>
      </c>
      <c r="U37" s="715">
        <f t="shared" si="13"/>
        <v>100</v>
      </c>
      <c r="V37" s="714" t="s">
        <v>17</v>
      </c>
      <c r="W37" s="715">
        <f t="shared" si="14"/>
        <v>100</v>
      </c>
      <c r="X37" s="1539"/>
      <c r="Y37" s="3374"/>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74"/>
      <c r="Q38" s="716">
        <f t="shared" si="11"/>
        <v>111</v>
      </c>
      <c r="R38" s="717" t="s">
        <v>17</v>
      </c>
      <c r="S38" s="718">
        <f t="shared" si="12"/>
        <v>100</v>
      </c>
      <c r="T38" s="717" t="s">
        <v>17</v>
      </c>
      <c r="U38" s="718">
        <f t="shared" si="13"/>
        <v>100</v>
      </c>
      <c r="V38" s="717" t="s">
        <v>17</v>
      </c>
      <c r="W38" s="718">
        <f t="shared" si="14"/>
        <v>100</v>
      </c>
      <c r="X38" s="719"/>
      <c r="Y38" s="3374"/>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74"/>
      <c r="Q39" s="1536">
        <f t="shared" si="11"/>
        <v>111</v>
      </c>
      <c r="R39" s="714" t="s">
        <v>17</v>
      </c>
      <c r="S39" s="715">
        <f t="shared" si="12"/>
        <v>100</v>
      </c>
      <c r="T39" s="714" t="s">
        <v>17</v>
      </c>
      <c r="U39" s="715">
        <f t="shared" si="13"/>
        <v>100</v>
      </c>
      <c r="V39" s="714" t="s">
        <v>17</v>
      </c>
      <c r="W39" s="715">
        <f t="shared" si="14"/>
        <v>100</v>
      </c>
      <c r="X39" s="1539"/>
      <c r="Y39" s="3374"/>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38"/>
      <c r="Q40" s="1536">
        <f t="shared" si="11"/>
        <v>111</v>
      </c>
      <c r="R40" s="714" t="s">
        <v>17</v>
      </c>
      <c r="S40" s="715">
        <f t="shared" si="12"/>
        <v>100</v>
      </c>
      <c r="T40" s="714" t="s">
        <v>17</v>
      </c>
      <c r="U40" s="715">
        <f t="shared" si="13"/>
        <v>100</v>
      </c>
      <c r="V40" s="714" t="s">
        <v>17</v>
      </c>
      <c r="W40" s="715">
        <f t="shared" si="14"/>
        <v>100</v>
      </c>
      <c r="X40" s="1539"/>
      <c r="Y40" s="3438"/>
      <c r="Z40" s="1540">
        <f t="shared" si="15"/>
        <v>111</v>
      </c>
      <c r="AA40" s="1537">
        <f t="shared" si="3"/>
        <v>1</v>
      </c>
      <c r="AB40" s="1537">
        <f t="shared" si="4"/>
        <v>1</v>
      </c>
      <c r="AC40" s="1537">
        <f t="shared" si="5"/>
        <v>1</v>
      </c>
    </row>
    <row r="41" spans="1:29" ht="15">
      <c r="A41" s="438" t="s">
        <v>2394</v>
      </c>
      <c r="B41" s="439"/>
      <c r="C41" s="1316" t="s">
        <v>1</v>
      </c>
      <c r="D41" s="1317"/>
      <c r="E41" s="1318"/>
      <c r="F41" s="1319"/>
      <c r="G41" s="1320"/>
      <c r="H41" s="1321"/>
      <c r="I41" s="1318"/>
      <c r="J41" s="1321"/>
      <c r="K41" s="723"/>
      <c r="L41" s="1057"/>
      <c r="M41" s="1058"/>
      <c r="N41" s="1045"/>
      <c r="O41" s="1058"/>
      <c r="P41" s="3369" t="str">
        <f>A41</f>
        <v>成交单价（元/平方米）</v>
      </c>
      <c r="Q41" s="3369"/>
      <c r="R41" s="3434">
        <f>E41</f>
        <v>0</v>
      </c>
      <c r="S41" s="3434"/>
      <c r="T41" s="3434">
        <f>G41</f>
        <v>0</v>
      </c>
      <c r="U41" s="3434"/>
      <c r="V41" s="3434">
        <f>I41</f>
        <v>0</v>
      </c>
      <c r="W41" s="3434"/>
      <c r="X41" s="699"/>
      <c r="Y41" s="721"/>
      <c r="Z41" s="699"/>
      <c r="AA41" s="699"/>
      <c r="AB41" s="699"/>
      <c r="AC41" s="699"/>
    </row>
    <row r="42" spans="1:29" ht="15.75" thickBot="1">
      <c r="A42" s="445" t="s">
        <v>2486</v>
      </c>
      <c r="B42" s="446"/>
      <c r="C42" s="1322" t="e">
        <f>R43</f>
        <v>#DIV/0!</v>
      </c>
      <c r="D42" s="2538" t="s">
        <v>2876</v>
      </c>
      <c r="E42" s="1323" t="e">
        <f>R42</f>
        <v>#DIV/0!</v>
      </c>
      <c r="F42" s="2539"/>
      <c r="G42" s="1322" t="e">
        <f>T42</f>
        <v>#DIV/0!</v>
      </c>
      <c r="H42" s="2539"/>
      <c r="I42" s="1323" t="e">
        <f>V42</f>
        <v>#DIV/0!</v>
      </c>
      <c r="J42" s="2539"/>
      <c r="K42" s="2541">
        <f>F42+H42+J42</f>
        <v>0</v>
      </c>
      <c r="L42" s="1057"/>
      <c r="M42" s="1058"/>
      <c r="N42" s="1045"/>
      <c r="O42" s="1058"/>
      <c r="P42" s="3369" t="str">
        <f>A42</f>
        <v>比较价值（元/平方米）</v>
      </c>
      <c r="Q42" s="3369"/>
      <c r="R42" s="3434" t="e">
        <f>IF(F1="售价",ROUND(PRODUCT(R41,AA7:AA40),0),ROUND(PRODUCT(R41,AA7:AA40),1))</f>
        <v>#DIV/0!</v>
      </c>
      <c r="S42" s="3434"/>
      <c r="T42" s="3434" t="e">
        <f>IF(F1="售价",ROUND(PRODUCT(T41,AB7:AB40),0),ROUND(PRODUCT(T41,AB7:AB40),1))</f>
        <v>#DIV/0!</v>
      </c>
      <c r="U42" s="3434"/>
      <c r="V42" s="3434" t="e">
        <f>IF(F1="售价",ROUND(PRODUCT(V41,AC7:AC40),0),ROUND(PRODUCT(V41,AC7:AC40),1))</f>
        <v>#DIV/0!</v>
      </c>
      <c r="W42" s="3434"/>
      <c r="X42" s="699"/>
      <c r="Y42" s="699"/>
      <c r="Z42" s="699"/>
      <c r="AA42" s="699"/>
      <c r="AB42" s="699"/>
      <c r="AC42" s="699"/>
    </row>
    <row r="43" spans="1:29" ht="15.75" thickBot="1">
      <c r="A43" s="449" t="s">
        <v>2487</v>
      </c>
      <c r="B43" s="450"/>
      <c r="C43" s="1325" t="e">
        <f>R43</f>
        <v>#DIV/0!</v>
      </c>
      <c r="D43" s="1325"/>
      <c r="E43" s="1325"/>
      <c r="F43" s="1325"/>
      <c r="G43" s="1325"/>
      <c r="H43" s="1325"/>
      <c r="I43" s="1325"/>
      <c r="J43" s="1325"/>
      <c r="K43" s="724"/>
      <c r="L43" s="1057"/>
      <c r="M43" s="1058"/>
      <c r="N43" s="1058"/>
      <c r="O43" s="1058"/>
      <c r="P43" s="3363" t="str">
        <f>A43</f>
        <v>估价对象XX用房的比较价值（楼面单价，元/平方米）</v>
      </c>
      <c r="Q43" s="3364"/>
      <c r="R43" s="3433" t="e">
        <f>IF(F1="售价",ROUND(IF(D42="简单平均",AVERAGE(R42:V42),R42*F42+T42*H42+V42*J42),0),ROUND(IF(D42="简单平均",AVERAGE(R42:V42),R42*F42+T42*H42+V42*J42),1))</f>
        <v>#DIV/0!</v>
      </c>
      <c r="S43" s="3433"/>
      <c r="T43" s="3433"/>
      <c r="U43" s="3433"/>
      <c r="V43" s="3433"/>
      <c r="W43" s="3433"/>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2488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2489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2491</v>
      </c>
      <c r="B51" s="699"/>
      <c r="C51" s="704"/>
      <c r="D51" s="704"/>
      <c r="E51" s="704"/>
      <c r="F51" s="705"/>
      <c r="G51" s="705"/>
      <c r="H51" s="704"/>
      <c r="I51" s="704"/>
      <c r="J51" s="704"/>
      <c r="K51" s="1072"/>
      <c r="L51" s="1073"/>
      <c r="M51" s="1071"/>
      <c r="N51" s="1071"/>
      <c r="O51" s="1071"/>
      <c r="P51" s="460"/>
      <c r="Q51" s="461"/>
    </row>
    <row r="52" spans="1:17" s="465" customFormat="1" ht="15">
      <c r="A52" s="462" t="s">
        <v>2365</v>
      </c>
      <c r="B52" s="463"/>
      <c r="C52" s="1346" t="str">
        <f>YEAR(C7)&amp;"-"&amp;MONTH(C7)</f>
        <v>2021-12</v>
      </c>
      <c r="D52" s="1347">
        <f>EDATE(C52,-1)</f>
        <v>44501</v>
      </c>
      <c r="E52" s="1347">
        <f t="shared" ref="E52:O52" si="16">EDATE(D52,-1)</f>
        <v>44470</v>
      </c>
      <c r="F52" s="1347">
        <f t="shared" si="16"/>
        <v>44440</v>
      </c>
      <c r="G52" s="1347">
        <f t="shared" si="16"/>
        <v>44409</v>
      </c>
      <c r="H52" s="1347">
        <f t="shared" si="16"/>
        <v>44378</v>
      </c>
      <c r="I52" s="1347">
        <f t="shared" si="16"/>
        <v>44348</v>
      </c>
      <c r="J52" s="1347">
        <f t="shared" si="16"/>
        <v>44317</v>
      </c>
      <c r="K52" s="1347">
        <f t="shared" si="16"/>
        <v>44287</v>
      </c>
      <c r="L52" s="1347">
        <f t="shared" si="16"/>
        <v>44256</v>
      </c>
      <c r="M52" s="1347">
        <f t="shared" si="16"/>
        <v>44228</v>
      </c>
      <c r="N52" s="1347">
        <f t="shared" si="16"/>
        <v>44197</v>
      </c>
      <c r="O52" s="1347">
        <f t="shared" si="16"/>
        <v>44166</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2402</v>
      </c>
      <c r="B54" s="473"/>
      <c r="C54" s="474"/>
      <c r="D54" s="475"/>
      <c r="E54" s="475"/>
      <c r="F54" s="475"/>
      <c r="G54" s="475"/>
      <c r="H54" s="475"/>
      <c r="I54" s="475"/>
      <c r="J54" s="475"/>
      <c r="K54" s="475"/>
      <c r="L54" s="475"/>
      <c r="M54" s="476"/>
      <c r="N54" s="2999"/>
      <c r="O54" s="3000"/>
      <c r="P54" s="461"/>
      <c r="Q54" s="461"/>
    </row>
    <row r="55" spans="1:17" s="113" customFormat="1" ht="15">
      <c r="A55" s="478" t="s">
        <v>2367</v>
      </c>
      <c r="B55" s="467"/>
      <c r="C55" s="479" t="s">
        <v>2469</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2405</v>
      </c>
      <c r="B57" s="485" t="s">
        <v>2371</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2374</v>
      </c>
      <c r="C59" s="496" t="s">
        <v>2406</v>
      </c>
      <c r="D59" s="496" t="s">
        <v>2407</v>
      </c>
      <c r="E59" s="496" t="s">
        <v>2408</v>
      </c>
      <c r="F59" s="496" t="s">
        <v>2409</v>
      </c>
      <c r="G59" s="496" t="s">
        <v>2410</v>
      </c>
      <c r="H59" s="496" t="s">
        <v>2411</v>
      </c>
      <c r="I59" s="496" t="s">
        <v>2412</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2375</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2376</v>
      </c>
      <c r="B70" s="485" t="s">
        <v>2522</v>
      </c>
      <c r="C70" s="530" t="s">
        <v>2414</v>
      </c>
      <c r="D70" s="530" t="s">
        <v>2415</v>
      </c>
      <c r="E70" s="530" t="s">
        <v>2416</v>
      </c>
      <c r="F70" s="530" t="s">
        <v>2417</v>
      </c>
      <c r="G70" s="530" t="s">
        <v>2418</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2419</v>
      </c>
      <c r="C72" s="535" t="s">
        <v>2414</v>
      </c>
      <c r="D72" s="535" t="s">
        <v>2415</v>
      </c>
      <c r="E72" s="535" t="s">
        <v>2416</v>
      </c>
      <c r="F72" s="535" t="s">
        <v>2417</v>
      </c>
      <c r="G72" s="535" t="s">
        <v>2418</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2420</v>
      </c>
      <c r="C74" s="535" t="s">
        <v>2414</v>
      </c>
      <c r="D74" s="535" t="s">
        <v>2415</v>
      </c>
      <c r="E74" s="535" t="s">
        <v>2416</v>
      </c>
      <c r="F74" s="535" t="s">
        <v>2417</v>
      </c>
      <c r="G74" s="535" t="s">
        <v>2418</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2506</v>
      </c>
      <c r="C76" s="616" t="s">
        <v>2492</v>
      </c>
      <c r="D76" s="616" t="s">
        <v>2493</v>
      </c>
      <c r="E76" s="616" t="s">
        <v>2494</v>
      </c>
      <c r="F76" s="616" t="s">
        <v>2495</v>
      </c>
      <c r="G76" s="616" t="s">
        <v>2496</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2515</v>
      </c>
      <c r="C78" s="535" t="s">
        <v>2414</v>
      </c>
      <c r="D78" s="535" t="s">
        <v>2415</v>
      </c>
      <c r="E78" s="535" t="s">
        <v>2416</v>
      </c>
      <c r="F78" s="535" t="s">
        <v>2417</v>
      </c>
      <c r="G78" s="535" t="s">
        <v>2418</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2380</v>
      </c>
      <c r="B88" s="485" t="s">
        <v>2429</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2430</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2431</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2433</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1872</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2434</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2435</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2437</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2523</v>
      </c>
      <c r="C106" s="535" t="s">
        <v>2414</v>
      </c>
      <c r="D106" s="535" t="s">
        <v>2415</v>
      </c>
      <c r="E106" s="535" t="s">
        <v>2416</v>
      </c>
      <c r="F106" s="535" t="s">
        <v>2417</v>
      </c>
      <c r="G106" s="535" t="s">
        <v>2418</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4" priority="20" stopIfTrue="1" operator="containsText" text="超过">
      <formula>NOT(ISERROR(SEARCH("超过",F46)))</formula>
    </cfRule>
  </conditionalFormatting>
  <conditionalFormatting sqref="H48">
    <cfRule type="containsText" dxfId="93" priority="19" stopIfTrue="1" operator="containsText" text="超过">
      <formula>NOT(ISERROR(SEARCH("超过",H48)))</formula>
    </cfRule>
  </conditionalFormatting>
  <conditionalFormatting sqref="F48">
    <cfRule type="containsText" dxfId="92" priority="18" stopIfTrue="1" operator="containsText" text="超过">
      <formula>NOT(ISERROR(SEARCH("超过",F48)))</formula>
    </cfRule>
  </conditionalFormatting>
  <conditionalFormatting sqref="F47 H47">
    <cfRule type="containsText" dxfId="91" priority="17" stopIfTrue="1" operator="containsText" text="超过">
      <formula>NOT(ISERROR(SEARCH("超过",F47)))</formula>
    </cfRule>
  </conditionalFormatting>
  <conditionalFormatting sqref="E46">
    <cfRule type="expression" dxfId="90" priority="16" stopIfTrue="1">
      <formula>$F$46="超过30%"</formula>
    </cfRule>
  </conditionalFormatting>
  <conditionalFormatting sqref="E47">
    <cfRule type="expression" dxfId="89" priority="15" stopIfTrue="1">
      <formula>$F$47="超过20%"</formula>
    </cfRule>
  </conditionalFormatting>
  <conditionalFormatting sqref="E48">
    <cfRule type="expression" dxfId="88" priority="14" stopIfTrue="1">
      <formula>$F$48="超过30%"</formula>
    </cfRule>
  </conditionalFormatting>
  <conditionalFormatting sqref="G48">
    <cfRule type="expression" dxfId="87" priority="13" stopIfTrue="1">
      <formula>$H$48="超过30%"</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J46">
    <cfRule type="containsText" dxfId="84" priority="10" stopIfTrue="1" operator="containsText" text="超过">
      <formula>NOT(ISERROR(SEARCH("超过",J46)))</formula>
    </cfRule>
  </conditionalFormatting>
  <conditionalFormatting sqref="J48">
    <cfRule type="containsText" dxfId="83" priority="9" stopIfTrue="1" operator="containsText" text="超过">
      <formula>NOT(ISERROR(SEARCH("超过",J48)))</formula>
    </cfRule>
  </conditionalFormatting>
  <conditionalFormatting sqref="J47">
    <cfRule type="containsText" dxfId="82" priority="8" stopIfTrue="1" operator="containsText" text="超过">
      <formula>NOT(ISERROR(SEARCH("超过",J47)))</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F42">
    <cfRule type="expression" dxfId="78" priority="4">
      <formula>$D$42="简单平均"</formula>
    </cfRule>
  </conditionalFormatting>
  <conditionalFormatting sqref="H42">
    <cfRule type="expression" dxfId="77" priority="3">
      <formula>$D$42="简单平均"</formula>
    </cfRule>
  </conditionalFormatting>
  <conditionalFormatting sqref="J42">
    <cfRule type="expression" dxfId="76" priority="2">
      <formula>$D$42="简单平均"</formula>
    </cfRule>
  </conditionalFormatting>
  <conditionalFormatting sqref="F7:F40 H7:H40 J7:J40">
    <cfRule type="cellIs" dxfId="75" priority="1" operator="notEqual">
      <formula>100</formula>
    </cfRule>
  </conditionalFormatting>
  <dataValidations count="20">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20 G20 E20 I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29 E29 G29 I29" xr:uid="{00000000-0002-0000-1E00-000007000000}">
      <formula1>工业建筑类型</formula1>
    </dataValidation>
    <dataValidation type="list" allowBlank="1" showInputMessage="1" showErrorMessage="1" sqref="C31 E31 G31 I31" xr:uid="{00000000-0002-0000-1E00-000008000000}">
      <formula1>工业建筑结构</formula1>
    </dataValidation>
    <dataValidation type="list" allowBlank="1" showInputMessage="1" showErrorMessage="1" sqref="C32 E32 G32 I32" xr:uid="{00000000-0002-0000-1E00-000009000000}">
      <formula1>工业公共部分装修</formula1>
    </dataValidation>
    <dataValidation type="list" allowBlank="1" showInputMessage="1" showErrorMessage="1" sqref="C34 E34 G34 I34" xr:uid="{00000000-0002-0000-1E00-00000A000000}">
      <formula1>工业物业管理</formula1>
    </dataValidation>
    <dataValidation type="list" allowBlank="1" showInputMessage="1" showErrorMessage="1" sqref="C35 E35 G35 I35" xr:uid="{00000000-0002-0000-1E00-00000B000000}">
      <formula1>工业基础设施水平</formula1>
    </dataValidation>
    <dataValidation type="list" allowBlank="1" showInputMessage="1" showErrorMessage="1" sqref="C36 E36 G36 I36" xr:uid="{00000000-0002-0000-1E00-00000C000000}">
      <formula1>工业内部装修</formula1>
    </dataValidation>
    <dataValidation type="list" allowBlank="1" showInputMessage="1" showErrorMessage="1" sqref="C37 E37 G37 I37" xr:uid="{00000000-0002-0000-1E00-00000D000000}">
      <formula1>内部装修维护情况</formula1>
    </dataValidation>
    <dataValidation type="list" allowBlank="1" showInputMessage="1" showErrorMessage="1" sqref="C16 E16 G16 I16" xr:uid="{00000000-0002-0000-1E00-00000E000000}">
      <formula1>产业集聚程度</formula1>
    </dataValidation>
    <dataValidation type="list" allowBlank="1" showInputMessage="1" showErrorMessage="1" sqref="C22 E22 G22 I22"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 type="list" allowBlank="1" showInputMessage="1" showErrorMessage="1" sqref="D42"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2524</v>
      </c>
      <c r="B1" s="1391"/>
      <c r="C1" s="1392" t="s">
        <v>2347</v>
      </c>
      <c r="D1" s="1393"/>
      <c r="E1" s="1394"/>
      <c r="F1" s="2065"/>
      <c r="G1" s="1395" t="s">
        <v>2460</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2144</v>
      </c>
      <c r="B2" s="1326" t="e">
        <f ca="1">IF(C2="——",IF(B37="元/平方米",ROUND(C39*D3/10000,0),ROUND(F3*C39/10000,0)),IF(B37="元/平方米",ROUND(C39*D3/10000,0),ROUND(F3*C39/10000,0))-D2)</f>
        <v>#DIV/0!</v>
      </c>
      <c r="C2" s="2067"/>
      <c r="D2" s="1038" t="e">
        <f ca="1">SUMIF(INDIRECT("'"&amp;F2&amp;"'"&amp;"!A:A"),"承租人权益价值",INDIRECT("'"&amp;F2&amp;"'"&amp;"!c:c"))</f>
        <v>#REF!</v>
      </c>
      <c r="E2" s="2068" t="s">
        <v>2145</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2146</v>
      </c>
      <c r="B3" s="566" t="e">
        <f ca="1">IF(AND(C2="——",B37="元/平方米"),C39,ROUND(B2*10000/D3,0))</f>
        <v>#DIV/0!</v>
      </c>
      <c r="C3" s="360" t="s">
        <v>2461</v>
      </c>
      <c r="D3" s="359">
        <f>SUMIF('数据-汇总表'!$C19:$C33,D1,'数据-汇总表'!$E19:$E33)</f>
        <v>0</v>
      </c>
      <c r="E3" s="360" t="s">
        <v>2525</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2462</v>
      </c>
      <c r="B4" s="362"/>
      <c r="C4" s="3366" t="s">
        <v>2463</v>
      </c>
      <c r="D4" s="3379"/>
      <c r="E4" s="3380" t="s">
        <v>2464</v>
      </c>
      <c r="F4" s="3381"/>
      <c r="G4" s="3366" t="s">
        <v>2465</v>
      </c>
      <c r="H4" s="3379"/>
      <c r="I4" s="3366" t="s">
        <v>2466</v>
      </c>
      <c r="J4" s="3379"/>
      <c r="K4" s="567" t="s">
        <v>2467</v>
      </c>
      <c r="L4" s="2944"/>
      <c r="M4" s="2945"/>
      <c r="N4" s="2945"/>
      <c r="O4" s="2945"/>
      <c r="P4" s="3382" t="s">
        <v>2468</v>
      </c>
      <c r="Q4" s="3383"/>
      <c r="R4" s="3388" t="s">
        <v>2464</v>
      </c>
      <c r="S4" s="3389"/>
      <c r="T4" s="3388" t="s">
        <v>2465</v>
      </c>
      <c r="U4" s="3389"/>
      <c r="V4" s="3375" t="s">
        <v>2466</v>
      </c>
      <c r="W4" s="3375"/>
      <c r="X4" s="1539"/>
      <c r="Y4" s="3388" t="s">
        <v>2468</v>
      </c>
      <c r="Z4" s="3389"/>
      <c r="AA4" s="3376" t="s">
        <v>2464</v>
      </c>
      <c r="AB4" s="3377" t="s">
        <v>2465</v>
      </c>
      <c r="AC4" s="3376" t="s">
        <v>2466</v>
      </c>
    </row>
    <row r="5" spans="1:29" ht="15">
      <c r="A5" s="364"/>
      <c r="B5" s="365"/>
      <c r="C5" s="3396" t="s">
        <v>2359</v>
      </c>
      <c r="D5" s="3397"/>
      <c r="E5" s="3403" t="s">
        <v>2360</v>
      </c>
      <c r="F5" s="3404"/>
      <c r="G5" s="3396" t="s">
        <v>2361</v>
      </c>
      <c r="H5" s="3397"/>
      <c r="I5" s="3396" t="s">
        <v>2362</v>
      </c>
      <c r="J5" s="3397"/>
      <c r="K5" s="567"/>
      <c r="L5" s="2944"/>
      <c r="M5" s="2945"/>
      <c r="N5" s="2945"/>
      <c r="O5" s="2945"/>
      <c r="P5" s="3384"/>
      <c r="Q5" s="3385"/>
      <c r="R5" s="3390"/>
      <c r="S5" s="3391"/>
      <c r="T5" s="3390"/>
      <c r="U5" s="3391"/>
      <c r="V5" s="3375"/>
      <c r="W5" s="3375"/>
      <c r="X5" s="1539"/>
      <c r="Y5" s="3390"/>
      <c r="Z5" s="3391"/>
      <c r="AA5" s="3377"/>
      <c r="AB5" s="3377"/>
      <c r="AC5" s="3377"/>
    </row>
    <row r="6" spans="1:29" ht="15.75" thickBot="1">
      <c r="A6" s="366"/>
      <c r="B6" s="367"/>
      <c r="C6" s="3394" t="s">
        <v>2363</v>
      </c>
      <c r="D6" s="3395"/>
      <c r="E6" s="3401" t="s">
        <v>2363</v>
      </c>
      <c r="F6" s="3402"/>
      <c r="G6" s="3394" t="s">
        <v>2363</v>
      </c>
      <c r="H6" s="3395"/>
      <c r="I6" s="3394" t="s">
        <v>2363</v>
      </c>
      <c r="J6" s="3395"/>
      <c r="K6" s="567" t="s">
        <v>2364</v>
      </c>
      <c r="L6" s="2944"/>
      <c r="M6" s="2945"/>
      <c r="N6" s="2945"/>
      <c r="O6" s="2945"/>
      <c r="P6" s="3386"/>
      <c r="Q6" s="3387"/>
      <c r="R6" s="3390"/>
      <c r="S6" s="3391"/>
      <c r="T6" s="3392"/>
      <c r="U6" s="3393"/>
      <c r="V6" s="3375"/>
      <c r="W6" s="3375"/>
      <c r="X6" s="1539"/>
      <c r="Y6" s="3392"/>
      <c r="Z6" s="3393"/>
      <c r="AA6" s="3378"/>
      <c r="AB6" s="3378"/>
      <c r="AC6" s="3378"/>
    </row>
    <row r="7" spans="1:29" s="113" customFormat="1" ht="15.75" thickBot="1">
      <c r="A7" s="368" t="s">
        <v>2365</v>
      </c>
      <c r="B7" s="369"/>
      <c r="C7" s="370">
        <f>'数据-取费表'!B2</f>
        <v>44555</v>
      </c>
      <c r="D7" s="371">
        <v>100</v>
      </c>
      <c r="E7" s="372"/>
      <c r="F7" s="373">
        <f>SUMIF(48:48,YEAR(E7)&amp;"-"&amp;MONTH(E7),49:49)</f>
        <v>0</v>
      </c>
      <c r="G7" s="372"/>
      <c r="H7" s="371">
        <f>SUMIF(48:48,YEAR(G7)&amp;"-"&amp;MONTH(G7),49:49)</f>
        <v>0</v>
      </c>
      <c r="I7" s="372"/>
      <c r="J7" s="371">
        <f>SUMIF(48:48,YEAR(I7)&amp;"-"&amp;MONTH(I7),49:49)</f>
        <v>0</v>
      </c>
      <c r="K7" s="568"/>
      <c r="L7" s="2946"/>
      <c r="M7" s="2947"/>
      <c r="N7" s="2947"/>
      <c r="O7" s="2947"/>
      <c r="P7" s="3398" t="s">
        <v>2366</v>
      </c>
      <c r="Q7" s="3400"/>
      <c r="R7" s="710" t="s">
        <v>17</v>
      </c>
      <c r="S7" s="711">
        <f t="shared" ref="S7:S14" si="0">F7</f>
        <v>0</v>
      </c>
      <c r="T7" s="710" t="s">
        <v>17</v>
      </c>
      <c r="U7" s="711">
        <f t="shared" ref="U7:U14" si="1">H7</f>
        <v>0</v>
      </c>
      <c r="V7" s="710" t="s">
        <v>17</v>
      </c>
      <c r="W7" s="711">
        <f t="shared" ref="W7:W14" si="2">J7</f>
        <v>0</v>
      </c>
      <c r="X7" s="712"/>
      <c r="Y7" s="3398" t="s">
        <v>2366</v>
      </c>
      <c r="Z7" s="3399"/>
      <c r="AA7" s="713" t="e">
        <f>D7/F7</f>
        <v>#DIV/0!</v>
      </c>
      <c r="AB7" s="713" t="e">
        <f>D7/H7</f>
        <v>#DIV/0!</v>
      </c>
      <c r="AC7" s="713" t="e">
        <f>D7/J7</f>
        <v>#DIV/0!</v>
      </c>
    </row>
    <row r="8" spans="1:29" s="113" customFormat="1" ht="15.75" thickBot="1">
      <c r="A8" s="368" t="s">
        <v>2367</v>
      </c>
      <c r="B8" s="369"/>
      <c r="C8" s="374" t="s">
        <v>2469</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398" t="s">
        <v>2369</v>
      </c>
      <c r="Q8" s="3399"/>
      <c r="R8" s="710" t="s">
        <v>17</v>
      </c>
      <c r="S8" s="711">
        <f t="shared" si="0"/>
        <v>0</v>
      </c>
      <c r="T8" s="710" t="s">
        <v>17</v>
      </c>
      <c r="U8" s="711">
        <f t="shared" si="1"/>
        <v>0</v>
      </c>
      <c r="V8" s="710" t="s">
        <v>17</v>
      </c>
      <c r="W8" s="711">
        <f t="shared" si="2"/>
        <v>0</v>
      </c>
      <c r="X8" s="712"/>
      <c r="Y8" s="3398" t="s">
        <v>2369</v>
      </c>
      <c r="Z8" s="3399"/>
      <c r="AA8" s="713" t="e">
        <f t="shared" ref="AA8:AA36" si="3">D8/F8</f>
        <v>#DIV/0!</v>
      </c>
      <c r="AB8" s="713" t="e">
        <f t="shared" ref="AB8:AB36" si="4">D8/H8</f>
        <v>#DIV/0!</v>
      </c>
      <c r="AC8" s="713" t="e">
        <f t="shared" ref="AC8:AC36" si="5">D8/J8</f>
        <v>#DIV/0!</v>
      </c>
    </row>
    <row r="9" spans="1:29" s="113" customFormat="1">
      <c r="A9" s="64" t="s">
        <v>2370</v>
      </c>
      <c r="B9" s="596" t="s">
        <v>2371</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369" t="s">
        <v>2372</v>
      </c>
      <c r="Q9" s="1527" t="str">
        <f t="shared" ref="Q9:Q14" si="6">B9</f>
        <v>用途</v>
      </c>
      <c r="R9" s="710" t="s">
        <v>17</v>
      </c>
      <c r="S9" s="711">
        <f t="shared" si="0"/>
        <v>100</v>
      </c>
      <c r="T9" s="710" t="s">
        <v>17</v>
      </c>
      <c r="U9" s="711">
        <f t="shared" si="1"/>
        <v>100</v>
      </c>
      <c r="V9" s="710" t="s">
        <v>17</v>
      </c>
      <c r="W9" s="711">
        <f t="shared" si="2"/>
        <v>100</v>
      </c>
      <c r="X9" s="712"/>
      <c r="Y9" s="3263" t="s">
        <v>2373</v>
      </c>
      <c r="Z9" s="55" t="str">
        <f t="shared" ref="Z9:Z14" si="7">Q9</f>
        <v>用途</v>
      </c>
      <c r="AA9" s="713">
        <f t="shared" si="3"/>
        <v>1</v>
      </c>
      <c r="AB9" s="713">
        <f t="shared" si="4"/>
        <v>1</v>
      </c>
      <c r="AC9" s="713">
        <f t="shared" si="5"/>
        <v>1</v>
      </c>
    </row>
    <row r="10" spans="1:29" s="386" customFormat="1" ht="27">
      <c r="A10" s="597"/>
      <c r="B10" s="598" t="s">
        <v>2374</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369"/>
      <c r="Q10" s="1527" t="str">
        <f t="shared" si="6"/>
        <v>土地使用年限（年）</v>
      </c>
      <c r="R10" s="710" t="s">
        <v>17</v>
      </c>
      <c r="S10" s="711">
        <f t="shared" si="0"/>
        <v>100</v>
      </c>
      <c r="T10" s="710" t="s">
        <v>17</v>
      </c>
      <c r="U10" s="711">
        <f t="shared" si="1"/>
        <v>100</v>
      </c>
      <c r="V10" s="710" t="s">
        <v>17</v>
      </c>
      <c r="W10" s="711">
        <f t="shared" si="2"/>
        <v>100</v>
      </c>
      <c r="X10" s="712"/>
      <c r="Y10" s="326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369"/>
      <c r="Q11" s="1527">
        <f t="shared" si="6"/>
        <v>111</v>
      </c>
      <c r="R11" s="710" t="s">
        <v>17</v>
      </c>
      <c r="S11" s="711">
        <f t="shared" si="0"/>
        <v>100</v>
      </c>
      <c r="T11" s="710" t="s">
        <v>17</v>
      </c>
      <c r="U11" s="711">
        <f t="shared" si="1"/>
        <v>100</v>
      </c>
      <c r="V11" s="710" t="s">
        <v>17</v>
      </c>
      <c r="W11" s="711">
        <f t="shared" si="2"/>
        <v>100</v>
      </c>
      <c r="X11" s="712"/>
      <c r="Y11" s="326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369"/>
      <c r="Q12" s="1527">
        <f t="shared" si="6"/>
        <v>111</v>
      </c>
      <c r="R12" s="710" t="s">
        <v>17</v>
      </c>
      <c r="S12" s="711">
        <f t="shared" si="0"/>
        <v>100</v>
      </c>
      <c r="T12" s="710" t="s">
        <v>17</v>
      </c>
      <c r="U12" s="711">
        <f t="shared" si="1"/>
        <v>100</v>
      </c>
      <c r="V12" s="710" t="s">
        <v>17</v>
      </c>
      <c r="W12" s="711">
        <f t="shared" si="2"/>
        <v>100</v>
      </c>
      <c r="X12" s="712"/>
      <c r="Y12" s="326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369"/>
      <c r="Q13" s="1527">
        <f t="shared" si="6"/>
        <v>111</v>
      </c>
      <c r="R13" s="710" t="s">
        <v>17</v>
      </c>
      <c r="S13" s="711">
        <f t="shared" si="0"/>
        <v>100</v>
      </c>
      <c r="T13" s="710" t="s">
        <v>17</v>
      </c>
      <c r="U13" s="711">
        <f t="shared" si="1"/>
        <v>100</v>
      </c>
      <c r="V13" s="710" t="s">
        <v>17</v>
      </c>
      <c r="W13" s="711">
        <f t="shared" si="2"/>
        <v>100</v>
      </c>
      <c r="X13" s="712"/>
      <c r="Y13" s="3263"/>
      <c r="Z13" s="55">
        <f t="shared" si="7"/>
        <v>111</v>
      </c>
      <c r="AA13" s="713">
        <f t="shared" si="3"/>
        <v>1</v>
      </c>
      <c r="AB13" s="713">
        <f t="shared" si="4"/>
        <v>1</v>
      </c>
      <c r="AC13" s="713">
        <f t="shared" si="5"/>
        <v>1</v>
      </c>
    </row>
    <row r="14" spans="1:29" ht="85.5">
      <c r="A14" s="361" t="s">
        <v>2376</v>
      </c>
      <c r="B14" s="585" t="s">
        <v>2526</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371" t="s">
        <v>2377</v>
      </c>
      <c r="Q14" s="1536" t="str">
        <f t="shared" si="6"/>
        <v>交通便捷度</v>
      </c>
      <c r="R14" s="714" t="s">
        <v>17</v>
      </c>
      <c r="S14" s="715">
        <f t="shared" si="0"/>
        <v>100</v>
      </c>
      <c r="T14" s="714" t="s">
        <v>17</v>
      </c>
      <c r="U14" s="715">
        <f t="shared" si="1"/>
        <v>100</v>
      </c>
      <c r="V14" s="714" t="s">
        <v>17</v>
      </c>
      <c r="W14" s="715">
        <f t="shared" si="2"/>
        <v>100</v>
      </c>
      <c r="X14" s="1539"/>
      <c r="Y14" s="3371" t="s">
        <v>2377</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1"/>
      <c r="M15" s="2945"/>
      <c r="N15" s="2945"/>
      <c r="O15" s="2945"/>
      <c r="P15" s="3372"/>
      <c r="Q15" s="1536"/>
      <c r="R15" s="714"/>
      <c r="S15" s="715"/>
      <c r="T15" s="714"/>
      <c r="U15" s="715"/>
      <c r="V15" s="714"/>
      <c r="W15" s="715"/>
      <c r="X15" s="1539"/>
      <c r="Y15" s="3372"/>
      <c r="Z15" s="1540"/>
      <c r="AA15" s="1537">
        <v>1</v>
      </c>
      <c r="AB15" s="1537">
        <v>1</v>
      </c>
      <c r="AC15" s="1537">
        <v>1</v>
      </c>
    </row>
    <row r="16" spans="1:29" ht="42.75">
      <c r="A16" s="364"/>
      <c r="B16" s="587" t="s">
        <v>2505</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372"/>
      <c r="Q16" s="1536" t="str">
        <f>B16</f>
        <v>公共配套设施</v>
      </c>
      <c r="R16" s="714" t="s">
        <v>17</v>
      </c>
      <c r="S16" s="715">
        <f>F16</f>
        <v>100</v>
      </c>
      <c r="T16" s="714" t="s">
        <v>17</v>
      </c>
      <c r="U16" s="715">
        <f>H16</f>
        <v>100</v>
      </c>
      <c r="V16" s="714" t="s">
        <v>17</v>
      </c>
      <c r="W16" s="715">
        <f>J16</f>
        <v>100</v>
      </c>
      <c r="X16" s="1539"/>
      <c r="Y16" s="3372"/>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1"/>
      <c r="M17" s="2945"/>
      <c r="N17" s="2945"/>
      <c r="O17" s="2945"/>
      <c r="P17" s="3372"/>
      <c r="Q17" s="1536"/>
      <c r="R17" s="714"/>
      <c r="S17" s="715"/>
      <c r="T17" s="714"/>
      <c r="U17" s="715"/>
      <c r="V17" s="714"/>
      <c r="W17" s="715"/>
      <c r="X17" s="1539"/>
      <c r="Y17" s="3372"/>
      <c r="Z17" s="1540"/>
      <c r="AA17" s="1537">
        <v>1</v>
      </c>
      <c r="AB17" s="1537">
        <v>1</v>
      </c>
      <c r="AC17" s="1537">
        <v>1</v>
      </c>
    </row>
    <row r="18" spans="1:29" ht="28.5">
      <c r="A18" s="364"/>
      <c r="B18" s="589" t="s">
        <v>2506</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372"/>
      <c r="Q18" s="1536" t="str">
        <f>B18</f>
        <v>基础设施水平</v>
      </c>
      <c r="R18" s="714" t="s">
        <v>17</v>
      </c>
      <c r="S18" s="715">
        <f>F18</f>
        <v>100</v>
      </c>
      <c r="T18" s="714" t="s">
        <v>17</v>
      </c>
      <c r="U18" s="715">
        <f>H18</f>
        <v>100</v>
      </c>
      <c r="V18" s="714" t="s">
        <v>17</v>
      </c>
      <c r="W18" s="715">
        <f>J18</f>
        <v>100</v>
      </c>
      <c r="X18" s="1539"/>
      <c r="Y18" s="3372"/>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1"/>
      <c r="M19" s="2945"/>
      <c r="N19" s="2945"/>
      <c r="O19" s="2945"/>
      <c r="P19" s="3372"/>
      <c r="Q19" s="1536"/>
      <c r="R19" s="714"/>
      <c r="S19" s="715"/>
      <c r="T19" s="714"/>
      <c r="U19" s="715"/>
      <c r="V19" s="714"/>
      <c r="W19" s="715"/>
      <c r="X19" s="1539"/>
      <c r="Y19" s="3372"/>
      <c r="Z19" s="1540"/>
      <c r="AA19" s="1537">
        <v>1</v>
      </c>
      <c r="AB19" s="1537">
        <v>1</v>
      </c>
      <c r="AC19" s="1537">
        <v>1</v>
      </c>
    </row>
    <row r="20" spans="1:29" ht="57">
      <c r="A20" s="364"/>
      <c r="B20" s="587" t="s">
        <v>2527</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372"/>
      <c r="Q20" s="1536" t="str">
        <f>B20</f>
        <v>自然及人文环境</v>
      </c>
      <c r="R20" s="714" t="s">
        <v>17</v>
      </c>
      <c r="S20" s="715">
        <f>F20</f>
        <v>100</v>
      </c>
      <c r="T20" s="714" t="s">
        <v>17</v>
      </c>
      <c r="U20" s="715">
        <f>H20</f>
        <v>100</v>
      </c>
      <c r="V20" s="714" t="s">
        <v>17</v>
      </c>
      <c r="W20" s="715">
        <f>J20</f>
        <v>100</v>
      </c>
      <c r="X20" s="1539"/>
      <c r="Y20" s="3372"/>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1"/>
      <c r="M21" s="2945"/>
      <c r="N21" s="2945"/>
      <c r="O21" s="2945"/>
      <c r="P21" s="3372"/>
      <c r="Q21" s="1536"/>
      <c r="R21" s="714"/>
      <c r="S21" s="715"/>
      <c r="T21" s="714"/>
      <c r="U21" s="715"/>
      <c r="V21" s="714"/>
      <c r="W21" s="715"/>
      <c r="X21" s="1539"/>
      <c r="Y21" s="3372"/>
      <c r="Z21" s="1540"/>
      <c r="AA21" s="1537">
        <v>1</v>
      </c>
      <c r="AB21" s="1537">
        <v>1</v>
      </c>
      <c r="AC21" s="1537">
        <v>1</v>
      </c>
    </row>
    <row r="22" spans="1:29" ht="15">
      <c r="A22" s="364"/>
      <c r="B22" s="587" t="s">
        <v>2528</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372"/>
      <c r="Q22" s="1536" t="str">
        <f>B22</f>
        <v>楼层</v>
      </c>
      <c r="R22" s="714" t="s">
        <v>17</v>
      </c>
      <c r="S22" s="715">
        <f>F22</f>
        <v>100</v>
      </c>
      <c r="T22" s="714" t="s">
        <v>17</v>
      </c>
      <c r="U22" s="715">
        <f>H22</f>
        <v>100</v>
      </c>
      <c r="V22" s="714" t="s">
        <v>17</v>
      </c>
      <c r="W22" s="715">
        <f>J22</f>
        <v>100</v>
      </c>
      <c r="X22" s="1539"/>
      <c r="Y22" s="3372"/>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372"/>
      <c r="Q23" s="1536">
        <f>B23</f>
        <v>111</v>
      </c>
      <c r="R23" s="714" t="s">
        <v>17</v>
      </c>
      <c r="S23" s="715">
        <f>F23</f>
        <v>100</v>
      </c>
      <c r="T23" s="714" t="s">
        <v>17</v>
      </c>
      <c r="U23" s="715">
        <f>H23</f>
        <v>100</v>
      </c>
      <c r="V23" s="714" t="s">
        <v>17</v>
      </c>
      <c r="W23" s="715">
        <f>J23</f>
        <v>100</v>
      </c>
      <c r="X23" s="1539"/>
      <c r="Y23" s="3372"/>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372"/>
      <c r="Q24" s="1536">
        <f t="shared" ref="Q24:Q36" si="11">B24</f>
        <v>111</v>
      </c>
      <c r="R24" s="714" t="s">
        <v>17</v>
      </c>
      <c r="S24" s="715">
        <f>F24</f>
        <v>100</v>
      </c>
      <c r="T24" s="714" t="s">
        <v>17</v>
      </c>
      <c r="U24" s="715">
        <f>H24</f>
        <v>100</v>
      </c>
      <c r="V24" s="714" t="s">
        <v>17</v>
      </c>
      <c r="W24" s="715">
        <f>J24</f>
        <v>100</v>
      </c>
      <c r="X24" s="1539"/>
      <c r="Y24" s="3372"/>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372"/>
      <c r="Q25" s="1527">
        <f t="shared" si="11"/>
        <v>111</v>
      </c>
      <c r="R25" s="710" t="s">
        <v>17</v>
      </c>
      <c r="S25" s="711">
        <f>F25</f>
        <v>100</v>
      </c>
      <c r="T25" s="710" t="s">
        <v>17</v>
      </c>
      <c r="U25" s="711">
        <f>H25</f>
        <v>100</v>
      </c>
      <c r="V25" s="710" t="s">
        <v>17</v>
      </c>
      <c r="W25" s="711">
        <f>J25</f>
        <v>100</v>
      </c>
      <c r="X25" s="712"/>
      <c r="Y25" s="3372"/>
      <c r="Z25" s="55">
        <f>Q25</f>
        <v>111</v>
      </c>
      <c r="AA25" s="1537">
        <f>D25/F25</f>
        <v>1</v>
      </c>
      <c r="AB25" s="1537">
        <f>D25/H25</f>
        <v>1</v>
      </c>
      <c r="AC25" s="1537">
        <f>D25/J25</f>
        <v>1</v>
      </c>
    </row>
    <row r="26" spans="1:29" ht="28.5">
      <c r="A26" s="608" t="s">
        <v>2380</v>
      </c>
      <c r="B26" s="66" t="s">
        <v>2529</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373" t="s">
        <v>2382</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74" t="s">
        <v>2382</v>
      </c>
      <c r="Z26" s="1540" t="str">
        <f t="shared" ref="Z26:Z36" si="15">Q26</f>
        <v>配套类型</v>
      </c>
      <c r="AA26" s="1537">
        <f t="shared" si="3"/>
        <v>1</v>
      </c>
      <c r="AB26" s="1537">
        <f t="shared" si="4"/>
        <v>1</v>
      </c>
      <c r="AC26" s="1537">
        <f t="shared" si="5"/>
        <v>1</v>
      </c>
    </row>
    <row r="27" spans="1:29" s="430" customFormat="1" ht="15">
      <c r="A27" s="609"/>
      <c r="B27" s="610" t="s">
        <v>2530</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374"/>
      <c r="Q27" s="716" t="str">
        <f t="shared" si="11"/>
        <v>项目停车位配比</v>
      </c>
      <c r="R27" s="717" t="s">
        <v>17</v>
      </c>
      <c r="S27" s="718">
        <f t="shared" si="12"/>
        <v>100</v>
      </c>
      <c r="T27" s="717" t="s">
        <v>17</v>
      </c>
      <c r="U27" s="718">
        <f t="shared" si="13"/>
        <v>100</v>
      </c>
      <c r="V27" s="717" t="s">
        <v>17</v>
      </c>
      <c r="W27" s="718">
        <f t="shared" si="14"/>
        <v>100</v>
      </c>
      <c r="X27" s="719"/>
      <c r="Y27" s="3374"/>
      <c r="Z27" s="720" t="str">
        <f t="shared" si="15"/>
        <v>项目停车位配比</v>
      </c>
      <c r="AA27" s="1537">
        <f t="shared" si="3"/>
        <v>1</v>
      </c>
      <c r="AB27" s="1537">
        <f t="shared" si="4"/>
        <v>1</v>
      </c>
      <c r="AC27" s="1537">
        <f t="shared" si="5"/>
        <v>1</v>
      </c>
    </row>
    <row r="28" spans="1:29" ht="15">
      <c r="A28" s="612"/>
      <c r="B28" s="610" t="s">
        <v>2531</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374"/>
      <c r="Q28" s="1536" t="str">
        <f t="shared" si="11"/>
        <v>公共部分装修</v>
      </c>
      <c r="R28" s="714" t="s">
        <v>17</v>
      </c>
      <c r="S28" s="715">
        <f t="shared" si="12"/>
        <v>100</v>
      </c>
      <c r="T28" s="714" t="s">
        <v>17</v>
      </c>
      <c r="U28" s="715">
        <f t="shared" si="13"/>
        <v>100</v>
      </c>
      <c r="V28" s="714" t="s">
        <v>17</v>
      </c>
      <c r="W28" s="715">
        <f t="shared" si="14"/>
        <v>100</v>
      </c>
      <c r="X28" s="1539"/>
      <c r="Y28" s="3374"/>
      <c r="Z28" s="1540" t="str">
        <f t="shared" si="15"/>
        <v>公共部分装修</v>
      </c>
      <c r="AA28" s="1537">
        <f t="shared" si="3"/>
        <v>1</v>
      </c>
      <c r="AB28" s="1537">
        <f t="shared" si="4"/>
        <v>1</v>
      </c>
      <c r="AC28" s="1537">
        <f t="shared" si="5"/>
        <v>1</v>
      </c>
    </row>
    <row r="29" spans="1:29" ht="15">
      <c r="A29" s="612"/>
      <c r="B29" s="610" t="s">
        <v>2532</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374"/>
      <c r="Q29" s="1536" t="str">
        <f t="shared" si="11"/>
        <v>成新率</v>
      </c>
      <c r="R29" s="714" t="s">
        <v>17</v>
      </c>
      <c r="S29" s="715" t="e">
        <f t="shared" si="12"/>
        <v>#N/A</v>
      </c>
      <c r="T29" s="714" t="s">
        <v>17</v>
      </c>
      <c r="U29" s="715" t="e">
        <f t="shared" si="13"/>
        <v>#N/A</v>
      </c>
      <c r="V29" s="714" t="s">
        <v>17</v>
      </c>
      <c r="W29" s="715" t="e">
        <f t="shared" si="14"/>
        <v>#N/A</v>
      </c>
      <c r="X29" s="1539"/>
      <c r="Y29" s="3374"/>
      <c r="Z29" s="1540" t="str">
        <f t="shared" si="15"/>
        <v>成新率</v>
      </c>
      <c r="AA29" s="1537" t="e">
        <f t="shared" si="3"/>
        <v>#N/A</v>
      </c>
      <c r="AB29" s="1537" t="e">
        <f t="shared" si="4"/>
        <v>#N/A</v>
      </c>
      <c r="AC29" s="1537" t="e">
        <f t="shared" si="5"/>
        <v>#N/A</v>
      </c>
    </row>
    <row r="30" spans="1:29" ht="15">
      <c r="A30" s="612"/>
      <c r="B30" s="610" t="s">
        <v>2533</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374"/>
      <c r="Q30" s="1536" t="str">
        <f t="shared" si="11"/>
        <v>物业等级</v>
      </c>
      <c r="R30" s="714" t="s">
        <v>17</v>
      </c>
      <c r="S30" s="715">
        <f t="shared" si="12"/>
        <v>100</v>
      </c>
      <c r="T30" s="714" t="s">
        <v>17</v>
      </c>
      <c r="U30" s="715">
        <f t="shared" si="13"/>
        <v>100</v>
      </c>
      <c r="V30" s="714" t="s">
        <v>17</v>
      </c>
      <c r="W30" s="715">
        <f t="shared" si="14"/>
        <v>100</v>
      </c>
      <c r="X30" s="1539"/>
      <c r="Y30" s="3374"/>
      <c r="Z30" s="1540" t="str">
        <f t="shared" si="15"/>
        <v>物业等级</v>
      </c>
      <c r="AA30" s="1537">
        <f t="shared" si="3"/>
        <v>1</v>
      </c>
      <c r="AB30" s="1537">
        <f t="shared" si="4"/>
        <v>1</v>
      </c>
      <c r="AC30" s="1537">
        <f t="shared" si="5"/>
        <v>1</v>
      </c>
    </row>
    <row r="31" spans="1:29" s="113" customFormat="1" ht="15">
      <c r="A31" s="614"/>
      <c r="B31" s="610" t="s">
        <v>2534</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374"/>
      <c r="Q31" s="1527" t="str">
        <f t="shared" si="11"/>
        <v>停车位面积</v>
      </c>
      <c r="R31" s="710" t="s">
        <v>17</v>
      </c>
      <c r="S31" s="711" t="e">
        <f t="shared" si="12"/>
        <v>#N/A</v>
      </c>
      <c r="T31" s="710" t="s">
        <v>17</v>
      </c>
      <c r="U31" s="711" t="e">
        <f t="shared" si="13"/>
        <v>#N/A</v>
      </c>
      <c r="V31" s="710" t="s">
        <v>17</v>
      </c>
      <c r="W31" s="711" t="e">
        <f t="shared" si="14"/>
        <v>#N/A</v>
      </c>
      <c r="X31" s="712"/>
      <c r="Y31" s="3374"/>
      <c r="Z31" s="55" t="str">
        <f t="shared" si="15"/>
        <v>停车位面积</v>
      </c>
      <c r="AA31" s="713" t="e">
        <f t="shared" si="3"/>
        <v>#N/A</v>
      </c>
      <c r="AB31" s="713" t="e">
        <f t="shared" si="4"/>
        <v>#N/A</v>
      </c>
      <c r="AC31" s="713" t="e">
        <f t="shared" si="5"/>
        <v>#N/A</v>
      </c>
    </row>
    <row r="32" spans="1:29" ht="15">
      <c r="A32" s="612"/>
      <c r="B32" s="610" t="s">
        <v>2535</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374" t="s">
        <v>2382</v>
      </c>
      <c r="Q32" s="1536" t="str">
        <f t="shared" si="11"/>
        <v>车位类型</v>
      </c>
      <c r="R32" s="714" t="s">
        <v>17</v>
      </c>
      <c r="S32" s="715">
        <f t="shared" si="12"/>
        <v>100</v>
      </c>
      <c r="T32" s="714" t="s">
        <v>17</v>
      </c>
      <c r="U32" s="715">
        <f t="shared" si="13"/>
        <v>100</v>
      </c>
      <c r="V32" s="714" t="s">
        <v>17</v>
      </c>
      <c r="W32" s="715">
        <f t="shared" si="14"/>
        <v>100</v>
      </c>
      <c r="X32" s="1539"/>
      <c r="Y32" s="3374" t="s">
        <v>2382</v>
      </c>
      <c r="Z32" s="1540" t="str">
        <f t="shared" si="15"/>
        <v>车位类型</v>
      </c>
      <c r="AA32" s="1537">
        <f t="shared" si="3"/>
        <v>1</v>
      </c>
      <c r="AB32" s="1537">
        <f t="shared" si="4"/>
        <v>1</v>
      </c>
      <c r="AC32" s="1537">
        <f t="shared" si="5"/>
        <v>1</v>
      </c>
    </row>
    <row r="33" spans="1:29" ht="15">
      <c r="A33" s="612"/>
      <c r="B33" s="610" t="s">
        <v>2536</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374"/>
      <c r="Q33" s="1536" t="str">
        <f t="shared" si="11"/>
        <v>是否直接入户</v>
      </c>
      <c r="R33" s="714" t="s">
        <v>17</v>
      </c>
      <c r="S33" s="715">
        <f t="shared" si="12"/>
        <v>100</v>
      </c>
      <c r="T33" s="714" t="s">
        <v>17</v>
      </c>
      <c r="U33" s="715">
        <f t="shared" si="13"/>
        <v>100</v>
      </c>
      <c r="V33" s="714" t="s">
        <v>17</v>
      </c>
      <c r="W33" s="715">
        <f t="shared" si="14"/>
        <v>100</v>
      </c>
      <c r="X33" s="1539"/>
      <c r="Y33" s="3374"/>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374"/>
      <c r="Q34" s="1536">
        <f t="shared" si="11"/>
        <v>111</v>
      </c>
      <c r="R34" s="714" t="s">
        <v>17</v>
      </c>
      <c r="S34" s="715">
        <f t="shared" si="12"/>
        <v>100</v>
      </c>
      <c r="T34" s="714" t="s">
        <v>17</v>
      </c>
      <c r="U34" s="715">
        <f t="shared" si="13"/>
        <v>100</v>
      </c>
      <c r="V34" s="714" t="s">
        <v>17</v>
      </c>
      <c r="W34" s="715">
        <f t="shared" si="14"/>
        <v>100</v>
      </c>
      <c r="X34" s="1539"/>
      <c r="Y34" s="3374"/>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374"/>
      <c r="Q35" s="716">
        <f t="shared" si="11"/>
        <v>111</v>
      </c>
      <c r="R35" s="717" t="s">
        <v>17</v>
      </c>
      <c r="S35" s="718">
        <f t="shared" si="12"/>
        <v>100</v>
      </c>
      <c r="T35" s="717" t="s">
        <v>17</v>
      </c>
      <c r="U35" s="718">
        <f t="shared" si="13"/>
        <v>100</v>
      </c>
      <c r="V35" s="717" t="s">
        <v>17</v>
      </c>
      <c r="W35" s="718">
        <f t="shared" si="14"/>
        <v>100</v>
      </c>
      <c r="X35" s="719"/>
      <c r="Y35" s="3374"/>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374"/>
      <c r="Q36" s="1536">
        <f t="shared" si="11"/>
        <v>111</v>
      </c>
      <c r="R36" s="714" t="s">
        <v>17</v>
      </c>
      <c r="S36" s="715">
        <f t="shared" si="12"/>
        <v>100</v>
      </c>
      <c r="T36" s="714" t="s">
        <v>17</v>
      </c>
      <c r="U36" s="715">
        <f t="shared" si="13"/>
        <v>100</v>
      </c>
      <c r="V36" s="714" t="s">
        <v>17</v>
      </c>
      <c r="W36" s="715">
        <f t="shared" si="14"/>
        <v>100</v>
      </c>
      <c r="X36" s="1539"/>
      <c r="Y36" s="3374"/>
      <c r="Z36" s="1540">
        <f t="shared" si="15"/>
        <v>111</v>
      </c>
      <c r="AA36" s="1537">
        <f t="shared" si="3"/>
        <v>1</v>
      </c>
      <c r="AB36" s="1537">
        <f t="shared" si="4"/>
        <v>1</v>
      </c>
      <c r="AC36" s="1537">
        <f t="shared" si="5"/>
        <v>1</v>
      </c>
    </row>
    <row r="37" spans="1:29" ht="15">
      <c r="A37" s="438" t="s">
        <v>2537</v>
      </c>
      <c r="B37" s="2159" t="s">
        <v>2538</v>
      </c>
      <c r="C37" s="1316" t="s">
        <v>1</v>
      </c>
      <c r="D37" s="1317"/>
      <c r="E37" s="1318"/>
      <c r="F37" s="1319"/>
      <c r="G37" s="1320"/>
      <c r="H37" s="1321"/>
      <c r="I37" s="1318"/>
      <c r="J37" s="1321"/>
      <c r="K37" s="576"/>
      <c r="L37" s="2953"/>
      <c r="M37" s="2954"/>
      <c r="N37" s="2945"/>
      <c r="O37" s="2954"/>
      <c r="P37" s="3369" t="str">
        <f>A37</f>
        <v>成交单价</v>
      </c>
      <c r="Q37" s="3369"/>
      <c r="R37" s="3434">
        <f>E37</f>
        <v>0</v>
      </c>
      <c r="S37" s="3434"/>
      <c r="T37" s="3434">
        <f>G37</f>
        <v>0</v>
      </c>
      <c r="U37" s="3434"/>
      <c r="V37" s="3434">
        <f>I37</f>
        <v>0</v>
      </c>
      <c r="W37" s="3434"/>
      <c r="X37" s="699"/>
      <c r="Y37" s="721"/>
      <c r="Z37" s="699"/>
      <c r="AA37" s="699"/>
      <c r="AB37" s="699"/>
      <c r="AC37" s="699"/>
    </row>
    <row r="38" spans="1:29" ht="15.75" thickBot="1">
      <c r="A38" s="445" t="s">
        <v>2539</v>
      </c>
      <c r="B38" s="446" t="str">
        <f>B37</f>
        <v>元/车位</v>
      </c>
      <c r="C38" s="1322" t="e">
        <f>R39</f>
        <v>#DIV/0!</v>
      </c>
      <c r="D38" s="2538" t="s">
        <v>2876</v>
      </c>
      <c r="E38" s="1323" t="e">
        <f>R38</f>
        <v>#DIV/0!</v>
      </c>
      <c r="F38" s="2539"/>
      <c r="G38" s="1322" t="e">
        <f>T38</f>
        <v>#DIV/0!</v>
      </c>
      <c r="H38" s="2539"/>
      <c r="I38" s="1323" t="e">
        <f>V38</f>
        <v>#DIV/0!</v>
      </c>
      <c r="J38" s="2539"/>
      <c r="K38" s="2541">
        <f>F38+H38+J38</f>
        <v>0</v>
      </c>
      <c r="L38" s="2953"/>
      <c r="M38" s="2954"/>
      <c r="N38" s="2954"/>
      <c r="O38" s="2954"/>
      <c r="P38" s="3369" t="str">
        <f>A38</f>
        <v>比较价值（元/平方米）</v>
      </c>
      <c r="Q38" s="3369"/>
      <c r="R38" s="3434" t="e">
        <f>IF(F1="售价",ROUND(PRODUCT(R37,AA7:AA36),0),ROUND(PRODUCT(R37,AA7:AA36),1))</f>
        <v>#DIV/0!</v>
      </c>
      <c r="S38" s="3434"/>
      <c r="T38" s="3434" t="e">
        <f>IF(F1="售价",ROUND(PRODUCT(T37,AB7:AB36),0),ROUND(PRODUCT(T37,AB7:AB36),1))</f>
        <v>#DIV/0!</v>
      </c>
      <c r="U38" s="3434"/>
      <c r="V38" s="3434" t="e">
        <f>IF(F1="售价",ROUND(PRODUCT(V37,AC7:AC36),0),ROUND(PRODUCT(V37,AC7:AC36),1))</f>
        <v>#DIV/0!</v>
      </c>
      <c r="W38" s="3434"/>
      <c r="X38" s="699"/>
      <c r="Y38" s="699"/>
      <c r="Z38" s="699"/>
      <c r="AA38" s="699"/>
      <c r="AB38" s="699"/>
      <c r="AC38" s="699"/>
    </row>
    <row r="39" spans="1:29" ht="15.75" thickBot="1">
      <c r="A39" s="449" t="s">
        <v>2540</v>
      </c>
      <c r="B39" s="450"/>
      <c r="C39" s="1325" t="e">
        <f>R39</f>
        <v>#DIV/0!</v>
      </c>
      <c r="D39" s="1325"/>
      <c r="E39" s="1325"/>
      <c r="F39" s="1325"/>
      <c r="G39" s="1325"/>
      <c r="H39" s="1325"/>
      <c r="I39" s="1325"/>
      <c r="J39" s="1325"/>
      <c r="K39" s="577"/>
      <c r="L39" s="2953"/>
      <c r="M39" s="2954"/>
      <c r="N39" s="2954"/>
      <c r="O39" s="2954"/>
      <c r="P39" s="3363" t="str">
        <f>A39</f>
        <v>估价对象XX用房的比较价值（楼面单价，元/平方米）</v>
      </c>
      <c r="Q39" s="3364"/>
      <c r="R39" s="3456" t="e">
        <f>IF(F1="售价",ROUND(IF(D38="简单平均",AVERAGE(R38:W38),R38*F38+T38*H38+V38*J38),0),ROUND(IF(D38="简单平均",AVERAGE(R38:V38),R38*F38+T38*H38+V38*J38),1))</f>
        <v>#DIV/0!</v>
      </c>
      <c r="S39" s="3456"/>
      <c r="T39" s="3456"/>
      <c r="U39" s="3456"/>
      <c r="V39" s="3456"/>
      <c r="W39" s="3456"/>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2541</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2542</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2543</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2544</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2545</v>
      </c>
      <c r="B48" s="463"/>
      <c r="C48" s="1346" t="str">
        <f>YEAR(C7)&amp;"-"&amp;MONTH(C7)</f>
        <v>2021-12</v>
      </c>
      <c r="D48" s="1347">
        <f>EDATE(C48,-1)</f>
        <v>44501</v>
      </c>
      <c r="E48" s="1347">
        <f t="shared" ref="E48:O48" si="16">EDATE(D48,-1)</f>
        <v>44470</v>
      </c>
      <c r="F48" s="1347">
        <f t="shared" si="16"/>
        <v>44440</v>
      </c>
      <c r="G48" s="1347">
        <f t="shared" si="16"/>
        <v>44409</v>
      </c>
      <c r="H48" s="1347">
        <f t="shared" si="16"/>
        <v>44378</v>
      </c>
      <c r="I48" s="1347">
        <f t="shared" si="16"/>
        <v>44348</v>
      </c>
      <c r="J48" s="1347">
        <f t="shared" si="16"/>
        <v>44317</v>
      </c>
      <c r="K48" s="1347">
        <f t="shared" si="16"/>
        <v>44287</v>
      </c>
      <c r="L48" s="1347">
        <f t="shared" si="16"/>
        <v>44256</v>
      </c>
      <c r="M48" s="1347">
        <f t="shared" si="16"/>
        <v>44228</v>
      </c>
      <c r="N48" s="1347">
        <f t="shared" si="16"/>
        <v>44197</v>
      </c>
      <c r="O48" s="1347">
        <f t="shared" si="16"/>
        <v>44166</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2402</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2367</v>
      </c>
      <c r="B51" s="467"/>
      <c r="C51" s="479" t="s">
        <v>2469</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2405</v>
      </c>
      <c r="B53" s="485" t="s">
        <v>2371</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2374</v>
      </c>
      <c r="C55" s="496" t="s">
        <v>2406</v>
      </c>
      <c r="D55" s="496" t="s">
        <v>2407</v>
      </c>
      <c r="E55" s="496" t="s">
        <v>2408</v>
      </c>
      <c r="F55" s="496" t="s">
        <v>2409</v>
      </c>
      <c r="G55" s="496" t="s">
        <v>2410</v>
      </c>
      <c r="H55" s="496" t="s">
        <v>2411</v>
      </c>
      <c r="I55" s="496" t="s">
        <v>2412</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2376</v>
      </c>
      <c r="B63" s="485" t="s">
        <v>2419</v>
      </c>
      <c r="C63" s="530" t="s">
        <v>2414</v>
      </c>
      <c r="D63" s="530" t="s">
        <v>2415</v>
      </c>
      <c r="E63" s="530" t="s">
        <v>2416</v>
      </c>
      <c r="F63" s="530" t="s">
        <v>2417</v>
      </c>
      <c r="G63" s="530" t="s">
        <v>2418</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2420</v>
      </c>
      <c r="C65" s="535" t="s">
        <v>2414</v>
      </c>
      <c r="D65" s="535" t="s">
        <v>2415</v>
      </c>
      <c r="E65" s="535" t="s">
        <v>2416</v>
      </c>
      <c r="F65" s="535" t="s">
        <v>2417</v>
      </c>
      <c r="G65" s="535" t="s">
        <v>2418</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2506</v>
      </c>
      <c r="C67" s="616" t="s">
        <v>2492</v>
      </c>
      <c r="D67" s="616" t="s">
        <v>2493</v>
      </c>
      <c r="E67" s="616" t="s">
        <v>2494</v>
      </c>
      <c r="F67" s="616" t="s">
        <v>2495</v>
      </c>
      <c r="G67" s="616" t="s">
        <v>2496</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2426</v>
      </c>
      <c r="C69" s="535" t="s">
        <v>2414</v>
      </c>
      <c r="D69" s="535" t="s">
        <v>2415</v>
      </c>
      <c r="E69" s="535" t="s">
        <v>2416</v>
      </c>
      <c r="F69" s="535" t="s">
        <v>2417</v>
      </c>
      <c r="G69" s="535" t="s">
        <v>2418</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2546</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2380</v>
      </c>
      <c r="B79" s="485" t="s">
        <v>2547</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2548</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2433</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2549</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2550</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2551</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2552</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2553</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4" priority="18" stopIfTrue="1" operator="containsText" text="超过">
      <formula>NOT(ISERROR(SEARCH("超过",F42)))</formula>
    </cfRule>
  </conditionalFormatting>
  <conditionalFormatting sqref="J44">
    <cfRule type="containsText" dxfId="73" priority="17" stopIfTrue="1" operator="containsText" text="超过">
      <formula>NOT(ISERROR(SEARCH("超过",J44)))</formula>
    </cfRule>
  </conditionalFormatting>
  <conditionalFormatting sqref="H44">
    <cfRule type="containsText" dxfId="72" priority="16" stopIfTrue="1" operator="containsText" text="超过">
      <formula>NOT(ISERROR(SEARCH("超过",H44)))</formula>
    </cfRule>
  </conditionalFormatting>
  <conditionalFormatting sqref="F44">
    <cfRule type="containsText" dxfId="71" priority="15" stopIfTrue="1" operator="containsText" text="超过">
      <formula>NOT(ISERROR(SEARCH("超过",F44)))</formula>
    </cfRule>
  </conditionalFormatting>
  <conditionalFormatting sqref="F43 H43 J43">
    <cfRule type="containsText" dxfId="70" priority="14" stopIfTrue="1" operator="containsText" text="超过">
      <formula>NOT(ISERROR(SEARCH("超过",F43)))</formula>
    </cfRule>
  </conditionalFormatting>
  <conditionalFormatting sqref="E42">
    <cfRule type="expression" dxfId="69" priority="13" stopIfTrue="1">
      <formula>$F$42="超过30%"</formula>
    </cfRule>
  </conditionalFormatting>
  <conditionalFormatting sqref="G44">
    <cfRule type="expression" dxfId="68" priority="12" stopIfTrue="1">
      <formula>$H$54+$H$44="超过30%"</formula>
    </cfRule>
  </conditionalFormatting>
  <conditionalFormatting sqref="E43">
    <cfRule type="expression" dxfId="67" priority="11" stopIfTrue="1">
      <formula>$F$43="超过20%"</formula>
    </cfRule>
  </conditionalFormatting>
  <conditionalFormatting sqref="E44">
    <cfRule type="expression" dxfId="66" priority="10" stopIfTrue="1">
      <formula>$F$44="超过30%"</formula>
    </cfRule>
  </conditionalFormatting>
  <conditionalFormatting sqref="G42">
    <cfRule type="expression" dxfId="65" priority="9" stopIfTrue="1">
      <formula>$H$52+$H$42="超过30%"</formula>
    </cfRule>
  </conditionalFormatting>
  <conditionalFormatting sqref="G43">
    <cfRule type="expression" dxfId="64" priority="8" stopIfTrue="1">
      <formula>$H$43="超过20%"</formula>
    </cfRule>
  </conditionalFormatting>
  <conditionalFormatting sqref="I42">
    <cfRule type="expression" dxfId="63" priority="7" stopIfTrue="1">
      <formula>$J$52+$J$42="超过30%"</formula>
    </cfRule>
  </conditionalFormatting>
  <conditionalFormatting sqref="I43">
    <cfRule type="expression" dxfId="62" priority="6" stopIfTrue="1">
      <formula>$J$53+$J$43="超过20%"</formula>
    </cfRule>
  </conditionalFormatting>
  <conditionalFormatting sqref="I44">
    <cfRule type="expression" dxfId="61" priority="5" stopIfTrue="1">
      <formula>$J$44="超过30%"</formula>
    </cfRule>
  </conditionalFormatting>
  <conditionalFormatting sqref="F38">
    <cfRule type="expression" dxfId="60" priority="4">
      <formula>$D$38="简单平均"</formula>
    </cfRule>
  </conditionalFormatting>
  <conditionalFormatting sqref="H38">
    <cfRule type="expression" dxfId="59" priority="3">
      <formula>$D$38="简单平均"</formula>
    </cfRule>
  </conditionalFormatting>
  <conditionalFormatting sqref="J38">
    <cfRule type="expression" dxfId="58" priority="2">
      <formula>$D$38="简单平均"</formula>
    </cfRule>
  </conditionalFormatting>
  <conditionalFormatting sqref="F7:F36 H7:H36 J7:J36">
    <cfRule type="cellIs" dxfId="57" priority="1" operator="notEqual">
      <formula>100</formula>
    </cfRule>
  </conditionalFormatting>
  <dataValidations count="20">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G17 C17 E17 I17" xr:uid="{00000000-0002-0000-1F00-000002000000}">
      <formula1>公共配套设施</formula1>
    </dataValidation>
    <dataValidation type="list" allowBlank="1" showInputMessage="1" showErrorMessage="1" sqref="G15 E15 C15 I15" xr:uid="{00000000-0002-0000-1F00-000003000000}">
      <formula1>交通便捷度</formula1>
    </dataValidation>
    <dataValidation type="list" allowBlank="1" showInputMessage="1" showErrorMessage="1" sqref="C8 E8 G8 I8" xr:uid="{00000000-0002-0000-1F00-000004000000}">
      <formula1>车位交易情况</formula1>
    </dataValidation>
    <dataValidation type="list" allowBlank="1" showInputMessage="1" showErrorMessage="1" sqref="E9 G9 I9" xr:uid="{00000000-0002-0000-1F00-000005000000}">
      <formula1>车位用途</formula1>
    </dataValidation>
    <dataValidation type="list" allowBlank="1" showInputMessage="1" showErrorMessage="1" sqref="C22 E22 G22 I22" xr:uid="{00000000-0002-0000-1F00-000006000000}">
      <formula1>车位楼层</formula1>
    </dataValidation>
    <dataValidation type="list" allowBlank="1" showInputMessage="1" showErrorMessage="1" sqref="C30 E30 G30 I30" xr:uid="{00000000-0002-0000-1F00-000007000000}">
      <formula1>车位物业等级</formula1>
    </dataValidation>
    <dataValidation type="list" allowBlank="1" showInputMessage="1" showErrorMessage="1" sqref="C32 E32 G32 I32" xr:uid="{00000000-0002-0000-1F00-000008000000}">
      <formula1>车位类型</formula1>
    </dataValidation>
    <dataValidation type="list" allowBlank="1" showInputMessage="1" showErrorMessage="1" sqref="C33 E33 G33 I33" xr:uid="{00000000-0002-0000-1F00-000009000000}">
      <formula1>是否直接入户</formula1>
    </dataValidation>
    <dataValidation type="list" allowBlank="1" showInputMessage="1" showErrorMessage="1" sqref="B1" xr:uid="{00000000-0002-0000-1F00-00000A000000}">
      <formula1>地类判定</formula1>
    </dataValidation>
    <dataValidation type="list" allowBlank="1" showInputMessage="1" showErrorMessage="1" sqref="I26 E26 G26" xr:uid="{00000000-0002-0000-1F00-00000B000000}">
      <formula1>车位配套类型</formula1>
    </dataValidation>
    <dataValidation type="list" allowBlank="1" showInputMessage="1" showErrorMessage="1" sqref="C28 E28 G28 I28" xr:uid="{00000000-0002-0000-1F00-00000C000000}">
      <formula1>车位公共部分装修</formula1>
    </dataValidation>
    <dataValidation type="list" allowBlank="1" showInputMessage="1" showErrorMessage="1" sqref="B37" xr:uid="{00000000-0002-0000-1F00-00000D000000}">
      <formula1>"元/平方米,元/车位"</formula1>
    </dataValidation>
    <dataValidation type="list" allowBlank="1" showInputMessage="1" showErrorMessage="1" sqref="C21 E21 G21 I21" xr:uid="{00000000-0002-0000-1F00-00000E000000}">
      <formula1>环境</formula1>
    </dataValidation>
    <dataValidation type="list" allowBlank="1" showInputMessage="1" showErrorMessage="1" sqref="C19 E19 G19 I19"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 type="list" allowBlank="1" showInputMessage="1" showErrorMessage="1" sqref="D38"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2524</v>
      </c>
      <c r="B1" s="1391"/>
      <c r="C1" s="1392" t="s">
        <v>2347</v>
      </c>
      <c r="D1" s="1393"/>
      <c r="E1" s="1402"/>
      <c r="F1" s="2065"/>
      <c r="G1" s="1403" t="s">
        <v>2460</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2144</v>
      </c>
      <c r="B2" s="1326" t="e">
        <f ca="1">IF(C2="——",ROUND(C37*D3/10000,0),ROUND(C37*D3/10000,0)-D2)</f>
        <v>#DIV/0!</v>
      </c>
      <c r="C2" s="2067"/>
      <c r="D2" s="1038" t="e">
        <f ca="1">SUMIF(INDIRECT("'"&amp;F2&amp;"'"&amp;"!A:A"),"承租人权益价值",INDIRECT("'"&amp;F2&amp;"'"&amp;"!c:c"))</f>
        <v>#REF!</v>
      </c>
      <c r="E2" s="2068" t="s">
        <v>2145</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2146</v>
      </c>
      <c r="B3" s="566" t="e">
        <f ca="1">IF(C2="——",C37,ROUND(B2*10000/D3,0))</f>
        <v>#DIV/0!</v>
      </c>
      <c r="C3" s="360" t="s">
        <v>2461</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2462</v>
      </c>
      <c r="B4" s="362"/>
      <c r="C4" s="3366" t="s">
        <v>2463</v>
      </c>
      <c r="D4" s="3379"/>
      <c r="E4" s="3380" t="s">
        <v>2464</v>
      </c>
      <c r="F4" s="3381"/>
      <c r="G4" s="3366" t="s">
        <v>2465</v>
      </c>
      <c r="H4" s="3379"/>
      <c r="I4" s="3366" t="s">
        <v>2466</v>
      </c>
      <c r="J4" s="3379"/>
      <c r="K4" s="567" t="s">
        <v>2467</v>
      </c>
      <c r="L4" s="2944"/>
      <c r="M4" s="2945"/>
      <c r="N4" s="2945"/>
      <c r="O4" s="2945"/>
      <c r="P4" s="3382" t="s">
        <v>2468</v>
      </c>
      <c r="Q4" s="3383"/>
      <c r="R4" s="3388" t="s">
        <v>2464</v>
      </c>
      <c r="S4" s="3389"/>
      <c r="T4" s="3388" t="s">
        <v>2465</v>
      </c>
      <c r="U4" s="3389"/>
      <c r="V4" s="3375" t="s">
        <v>2466</v>
      </c>
      <c r="W4" s="3375"/>
      <c r="X4" s="1539"/>
      <c r="Y4" s="3388" t="s">
        <v>2468</v>
      </c>
      <c r="Z4" s="3389"/>
      <c r="AA4" s="3376" t="s">
        <v>2464</v>
      </c>
      <c r="AB4" s="3377" t="s">
        <v>2465</v>
      </c>
      <c r="AC4" s="3376" t="s">
        <v>2466</v>
      </c>
    </row>
    <row r="5" spans="1:29" ht="15">
      <c r="A5" s="364"/>
      <c r="B5" s="365"/>
      <c r="C5" s="3396" t="s">
        <v>2359</v>
      </c>
      <c r="D5" s="3397"/>
      <c r="E5" s="3403" t="s">
        <v>2360</v>
      </c>
      <c r="F5" s="3404"/>
      <c r="G5" s="3396" t="s">
        <v>2361</v>
      </c>
      <c r="H5" s="3397"/>
      <c r="I5" s="3396" t="s">
        <v>2362</v>
      </c>
      <c r="J5" s="3397"/>
      <c r="K5" s="567"/>
      <c r="L5" s="2944"/>
      <c r="M5" s="2945"/>
      <c r="N5" s="2945"/>
      <c r="O5" s="2945"/>
      <c r="P5" s="3384"/>
      <c r="Q5" s="3385"/>
      <c r="R5" s="3390"/>
      <c r="S5" s="3391"/>
      <c r="T5" s="3390"/>
      <c r="U5" s="3391"/>
      <c r="V5" s="3375"/>
      <c r="W5" s="3375"/>
      <c r="X5" s="1539"/>
      <c r="Y5" s="3390"/>
      <c r="Z5" s="3391"/>
      <c r="AA5" s="3377"/>
      <c r="AB5" s="3377"/>
      <c r="AC5" s="3377"/>
    </row>
    <row r="6" spans="1:29" ht="15.75" thickBot="1">
      <c r="A6" s="366"/>
      <c r="B6" s="367"/>
      <c r="C6" s="3394" t="s">
        <v>2363</v>
      </c>
      <c r="D6" s="3395"/>
      <c r="E6" s="3401" t="s">
        <v>2363</v>
      </c>
      <c r="F6" s="3402"/>
      <c r="G6" s="3394" t="s">
        <v>2363</v>
      </c>
      <c r="H6" s="3395"/>
      <c r="I6" s="3394" t="s">
        <v>2363</v>
      </c>
      <c r="J6" s="3395"/>
      <c r="K6" s="567" t="s">
        <v>2364</v>
      </c>
      <c r="L6" s="2944"/>
      <c r="M6" s="2945"/>
      <c r="N6" s="2945"/>
      <c r="O6" s="2945"/>
      <c r="P6" s="3386"/>
      <c r="Q6" s="3387"/>
      <c r="R6" s="3390"/>
      <c r="S6" s="3391"/>
      <c r="T6" s="3392"/>
      <c r="U6" s="3393"/>
      <c r="V6" s="3375"/>
      <c r="W6" s="3375"/>
      <c r="X6" s="1539"/>
      <c r="Y6" s="3392"/>
      <c r="Z6" s="3393"/>
      <c r="AA6" s="3378"/>
      <c r="AB6" s="3378"/>
      <c r="AC6" s="3378"/>
    </row>
    <row r="7" spans="1:29" s="113" customFormat="1" ht="15.75" thickBot="1">
      <c r="A7" s="368" t="s">
        <v>2365</v>
      </c>
      <c r="B7" s="369"/>
      <c r="C7" s="370">
        <f>'数据-取费表'!B2</f>
        <v>44555</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398" t="s">
        <v>2366</v>
      </c>
      <c r="Q7" s="3400"/>
      <c r="R7" s="710" t="s">
        <v>17</v>
      </c>
      <c r="S7" s="711">
        <f t="shared" ref="S7:S14" si="0">F7</f>
        <v>0</v>
      </c>
      <c r="T7" s="710" t="s">
        <v>17</v>
      </c>
      <c r="U7" s="711">
        <f t="shared" ref="U7:U14" si="1">H7</f>
        <v>0</v>
      </c>
      <c r="V7" s="710" t="s">
        <v>17</v>
      </c>
      <c r="W7" s="711">
        <f t="shared" ref="W7:W14" si="2">J7</f>
        <v>0</v>
      </c>
      <c r="X7" s="712"/>
      <c r="Y7" s="3398" t="s">
        <v>2366</v>
      </c>
      <c r="Z7" s="3399"/>
      <c r="AA7" s="713" t="e">
        <f>D7/F7</f>
        <v>#DIV/0!</v>
      </c>
      <c r="AB7" s="713" t="e">
        <f>D7/H7</f>
        <v>#DIV/0!</v>
      </c>
      <c r="AC7" s="713" t="e">
        <f>D7/J7</f>
        <v>#DIV/0!</v>
      </c>
    </row>
    <row r="8" spans="1:29" s="113" customFormat="1" ht="15.75" thickBot="1">
      <c r="A8" s="368" t="s">
        <v>2367</v>
      </c>
      <c r="B8" s="369"/>
      <c r="C8" s="374" t="s">
        <v>2469</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398" t="s">
        <v>2369</v>
      </c>
      <c r="Q8" s="3399"/>
      <c r="R8" s="710" t="s">
        <v>17</v>
      </c>
      <c r="S8" s="711">
        <f t="shared" si="0"/>
        <v>0</v>
      </c>
      <c r="T8" s="710" t="s">
        <v>17</v>
      </c>
      <c r="U8" s="711">
        <f t="shared" si="1"/>
        <v>0</v>
      </c>
      <c r="V8" s="710" t="s">
        <v>17</v>
      </c>
      <c r="W8" s="711">
        <f t="shared" si="2"/>
        <v>0</v>
      </c>
      <c r="X8" s="712"/>
      <c r="Y8" s="3398" t="s">
        <v>2369</v>
      </c>
      <c r="Z8" s="3399"/>
      <c r="AA8" s="713" t="e">
        <f t="shared" ref="AA8:AA34" si="3">D8/F8</f>
        <v>#DIV/0!</v>
      </c>
      <c r="AB8" s="713" t="e">
        <f t="shared" ref="AB8:AB34" si="4">D8/H8</f>
        <v>#DIV/0!</v>
      </c>
      <c r="AC8" s="713" t="e">
        <f t="shared" ref="AC8:AC34" si="5">D8/J8</f>
        <v>#DIV/0!</v>
      </c>
    </row>
    <row r="9" spans="1:29" s="113" customFormat="1">
      <c r="A9" s="375" t="s">
        <v>2370</v>
      </c>
      <c r="B9" s="67" t="s">
        <v>2371</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369" t="s">
        <v>2372</v>
      </c>
      <c r="Q9" s="1527" t="str">
        <f t="shared" ref="Q9:Q14" si="6">B9</f>
        <v>用途</v>
      </c>
      <c r="R9" s="710" t="s">
        <v>17</v>
      </c>
      <c r="S9" s="711">
        <f t="shared" si="0"/>
        <v>100</v>
      </c>
      <c r="T9" s="710" t="s">
        <v>17</v>
      </c>
      <c r="U9" s="711">
        <f t="shared" si="1"/>
        <v>100</v>
      </c>
      <c r="V9" s="710" t="s">
        <v>17</v>
      </c>
      <c r="W9" s="711">
        <f t="shared" si="2"/>
        <v>100</v>
      </c>
      <c r="X9" s="712"/>
      <c r="Y9" s="3263" t="s">
        <v>2373</v>
      </c>
      <c r="Z9" s="55" t="str">
        <f t="shared" ref="Z9:Z14" si="7">Q9</f>
        <v>用途</v>
      </c>
      <c r="AA9" s="713">
        <f t="shared" si="3"/>
        <v>1</v>
      </c>
      <c r="AB9" s="713">
        <f t="shared" si="4"/>
        <v>1</v>
      </c>
      <c r="AC9" s="713">
        <f t="shared" si="5"/>
        <v>1</v>
      </c>
    </row>
    <row r="10" spans="1:29" s="386" customFormat="1" ht="27">
      <c r="A10" s="380"/>
      <c r="B10" s="381" t="s">
        <v>2374</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369"/>
      <c r="Q10" s="1527" t="str">
        <f t="shared" si="6"/>
        <v>土地使用年限（年）</v>
      </c>
      <c r="R10" s="710" t="s">
        <v>17</v>
      </c>
      <c r="S10" s="711">
        <f t="shared" si="0"/>
        <v>100</v>
      </c>
      <c r="T10" s="710" t="s">
        <v>17</v>
      </c>
      <c r="U10" s="711">
        <f t="shared" si="1"/>
        <v>100</v>
      </c>
      <c r="V10" s="710" t="s">
        <v>17</v>
      </c>
      <c r="W10" s="711">
        <f t="shared" si="2"/>
        <v>100</v>
      </c>
      <c r="X10" s="712"/>
      <c r="Y10" s="3263"/>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369"/>
      <c r="Q11" s="1527">
        <f t="shared" si="6"/>
        <v>111</v>
      </c>
      <c r="R11" s="710" t="s">
        <v>17</v>
      </c>
      <c r="S11" s="711">
        <f t="shared" si="0"/>
        <v>100</v>
      </c>
      <c r="T11" s="710" t="s">
        <v>17</v>
      </c>
      <c r="U11" s="711">
        <f t="shared" si="1"/>
        <v>100</v>
      </c>
      <c r="V11" s="710" t="s">
        <v>17</v>
      </c>
      <c r="W11" s="711">
        <f t="shared" si="2"/>
        <v>100</v>
      </c>
      <c r="X11" s="712"/>
      <c r="Y11" s="3263"/>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369"/>
      <c r="Q12" s="1527">
        <f t="shared" si="6"/>
        <v>111</v>
      </c>
      <c r="R12" s="710" t="s">
        <v>17</v>
      </c>
      <c r="S12" s="711">
        <f t="shared" si="0"/>
        <v>100</v>
      </c>
      <c r="T12" s="710" t="s">
        <v>17</v>
      </c>
      <c r="U12" s="711">
        <f t="shared" si="1"/>
        <v>100</v>
      </c>
      <c r="V12" s="710" t="s">
        <v>17</v>
      </c>
      <c r="W12" s="711">
        <f t="shared" si="2"/>
        <v>100</v>
      </c>
      <c r="X12" s="712"/>
      <c r="Y12" s="3263"/>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369"/>
      <c r="Q13" s="1527">
        <f t="shared" si="6"/>
        <v>111</v>
      </c>
      <c r="R13" s="710" t="s">
        <v>17</v>
      </c>
      <c r="S13" s="711">
        <f t="shared" si="0"/>
        <v>100</v>
      </c>
      <c r="T13" s="710" t="s">
        <v>17</v>
      </c>
      <c r="U13" s="711">
        <f t="shared" si="1"/>
        <v>100</v>
      </c>
      <c r="V13" s="710" t="s">
        <v>17</v>
      </c>
      <c r="W13" s="711">
        <f t="shared" si="2"/>
        <v>100</v>
      </c>
      <c r="X13" s="712"/>
      <c r="Y13" s="3263"/>
      <c r="Z13" s="55">
        <f t="shared" si="7"/>
        <v>111</v>
      </c>
      <c r="AA13" s="713">
        <f t="shared" si="3"/>
        <v>1</v>
      </c>
      <c r="AB13" s="713">
        <f t="shared" si="4"/>
        <v>1</v>
      </c>
      <c r="AC13" s="713">
        <f t="shared" si="5"/>
        <v>1</v>
      </c>
    </row>
    <row r="14" spans="1:29" ht="85.5">
      <c r="A14" s="399" t="s">
        <v>2376</v>
      </c>
      <c r="B14" s="65" t="s">
        <v>2526</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371" t="s">
        <v>2377</v>
      </c>
      <c r="Q14" s="1536" t="str">
        <f t="shared" si="6"/>
        <v>交通便捷度</v>
      </c>
      <c r="R14" s="714" t="s">
        <v>17</v>
      </c>
      <c r="S14" s="715">
        <f t="shared" si="0"/>
        <v>100</v>
      </c>
      <c r="T14" s="714" t="s">
        <v>17</v>
      </c>
      <c r="U14" s="715">
        <f t="shared" si="1"/>
        <v>100</v>
      </c>
      <c r="V14" s="714" t="s">
        <v>17</v>
      </c>
      <c r="W14" s="715">
        <f t="shared" si="2"/>
        <v>100</v>
      </c>
      <c r="X14" s="1539"/>
      <c r="Y14" s="3371" t="s">
        <v>2377</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1"/>
      <c r="M15" s="2945"/>
      <c r="N15" s="2945"/>
      <c r="O15" s="3003"/>
      <c r="P15" s="3372"/>
      <c r="Q15" s="1536"/>
      <c r="R15" s="714"/>
      <c r="S15" s="715"/>
      <c r="T15" s="714"/>
      <c r="U15" s="715"/>
      <c r="V15" s="714"/>
      <c r="W15" s="715"/>
      <c r="X15" s="1539"/>
      <c r="Y15" s="3372"/>
      <c r="Z15" s="1540"/>
      <c r="AA15" s="1537">
        <v>1</v>
      </c>
      <c r="AB15" s="1537">
        <v>1</v>
      </c>
      <c r="AC15" s="1537">
        <v>1</v>
      </c>
    </row>
    <row r="16" spans="1:29" ht="42.75">
      <c r="A16" s="387"/>
      <c r="B16" s="410" t="s">
        <v>2505</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372"/>
      <c r="Q16" s="1536" t="str">
        <f>B16</f>
        <v>公共配套设施</v>
      </c>
      <c r="R16" s="714" t="s">
        <v>17</v>
      </c>
      <c r="S16" s="715">
        <f>F16</f>
        <v>100</v>
      </c>
      <c r="T16" s="714" t="s">
        <v>17</v>
      </c>
      <c r="U16" s="715">
        <f>H16</f>
        <v>100</v>
      </c>
      <c r="V16" s="714" t="s">
        <v>17</v>
      </c>
      <c r="W16" s="715">
        <f>J16</f>
        <v>100</v>
      </c>
      <c r="X16" s="1539"/>
      <c r="Y16" s="3372"/>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1"/>
      <c r="M17" s="2945"/>
      <c r="N17" s="2945"/>
      <c r="O17" s="3003"/>
      <c r="P17" s="3372"/>
      <c r="Q17" s="1536"/>
      <c r="R17" s="714"/>
      <c r="S17" s="715"/>
      <c r="T17" s="714"/>
      <c r="U17" s="715"/>
      <c r="V17" s="714"/>
      <c r="W17" s="715"/>
      <c r="X17" s="1539"/>
      <c r="Y17" s="3372"/>
      <c r="Z17" s="1540"/>
      <c r="AA17" s="1537">
        <v>1</v>
      </c>
      <c r="AB17" s="1537">
        <v>1</v>
      </c>
      <c r="AC17" s="1537">
        <v>1</v>
      </c>
    </row>
    <row r="18" spans="1:29" ht="28.5">
      <c r="A18" s="387"/>
      <c r="B18" s="1293" t="s">
        <v>2506</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372"/>
      <c r="Q18" s="1536" t="str">
        <f>B18</f>
        <v>基础设施水平</v>
      </c>
      <c r="R18" s="714" t="s">
        <v>17</v>
      </c>
      <c r="S18" s="715">
        <f>F18</f>
        <v>100</v>
      </c>
      <c r="T18" s="714" t="s">
        <v>17</v>
      </c>
      <c r="U18" s="715">
        <f>H18</f>
        <v>100</v>
      </c>
      <c r="V18" s="714" t="s">
        <v>17</v>
      </c>
      <c r="W18" s="715">
        <f>J18</f>
        <v>100</v>
      </c>
      <c r="X18" s="1539"/>
      <c r="Y18" s="3372"/>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1"/>
      <c r="M19" s="2945"/>
      <c r="N19" s="2945"/>
      <c r="O19" s="3003"/>
      <c r="P19" s="3372"/>
      <c r="Q19" s="1536"/>
      <c r="R19" s="714"/>
      <c r="S19" s="715"/>
      <c r="T19" s="714"/>
      <c r="U19" s="715"/>
      <c r="V19" s="714"/>
      <c r="W19" s="715"/>
      <c r="X19" s="1539"/>
      <c r="Y19" s="3372"/>
      <c r="Z19" s="1540"/>
      <c r="AA19" s="1537">
        <v>1</v>
      </c>
      <c r="AB19" s="1537">
        <v>1</v>
      </c>
      <c r="AC19" s="1537">
        <v>1</v>
      </c>
    </row>
    <row r="20" spans="1:29" ht="57">
      <c r="A20" s="387"/>
      <c r="B20" s="410" t="s">
        <v>2527</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372"/>
      <c r="Q20" s="1536" t="str">
        <f>B20</f>
        <v>自然及人文环境</v>
      </c>
      <c r="R20" s="714" t="s">
        <v>17</v>
      </c>
      <c r="S20" s="715">
        <f>F20</f>
        <v>100</v>
      </c>
      <c r="T20" s="714" t="s">
        <v>17</v>
      </c>
      <c r="U20" s="715">
        <f>H20</f>
        <v>100</v>
      </c>
      <c r="V20" s="714" t="s">
        <v>17</v>
      </c>
      <c r="W20" s="715">
        <f>J20</f>
        <v>100</v>
      </c>
      <c r="X20" s="1539"/>
      <c r="Y20" s="3372"/>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1"/>
      <c r="M21" s="2945"/>
      <c r="N21" s="2945"/>
      <c r="O21" s="3003"/>
      <c r="P21" s="3372"/>
      <c r="Q21" s="1536"/>
      <c r="R21" s="714"/>
      <c r="S21" s="715"/>
      <c r="T21" s="714"/>
      <c r="U21" s="715"/>
      <c r="V21" s="714"/>
      <c r="W21" s="715"/>
      <c r="X21" s="1539"/>
      <c r="Y21" s="3372"/>
      <c r="Z21" s="1540"/>
      <c r="AA21" s="1537">
        <v>1</v>
      </c>
      <c r="AB21" s="1537">
        <v>1</v>
      </c>
      <c r="AC21" s="1537">
        <v>1</v>
      </c>
    </row>
    <row r="22" spans="1:29" ht="15">
      <c r="A22" s="387"/>
      <c r="B22" s="410" t="s">
        <v>2528</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372"/>
      <c r="Q22" s="1536" t="str">
        <f>B22</f>
        <v>楼层</v>
      </c>
      <c r="R22" s="714" t="s">
        <v>17</v>
      </c>
      <c r="S22" s="715">
        <f>F22</f>
        <v>100</v>
      </c>
      <c r="T22" s="714" t="s">
        <v>17</v>
      </c>
      <c r="U22" s="715">
        <f>H22</f>
        <v>100</v>
      </c>
      <c r="V22" s="714" t="s">
        <v>17</v>
      </c>
      <c r="W22" s="715">
        <f>J22</f>
        <v>100</v>
      </c>
      <c r="X22" s="1539"/>
      <c r="Y22" s="3372"/>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372"/>
      <c r="Q23" s="1536">
        <f>B23</f>
        <v>111</v>
      </c>
      <c r="R23" s="714" t="s">
        <v>17</v>
      </c>
      <c r="S23" s="715">
        <f>F23</f>
        <v>100</v>
      </c>
      <c r="T23" s="714" t="s">
        <v>17</v>
      </c>
      <c r="U23" s="715">
        <f>H23</f>
        <v>100</v>
      </c>
      <c r="V23" s="714" t="s">
        <v>17</v>
      </c>
      <c r="W23" s="715">
        <f>J23</f>
        <v>100</v>
      </c>
      <c r="X23" s="1539"/>
      <c r="Y23" s="3372"/>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372"/>
      <c r="Q24" s="1536">
        <f t="shared" ref="Q24:Q34" si="11">B24</f>
        <v>111</v>
      </c>
      <c r="R24" s="714" t="s">
        <v>17</v>
      </c>
      <c r="S24" s="715">
        <f>F24</f>
        <v>100</v>
      </c>
      <c r="T24" s="714" t="s">
        <v>17</v>
      </c>
      <c r="U24" s="715">
        <f>H24</f>
        <v>100</v>
      </c>
      <c r="V24" s="714" t="s">
        <v>17</v>
      </c>
      <c r="W24" s="715">
        <f>J24</f>
        <v>100</v>
      </c>
      <c r="X24" s="1539"/>
      <c r="Y24" s="3372"/>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372"/>
      <c r="Q25" s="1527">
        <f t="shared" si="11"/>
        <v>111</v>
      </c>
      <c r="R25" s="710" t="s">
        <v>17</v>
      </c>
      <c r="S25" s="711">
        <f>F25</f>
        <v>100</v>
      </c>
      <c r="T25" s="710" t="s">
        <v>17</v>
      </c>
      <c r="U25" s="711">
        <f>H25</f>
        <v>100</v>
      </c>
      <c r="V25" s="710" t="s">
        <v>17</v>
      </c>
      <c r="W25" s="711">
        <f>J25</f>
        <v>100</v>
      </c>
      <c r="X25" s="712"/>
      <c r="Y25" s="3372"/>
      <c r="Z25" s="55">
        <f>Q25</f>
        <v>111</v>
      </c>
      <c r="AA25" s="1537">
        <f>D25/F25</f>
        <v>1</v>
      </c>
      <c r="AB25" s="1537">
        <f>D25/H25</f>
        <v>1</v>
      </c>
      <c r="AC25" s="1537">
        <f>D25/J25</f>
        <v>1</v>
      </c>
    </row>
    <row r="26" spans="1:29" ht="28.5">
      <c r="A26" s="425" t="s">
        <v>2380</v>
      </c>
      <c r="B26" s="67" t="s">
        <v>2531</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3373" t="s">
        <v>2382</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74" t="s">
        <v>2382</v>
      </c>
      <c r="Z26" s="1540" t="str">
        <f t="shared" ref="Z26:Z34" si="15">Q26</f>
        <v>公共部分装修</v>
      </c>
      <c r="AA26" s="1537">
        <f t="shared" si="3"/>
        <v>1</v>
      </c>
      <c r="AB26" s="1537">
        <f t="shared" si="4"/>
        <v>1</v>
      </c>
      <c r="AC26" s="1537">
        <f t="shared" si="5"/>
        <v>1</v>
      </c>
    </row>
    <row r="27" spans="1:29" s="430" customFormat="1" ht="15">
      <c r="A27" s="427"/>
      <c r="B27" s="381" t="s">
        <v>2532</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374"/>
      <c r="Q27" s="716" t="str">
        <f t="shared" si="11"/>
        <v>成新率</v>
      </c>
      <c r="R27" s="717" t="s">
        <v>17</v>
      </c>
      <c r="S27" s="718" t="e">
        <f t="shared" si="12"/>
        <v>#N/A</v>
      </c>
      <c r="T27" s="717" t="s">
        <v>17</v>
      </c>
      <c r="U27" s="718" t="e">
        <f t="shared" si="13"/>
        <v>#N/A</v>
      </c>
      <c r="V27" s="717" t="s">
        <v>17</v>
      </c>
      <c r="W27" s="718" t="e">
        <f t="shared" si="14"/>
        <v>#N/A</v>
      </c>
      <c r="X27" s="719"/>
      <c r="Y27" s="3374"/>
      <c r="Z27" s="720" t="str">
        <f t="shared" si="15"/>
        <v>成新率</v>
      </c>
      <c r="AA27" s="1537" t="e">
        <f t="shared" si="3"/>
        <v>#N/A</v>
      </c>
      <c r="AB27" s="1537" t="e">
        <f t="shared" si="4"/>
        <v>#N/A</v>
      </c>
      <c r="AC27" s="1537" t="e">
        <f t="shared" si="5"/>
        <v>#N/A</v>
      </c>
    </row>
    <row r="28" spans="1:29" ht="15">
      <c r="A28" s="431"/>
      <c r="B28" s="381" t="s">
        <v>2533</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374"/>
      <c r="Q28" s="1536" t="str">
        <f t="shared" si="11"/>
        <v>物业等级</v>
      </c>
      <c r="R28" s="714" t="s">
        <v>17</v>
      </c>
      <c r="S28" s="715">
        <f t="shared" si="12"/>
        <v>100</v>
      </c>
      <c r="T28" s="714" t="s">
        <v>17</v>
      </c>
      <c r="U28" s="715">
        <f t="shared" si="13"/>
        <v>100</v>
      </c>
      <c r="V28" s="714" t="s">
        <v>17</v>
      </c>
      <c r="W28" s="715">
        <f t="shared" si="14"/>
        <v>100</v>
      </c>
      <c r="X28" s="1539"/>
      <c r="Y28" s="3374"/>
      <c r="Z28" s="1540" t="str">
        <f t="shared" si="15"/>
        <v>物业等级</v>
      </c>
      <c r="AA28" s="1537">
        <f t="shared" si="3"/>
        <v>1</v>
      </c>
      <c r="AB28" s="1537">
        <f t="shared" si="4"/>
        <v>1</v>
      </c>
      <c r="AC28" s="1537">
        <f t="shared" si="5"/>
        <v>1</v>
      </c>
    </row>
    <row r="29" spans="1:29" ht="15">
      <c r="A29" s="431"/>
      <c r="B29" s="381" t="s">
        <v>2554</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374"/>
      <c r="Q29" s="1536" t="str">
        <f t="shared" si="11"/>
        <v>有无电梯</v>
      </c>
      <c r="R29" s="714" t="s">
        <v>17</v>
      </c>
      <c r="S29" s="715">
        <f t="shared" si="12"/>
        <v>100</v>
      </c>
      <c r="T29" s="714" t="s">
        <v>17</v>
      </c>
      <c r="U29" s="715">
        <f t="shared" si="13"/>
        <v>100</v>
      </c>
      <c r="V29" s="714" t="s">
        <v>17</v>
      </c>
      <c r="W29" s="715">
        <f t="shared" si="14"/>
        <v>100</v>
      </c>
      <c r="X29" s="1539"/>
      <c r="Y29" s="3374"/>
      <c r="Z29" s="1540" t="str">
        <f t="shared" si="15"/>
        <v>有无电梯</v>
      </c>
      <c r="AA29" s="1537">
        <f t="shared" si="3"/>
        <v>1</v>
      </c>
      <c r="AB29" s="1537">
        <f t="shared" si="4"/>
        <v>1</v>
      </c>
      <c r="AC29" s="1537">
        <f t="shared" si="5"/>
        <v>1</v>
      </c>
    </row>
    <row r="30" spans="1:29" ht="15">
      <c r="A30" s="431"/>
      <c r="B30" s="381" t="s">
        <v>2555</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374"/>
      <c r="Q30" s="1536" t="str">
        <f t="shared" si="11"/>
        <v>建筑面积</v>
      </c>
      <c r="R30" s="714" t="s">
        <v>17</v>
      </c>
      <c r="S30" s="715" t="e">
        <f t="shared" si="12"/>
        <v>#N/A</v>
      </c>
      <c r="T30" s="714" t="s">
        <v>17</v>
      </c>
      <c r="U30" s="715" t="e">
        <f t="shared" si="13"/>
        <v>#N/A</v>
      </c>
      <c r="V30" s="714" t="s">
        <v>17</v>
      </c>
      <c r="W30" s="715" t="e">
        <f t="shared" si="14"/>
        <v>#N/A</v>
      </c>
      <c r="X30" s="1539"/>
      <c r="Y30" s="3374"/>
      <c r="Z30" s="1540" t="str">
        <f t="shared" si="15"/>
        <v>建筑面积</v>
      </c>
      <c r="AA30" s="1537" t="e">
        <f t="shared" si="3"/>
        <v>#N/A</v>
      </c>
      <c r="AB30" s="1537" t="e">
        <f t="shared" si="4"/>
        <v>#N/A</v>
      </c>
      <c r="AC30" s="1537" t="e">
        <f t="shared" si="5"/>
        <v>#N/A</v>
      </c>
    </row>
    <row r="31" spans="1:29" s="113" customFormat="1" ht="15">
      <c r="A31" s="432"/>
      <c r="B31" s="381" t="s">
        <v>2556</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374"/>
      <c r="Q31" s="1527" t="str">
        <f t="shared" si="11"/>
        <v>是否封闭</v>
      </c>
      <c r="R31" s="710" t="s">
        <v>17</v>
      </c>
      <c r="S31" s="711">
        <f t="shared" si="12"/>
        <v>100</v>
      </c>
      <c r="T31" s="710" t="s">
        <v>17</v>
      </c>
      <c r="U31" s="711">
        <f t="shared" si="13"/>
        <v>100</v>
      </c>
      <c r="V31" s="710" t="s">
        <v>17</v>
      </c>
      <c r="W31" s="711">
        <f t="shared" si="14"/>
        <v>100</v>
      </c>
      <c r="X31" s="712"/>
      <c r="Y31" s="3374"/>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374" t="s">
        <v>2382</v>
      </c>
      <c r="Q32" s="1536">
        <f t="shared" si="11"/>
        <v>111</v>
      </c>
      <c r="R32" s="714" t="s">
        <v>17</v>
      </c>
      <c r="S32" s="715">
        <f t="shared" si="12"/>
        <v>100</v>
      </c>
      <c r="T32" s="714" t="s">
        <v>17</v>
      </c>
      <c r="U32" s="715">
        <f t="shared" si="13"/>
        <v>100</v>
      </c>
      <c r="V32" s="714" t="s">
        <v>17</v>
      </c>
      <c r="W32" s="715">
        <f t="shared" si="14"/>
        <v>100</v>
      </c>
      <c r="X32" s="1539"/>
      <c r="Y32" s="3374" t="s">
        <v>2382</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374"/>
      <c r="Q33" s="1536">
        <f t="shared" si="11"/>
        <v>111</v>
      </c>
      <c r="R33" s="714" t="s">
        <v>17</v>
      </c>
      <c r="S33" s="715">
        <f t="shared" si="12"/>
        <v>100</v>
      </c>
      <c r="T33" s="714" t="s">
        <v>17</v>
      </c>
      <c r="U33" s="715">
        <f t="shared" si="13"/>
        <v>100</v>
      </c>
      <c r="V33" s="714" t="s">
        <v>17</v>
      </c>
      <c r="W33" s="715">
        <f t="shared" si="14"/>
        <v>100</v>
      </c>
      <c r="X33" s="1539"/>
      <c r="Y33" s="3374"/>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374"/>
      <c r="Q34" s="1536">
        <f t="shared" si="11"/>
        <v>111</v>
      </c>
      <c r="R34" s="714" t="s">
        <v>17</v>
      </c>
      <c r="S34" s="715">
        <f t="shared" si="12"/>
        <v>100</v>
      </c>
      <c r="T34" s="714" t="s">
        <v>17</v>
      </c>
      <c r="U34" s="715">
        <f t="shared" si="13"/>
        <v>100</v>
      </c>
      <c r="V34" s="714" t="s">
        <v>17</v>
      </c>
      <c r="W34" s="715">
        <f t="shared" si="14"/>
        <v>100</v>
      </c>
      <c r="X34" s="1539"/>
      <c r="Y34" s="3374"/>
      <c r="Z34" s="1540">
        <f t="shared" si="15"/>
        <v>111</v>
      </c>
      <c r="AA34" s="1537">
        <f t="shared" si="3"/>
        <v>1</v>
      </c>
      <c r="AB34" s="1537">
        <f t="shared" si="4"/>
        <v>1</v>
      </c>
      <c r="AC34" s="1537">
        <f t="shared" si="5"/>
        <v>1</v>
      </c>
    </row>
    <row r="35" spans="1:30" ht="15">
      <c r="A35" s="438" t="s">
        <v>2394</v>
      </c>
      <c r="B35" s="439"/>
      <c r="C35" s="1316" t="s">
        <v>1</v>
      </c>
      <c r="D35" s="1317"/>
      <c r="E35" s="1318"/>
      <c r="F35" s="1319"/>
      <c r="G35" s="1320"/>
      <c r="H35" s="1321"/>
      <c r="I35" s="1318"/>
      <c r="J35" s="1321"/>
      <c r="K35" s="723"/>
      <c r="L35" s="2953"/>
      <c r="M35" s="2954"/>
      <c r="N35" s="2945"/>
      <c r="O35" s="2954"/>
      <c r="P35" s="3369" t="str">
        <f>A35</f>
        <v>成交单价（元/平方米）</v>
      </c>
      <c r="Q35" s="3369"/>
      <c r="R35" s="3434">
        <f>E35</f>
        <v>0</v>
      </c>
      <c r="S35" s="3434"/>
      <c r="T35" s="3434">
        <f>G35</f>
        <v>0</v>
      </c>
      <c r="U35" s="3434"/>
      <c r="V35" s="3434">
        <f>I35</f>
        <v>0</v>
      </c>
      <c r="W35" s="3434"/>
      <c r="X35" s="699"/>
      <c r="Y35" s="721"/>
      <c r="Z35" s="699"/>
      <c r="AA35" s="699"/>
      <c r="AB35" s="699"/>
      <c r="AC35" s="699"/>
    </row>
    <row r="36" spans="1:30" ht="15.75" thickBot="1">
      <c r="A36" s="445" t="s">
        <v>2486</v>
      </c>
      <c r="B36" s="446"/>
      <c r="C36" s="1322" t="e">
        <f>R37</f>
        <v>#DIV/0!</v>
      </c>
      <c r="D36" s="2538" t="s">
        <v>2876</v>
      </c>
      <c r="E36" s="1323" t="e">
        <f>R36</f>
        <v>#DIV/0!</v>
      </c>
      <c r="F36" s="2539"/>
      <c r="G36" s="1322" t="e">
        <f>T36</f>
        <v>#DIV/0!</v>
      </c>
      <c r="H36" s="2539"/>
      <c r="I36" s="1323" t="e">
        <f>V36</f>
        <v>#DIV/0!</v>
      </c>
      <c r="J36" s="2539"/>
      <c r="K36" s="2541">
        <f>F36+H36+J36</f>
        <v>0</v>
      </c>
      <c r="L36" s="2953"/>
      <c r="M36" s="2954"/>
      <c r="N36" s="2945"/>
      <c r="O36" s="2954"/>
      <c r="P36" s="3369" t="str">
        <f>A36</f>
        <v>比较价值（元/平方米）</v>
      </c>
      <c r="Q36" s="3369"/>
      <c r="R36" s="3434" t="e">
        <f>IF(F1="售价",ROUND(PRODUCT(R35,AA7:AA34),0),ROUND(PRODUCT(R35,AA7:AA34),1))</f>
        <v>#DIV/0!</v>
      </c>
      <c r="S36" s="3434"/>
      <c r="T36" s="3434" t="e">
        <f>IF(F1="售价",ROUND(PRODUCT(T35,AB7:AB34),0),ROUND(PRODUCT(T35,AB7:AB34),1))</f>
        <v>#DIV/0!</v>
      </c>
      <c r="U36" s="3434"/>
      <c r="V36" s="3434" t="e">
        <f>IF(F1="售价",ROUND(PRODUCT(V35,AC7:AC34),0),ROUND(PRODUCT(V35,AC7:AC34),1))</f>
        <v>#DIV/0!</v>
      </c>
      <c r="W36" s="3434"/>
      <c r="X36" s="699"/>
      <c r="Y36" s="699"/>
      <c r="Z36" s="699"/>
      <c r="AA36" s="699"/>
      <c r="AB36" s="699"/>
      <c r="AC36" s="699"/>
    </row>
    <row r="37" spans="1:30" ht="15.75" thickBot="1">
      <c r="A37" s="449" t="s">
        <v>2487</v>
      </c>
      <c r="B37" s="450"/>
      <c r="C37" s="1325" t="e">
        <f>R37</f>
        <v>#DIV/0!</v>
      </c>
      <c r="D37" s="1325"/>
      <c r="E37" s="1325"/>
      <c r="F37" s="1325"/>
      <c r="G37" s="1325"/>
      <c r="H37" s="1325"/>
      <c r="I37" s="1325"/>
      <c r="J37" s="1325"/>
      <c r="K37" s="724"/>
      <c r="L37" s="2953"/>
      <c r="M37" s="2954"/>
      <c r="N37" s="2954"/>
      <c r="O37" s="2954"/>
      <c r="P37" s="3363" t="str">
        <f>A37</f>
        <v>估价对象XX用房的比较价值（楼面单价，元/平方米）</v>
      </c>
      <c r="Q37" s="3364"/>
      <c r="R37" s="3456" t="e">
        <f>IF(F1="售价",ROUND(IF(D36="简单平均",AVERAGE(R36:W36),R36*F36+T36*H36+V36*J36),0),ROUND(IF(D36="简单平均",AVERAGE(R36:V36),R36*F36+T36*H36+V36*J36),1))</f>
        <v>#DIV/0!</v>
      </c>
      <c r="S37" s="3456"/>
      <c r="T37" s="3456"/>
      <c r="U37" s="3456"/>
      <c r="V37" s="3456"/>
      <c r="W37" s="3456"/>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2488</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2489</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2490</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2491</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2365</v>
      </c>
      <c r="B46" s="463"/>
      <c r="C46" s="1346" t="str">
        <f>YEAR(C7)&amp;"-"&amp;MONTH(C7)</f>
        <v>2021-12</v>
      </c>
      <c r="D46" s="1347">
        <f>EDATE(C46,-1)</f>
        <v>44501</v>
      </c>
      <c r="E46" s="1347">
        <f t="shared" ref="E46:O46" si="16">EDATE(D46,-1)</f>
        <v>44470</v>
      </c>
      <c r="F46" s="1347">
        <f t="shared" si="16"/>
        <v>44440</v>
      </c>
      <c r="G46" s="1347">
        <f t="shared" si="16"/>
        <v>44409</v>
      </c>
      <c r="H46" s="1347">
        <f t="shared" si="16"/>
        <v>44378</v>
      </c>
      <c r="I46" s="1347">
        <f t="shared" si="16"/>
        <v>44348</v>
      </c>
      <c r="J46" s="1347">
        <f t="shared" si="16"/>
        <v>44317</v>
      </c>
      <c r="K46" s="1347">
        <f t="shared" si="16"/>
        <v>44287</v>
      </c>
      <c r="L46" s="1347">
        <f t="shared" si="16"/>
        <v>44256</v>
      </c>
      <c r="M46" s="1347">
        <f t="shared" si="16"/>
        <v>44228</v>
      </c>
      <c r="N46" s="1347">
        <f t="shared" si="16"/>
        <v>44197</v>
      </c>
      <c r="O46" s="1347">
        <f t="shared" si="16"/>
        <v>44166</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2402</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2367</v>
      </c>
      <c r="B49" s="467"/>
      <c r="C49" s="479" t="s">
        <v>2469</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2405</v>
      </c>
      <c r="B51" s="485" t="s">
        <v>2371</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2374</v>
      </c>
      <c r="C53" s="496" t="s">
        <v>2406</v>
      </c>
      <c r="D53" s="496" t="s">
        <v>2407</v>
      </c>
      <c r="E53" s="496" t="s">
        <v>2408</v>
      </c>
      <c r="F53" s="496" t="s">
        <v>2409</v>
      </c>
      <c r="G53" s="496" t="s">
        <v>2410</v>
      </c>
      <c r="H53" s="496" t="s">
        <v>2411</v>
      </c>
      <c r="I53" s="496" t="s">
        <v>2412</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2376</v>
      </c>
      <c r="B61" s="485" t="s">
        <v>2419</v>
      </c>
      <c r="C61" s="530" t="s">
        <v>2414</v>
      </c>
      <c r="D61" s="530" t="s">
        <v>2415</v>
      </c>
      <c r="E61" s="530" t="s">
        <v>2416</v>
      </c>
      <c r="F61" s="530" t="s">
        <v>2417</v>
      </c>
      <c r="G61" s="530" t="s">
        <v>2418</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2557</v>
      </c>
      <c r="C63" s="535" t="s">
        <v>2414</v>
      </c>
      <c r="D63" s="535" t="s">
        <v>2415</v>
      </c>
      <c r="E63" s="535" t="s">
        <v>2416</v>
      </c>
      <c r="F63" s="535" t="s">
        <v>2417</v>
      </c>
      <c r="G63" s="535" t="s">
        <v>2418</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2506</v>
      </c>
      <c r="C65" s="616" t="s">
        <v>2492</v>
      </c>
      <c r="D65" s="616" t="s">
        <v>2493</v>
      </c>
      <c r="E65" s="616" t="s">
        <v>2494</v>
      </c>
      <c r="F65" s="616" t="s">
        <v>2495</v>
      </c>
      <c r="G65" s="616" t="s">
        <v>2496</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2426</v>
      </c>
      <c r="C67" s="535" t="s">
        <v>2414</v>
      </c>
      <c r="D67" s="535" t="s">
        <v>2415</v>
      </c>
      <c r="E67" s="535" t="s">
        <v>2416</v>
      </c>
      <c r="F67" s="535" t="s">
        <v>2417</v>
      </c>
      <c r="G67" s="535" t="s">
        <v>2418</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2546</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2380</v>
      </c>
      <c r="B77" s="485" t="s">
        <v>2433</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2549</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2550</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2558</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2559</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2560</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6" priority="18" stopIfTrue="1" operator="containsText" text="超过">
      <formula>NOT(ISERROR(SEARCH("超过",F40)))</formula>
    </cfRule>
  </conditionalFormatting>
  <conditionalFormatting sqref="J42">
    <cfRule type="containsText" dxfId="55" priority="17" stopIfTrue="1" operator="containsText" text="超过">
      <formula>NOT(ISERROR(SEARCH("超过",J42)))</formula>
    </cfRule>
  </conditionalFormatting>
  <conditionalFormatting sqref="H42">
    <cfRule type="containsText" dxfId="54" priority="16" stopIfTrue="1" operator="containsText" text="超过">
      <formula>NOT(ISERROR(SEARCH("超过",H42)))</formula>
    </cfRule>
  </conditionalFormatting>
  <conditionalFormatting sqref="F42">
    <cfRule type="containsText" dxfId="53" priority="15" stopIfTrue="1" operator="containsText" text="超过">
      <formula>NOT(ISERROR(SEARCH("超过",F42)))</formula>
    </cfRule>
  </conditionalFormatting>
  <conditionalFormatting sqref="F41 H41 J41">
    <cfRule type="containsText" dxfId="52" priority="14" stopIfTrue="1" operator="containsText" text="超过">
      <formula>NOT(ISERROR(SEARCH("超过",F41)))</formula>
    </cfRule>
  </conditionalFormatting>
  <conditionalFormatting sqref="E40">
    <cfRule type="expression" dxfId="51" priority="13" stopIfTrue="1">
      <formula>$F$40="超过30%"</formula>
    </cfRule>
  </conditionalFormatting>
  <conditionalFormatting sqref="G42">
    <cfRule type="expression" dxfId="50" priority="12" stopIfTrue="1">
      <formula>$H$54+$H$42="超过30%"</formula>
    </cfRule>
  </conditionalFormatting>
  <conditionalFormatting sqref="E41">
    <cfRule type="expression" dxfId="49" priority="11" stopIfTrue="1">
      <formula>$F$41="超过20%"</formula>
    </cfRule>
  </conditionalFormatting>
  <conditionalFormatting sqref="E42">
    <cfRule type="expression" dxfId="48" priority="10" stopIfTrue="1">
      <formula>$F$42="超过30%"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I40">
    <cfRule type="expression" dxfId="45" priority="7" stopIfTrue="1">
      <formula>$J$40="超过30%"</formula>
    </cfRule>
  </conditionalFormatting>
  <conditionalFormatting sqref="I41">
    <cfRule type="expression" dxfId="44" priority="6" stopIfTrue="1">
      <formula>$J$41="超过20%"</formula>
    </cfRule>
  </conditionalFormatting>
  <conditionalFormatting sqref="I42">
    <cfRule type="expression" dxfId="43" priority="5" stopIfTrue="1">
      <formula>$J$42="超过30%"</formula>
    </cfRule>
  </conditionalFormatting>
  <conditionalFormatting sqref="F36">
    <cfRule type="expression" dxfId="42" priority="4">
      <formula>$D$36="简单平均"</formula>
    </cfRule>
  </conditionalFormatting>
  <conditionalFormatting sqref="H36">
    <cfRule type="expression" dxfId="41" priority="3">
      <formula>$D$36="简单平均"</formula>
    </cfRule>
  </conditionalFormatting>
  <conditionalFormatting sqref="J36">
    <cfRule type="expression" dxfId="40" priority="2">
      <formula>$D$36="简单平均"</formula>
    </cfRule>
  </conditionalFormatting>
  <conditionalFormatting sqref="F7:F34 H7:H34 J7:J34">
    <cfRule type="cellIs" dxfId="39" priority="1" operator="notEqual">
      <formula>100</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10 E10 G10 I10" xr:uid="{00000000-0002-0000-2000-000003000000}">
      <formula1>土地年限区间</formula1>
    </dataValidation>
    <dataValidation type="list" allowBlank="1" showInputMessage="1" showErrorMessage="1" sqref="C8 E8 G8 I8" xr:uid="{00000000-0002-0000-2000-000004000000}">
      <formula1>仓储交易情况</formula1>
    </dataValidation>
    <dataValidation type="list" allowBlank="1" showInputMessage="1" showErrorMessage="1" sqref="E9 G9 I9" xr:uid="{00000000-0002-0000-2000-000005000000}">
      <formula1>仓储用途</formula1>
    </dataValidation>
    <dataValidation type="list" allowBlank="1" showInputMessage="1" showErrorMessage="1" sqref="C21 E21 G21 I21" xr:uid="{00000000-0002-0000-2000-000006000000}">
      <formula1>环境</formula1>
    </dataValidation>
    <dataValidation type="list" allowBlank="1" showInputMessage="1" showErrorMessage="1" sqref="C22 E22 G22 I22" xr:uid="{00000000-0002-0000-2000-000007000000}">
      <formula1>仓储楼层</formula1>
    </dataValidation>
    <dataValidation type="list" allowBlank="1" showInputMessage="1" showErrorMessage="1" sqref="C26 E26 G26 I26" xr:uid="{00000000-0002-0000-2000-000008000000}">
      <formula1>仓储公共部分装修</formula1>
    </dataValidation>
    <dataValidation type="list" allowBlank="1" showInputMessage="1" showErrorMessage="1" sqref="C29 E29 G29 I29" xr:uid="{00000000-0002-0000-2000-000009000000}">
      <formula1>有无电梯</formula1>
    </dataValidation>
    <dataValidation type="list" allowBlank="1" showInputMessage="1" showErrorMessage="1" sqref="C31 E31 G31 I31" xr:uid="{00000000-0002-0000-2000-00000A000000}">
      <formula1>是否封闭</formula1>
    </dataValidation>
    <dataValidation type="list" allowBlank="1" showInputMessage="1" showErrorMessage="1" sqref="B1" xr:uid="{00000000-0002-0000-2000-00000B000000}">
      <formula1>地类判定</formula1>
    </dataValidation>
    <dataValidation type="list" allowBlank="1" showInputMessage="1" showErrorMessage="1" sqref="C28 E28 G28 I28" xr:uid="{00000000-0002-0000-2000-00000C000000}">
      <formula1>仓储物业等级</formula1>
    </dataValidation>
    <dataValidation type="list" allowBlank="1" showInputMessage="1" showErrorMessage="1" sqref="C19 E19 G19 I19" xr:uid="{00000000-0002-0000-2000-00000D000000}">
      <formula1>基础设施水平</formula1>
    </dataValidation>
    <dataValidation type="list" allowBlank="1" showInputMessage="1" showErrorMessage="1" sqref="F1" xr:uid="{00000000-0002-0000-2000-00000E000000}">
      <formula1>"售价,租金"</formula1>
    </dataValidation>
    <dataValidation type="list" allowBlank="1" showInputMessage="1" showErrorMessage="1" sqref="C2" xr:uid="{00000000-0002-0000-2000-00000F000000}">
      <formula1>"需扣减承租人权益,——"</formula1>
    </dataValidation>
    <dataValidation type="list" allowBlank="1" showInputMessage="1" showErrorMessage="1" sqref="F2" xr:uid="{00000000-0002-0000-2000-000010000000}">
      <formula1>估价方法</formula1>
    </dataValidation>
    <dataValidation type="list" allowBlank="1" showInputMessage="1" showErrorMessage="1" sqref="D36" xr:uid="{00000000-0002-0000-20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2561</v>
      </c>
      <c r="B1" s="355"/>
      <c r="C1" s="356" t="s">
        <v>2612</v>
      </c>
      <c r="D1" s="695"/>
      <c r="E1" s="695"/>
      <c r="F1" s="694" t="s">
        <v>2460</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2144</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2146</v>
      </c>
      <c r="B3" s="566" t="e">
        <f>ROUND(IF(D3="",B2*10000/'数据-汇总表'!E3,B2*10000/D3),0)</f>
        <v>#DIV/0!</v>
      </c>
      <c r="C3" s="209" t="s">
        <v>2563</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2462</v>
      </c>
      <c r="B4" s="362"/>
      <c r="C4" s="3366" t="s">
        <v>2463</v>
      </c>
      <c r="D4" s="3379"/>
      <c r="E4" s="3380" t="s">
        <v>2464</v>
      </c>
      <c r="F4" s="3381"/>
      <c r="G4" s="3366" t="s">
        <v>2465</v>
      </c>
      <c r="H4" s="3379"/>
      <c r="I4" s="3366" t="s">
        <v>2466</v>
      </c>
      <c r="J4" s="3379"/>
      <c r="K4" s="567" t="s">
        <v>2467</v>
      </c>
      <c r="L4" s="2944"/>
      <c r="M4" s="2945"/>
      <c r="N4" s="2945"/>
      <c r="O4" s="2945"/>
      <c r="P4" s="3382" t="s">
        <v>2468</v>
      </c>
      <c r="Q4" s="3383"/>
      <c r="R4" s="3388" t="s">
        <v>2464</v>
      </c>
      <c r="S4" s="3389"/>
      <c r="T4" s="3388" t="s">
        <v>2465</v>
      </c>
      <c r="U4" s="3389"/>
      <c r="V4" s="3375" t="s">
        <v>2466</v>
      </c>
      <c r="W4" s="3375"/>
      <c r="X4" s="1539"/>
      <c r="Y4" s="3388" t="s">
        <v>2468</v>
      </c>
      <c r="Z4" s="3389"/>
      <c r="AA4" s="3376" t="s">
        <v>2464</v>
      </c>
      <c r="AB4" s="3377" t="s">
        <v>2465</v>
      </c>
      <c r="AC4" s="3376" t="s">
        <v>2466</v>
      </c>
    </row>
    <row r="5" spans="1:29" ht="15">
      <c r="A5" s="364"/>
      <c r="B5" s="365"/>
      <c r="C5" s="3396" t="s">
        <v>2359</v>
      </c>
      <c r="D5" s="3397"/>
      <c r="E5" s="3403" t="s">
        <v>2360</v>
      </c>
      <c r="F5" s="3404"/>
      <c r="G5" s="3396" t="s">
        <v>2361</v>
      </c>
      <c r="H5" s="3397"/>
      <c r="I5" s="3396" t="s">
        <v>2362</v>
      </c>
      <c r="J5" s="3397"/>
      <c r="K5" s="567"/>
      <c r="L5" s="2944"/>
      <c r="M5" s="2945"/>
      <c r="N5" s="2945"/>
      <c r="O5" s="2945"/>
      <c r="P5" s="3384"/>
      <c r="Q5" s="3385"/>
      <c r="R5" s="3390"/>
      <c r="S5" s="3391"/>
      <c r="T5" s="3390"/>
      <c r="U5" s="3391"/>
      <c r="V5" s="3375"/>
      <c r="W5" s="3375"/>
      <c r="X5" s="1539"/>
      <c r="Y5" s="3390"/>
      <c r="Z5" s="3391"/>
      <c r="AA5" s="3377"/>
      <c r="AB5" s="3377"/>
      <c r="AC5" s="3377"/>
    </row>
    <row r="6" spans="1:29" ht="15.75" thickBot="1">
      <c r="A6" s="366"/>
      <c r="B6" s="367"/>
      <c r="C6" s="3457" t="s">
        <v>2613</v>
      </c>
      <c r="D6" s="3458"/>
      <c r="E6" s="3459" t="s">
        <v>2613</v>
      </c>
      <c r="F6" s="3460"/>
      <c r="G6" s="3457" t="s">
        <v>2613</v>
      </c>
      <c r="H6" s="3458"/>
      <c r="I6" s="3457" t="s">
        <v>2613</v>
      </c>
      <c r="J6" s="3458"/>
      <c r="K6" s="567" t="s">
        <v>2364</v>
      </c>
      <c r="L6" s="2944"/>
      <c r="M6" s="2945"/>
      <c r="N6" s="2945"/>
      <c r="O6" s="2945"/>
      <c r="P6" s="3386"/>
      <c r="Q6" s="3387"/>
      <c r="R6" s="3390"/>
      <c r="S6" s="3391"/>
      <c r="T6" s="3392"/>
      <c r="U6" s="3393"/>
      <c r="V6" s="3375"/>
      <c r="W6" s="3375"/>
      <c r="X6" s="1539"/>
      <c r="Y6" s="3392"/>
      <c r="Z6" s="3393"/>
      <c r="AA6" s="3378"/>
      <c r="AB6" s="3378"/>
      <c r="AC6" s="3378"/>
    </row>
    <row r="7" spans="1:29" s="113" customFormat="1" ht="15.75" thickBot="1">
      <c r="A7" s="368" t="s">
        <v>2365</v>
      </c>
      <c r="B7" s="369"/>
      <c r="C7" s="370">
        <f>'数据-取费表'!B2</f>
        <v>44555</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398" t="s">
        <v>2366</v>
      </c>
      <c r="Q7" s="3400"/>
      <c r="R7" s="710" t="s">
        <v>17</v>
      </c>
      <c r="S7" s="711">
        <f t="shared" ref="S7:S15" si="0">F7</f>
        <v>0</v>
      </c>
      <c r="T7" s="710" t="s">
        <v>17</v>
      </c>
      <c r="U7" s="711">
        <f t="shared" ref="U7:U15" si="1">H7</f>
        <v>0</v>
      </c>
      <c r="V7" s="710" t="s">
        <v>17</v>
      </c>
      <c r="W7" s="711">
        <f t="shared" ref="W7:W15" si="2">J7</f>
        <v>0</v>
      </c>
      <c r="X7" s="712"/>
      <c r="Y7" s="3398" t="s">
        <v>2366</v>
      </c>
      <c r="Z7" s="3399"/>
      <c r="AA7" s="713" t="e">
        <f>D7/F7</f>
        <v>#DIV/0!</v>
      </c>
      <c r="AB7" s="713" t="e">
        <f>D7/H7</f>
        <v>#DIV/0!</v>
      </c>
      <c r="AC7" s="713" t="e">
        <f>D7/J7</f>
        <v>#DIV/0!</v>
      </c>
    </row>
    <row r="8" spans="1:29" s="113" customFormat="1" ht="15.75" thickBot="1">
      <c r="A8" s="368" t="s">
        <v>2367</v>
      </c>
      <c r="B8" s="369"/>
      <c r="C8" s="374" t="s">
        <v>2368</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398" t="s">
        <v>2369</v>
      </c>
      <c r="Q8" s="3399"/>
      <c r="R8" s="710" t="s">
        <v>17</v>
      </c>
      <c r="S8" s="711">
        <f t="shared" si="0"/>
        <v>0</v>
      </c>
      <c r="T8" s="710" t="s">
        <v>17</v>
      </c>
      <c r="U8" s="711">
        <f t="shared" si="1"/>
        <v>0</v>
      </c>
      <c r="V8" s="710" t="s">
        <v>17</v>
      </c>
      <c r="W8" s="711">
        <f t="shared" si="2"/>
        <v>0</v>
      </c>
      <c r="X8" s="712"/>
      <c r="Y8" s="3398" t="s">
        <v>2369</v>
      </c>
      <c r="Z8" s="3399"/>
      <c r="AA8" s="713" t="e">
        <f t="shared" ref="AA8:AA40" si="3">D8/F8</f>
        <v>#DIV/0!</v>
      </c>
      <c r="AB8" s="713" t="e">
        <f t="shared" ref="AB8:AB40" si="4">D8/H8</f>
        <v>#DIV/0!</v>
      </c>
      <c r="AC8" s="713" t="e">
        <f t="shared" ref="AC8:AC40" si="5">D8/J8</f>
        <v>#DIV/0!</v>
      </c>
    </row>
    <row r="9" spans="1:29" s="113" customFormat="1">
      <c r="A9" s="375" t="s">
        <v>2370</v>
      </c>
      <c r="B9" s="67" t="s">
        <v>2371</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369" t="s">
        <v>2372</v>
      </c>
      <c r="Q9" s="1527" t="str">
        <f t="shared" ref="Q9:Q15" si="6">B9</f>
        <v>用途</v>
      </c>
      <c r="R9" s="710" t="s">
        <v>17</v>
      </c>
      <c r="S9" s="711">
        <f t="shared" si="0"/>
        <v>100</v>
      </c>
      <c r="T9" s="710" t="s">
        <v>17</v>
      </c>
      <c r="U9" s="711">
        <f t="shared" si="1"/>
        <v>100</v>
      </c>
      <c r="V9" s="710" t="s">
        <v>17</v>
      </c>
      <c r="W9" s="711">
        <f t="shared" si="2"/>
        <v>100</v>
      </c>
      <c r="X9" s="712"/>
      <c r="Y9" s="3263" t="s">
        <v>2373</v>
      </c>
      <c r="Z9" s="55" t="str">
        <f t="shared" ref="Z9:Z15" si="7">Q9</f>
        <v>用途</v>
      </c>
      <c r="AA9" s="713">
        <f t="shared" si="3"/>
        <v>1</v>
      </c>
      <c r="AB9" s="713">
        <f t="shared" si="4"/>
        <v>1</v>
      </c>
      <c r="AC9" s="713">
        <f t="shared" si="5"/>
        <v>1</v>
      </c>
    </row>
    <row r="10" spans="1:29" s="386" customFormat="1" ht="27">
      <c r="A10" s="380"/>
      <c r="B10" s="381" t="s">
        <v>2374</v>
      </c>
      <c r="C10" s="391"/>
      <c r="D10" s="132">
        <v>100</v>
      </c>
      <c r="E10" s="391"/>
      <c r="F10" s="132">
        <f>ROUND(100/'数据-取费表'!G16,0)</f>
        <v>104</v>
      </c>
      <c r="G10" s="391"/>
      <c r="H10" s="132">
        <f>ROUND(100/'数据-取费表'!G16,0)</f>
        <v>104</v>
      </c>
      <c r="I10" s="391"/>
      <c r="J10" s="132">
        <f>ROUND(100/'数据-取费表'!G16,0)</f>
        <v>104</v>
      </c>
      <c r="K10" s="628"/>
      <c r="L10" s="2948"/>
      <c r="M10" s="2949"/>
      <c r="N10" s="2949"/>
      <c r="O10" s="3002"/>
      <c r="P10" s="3369"/>
      <c r="Q10" s="1527" t="str">
        <f t="shared" si="6"/>
        <v>土地使用年限（年）</v>
      </c>
      <c r="R10" s="710" t="s">
        <v>17</v>
      </c>
      <c r="S10" s="711">
        <f t="shared" si="0"/>
        <v>104</v>
      </c>
      <c r="T10" s="710" t="s">
        <v>17</v>
      </c>
      <c r="U10" s="711">
        <f t="shared" si="1"/>
        <v>104</v>
      </c>
      <c r="V10" s="710" t="s">
        <v>17</v>
      </c>
      <c r="W10" s="711">
        <f t="shared" si="2"/>
        <v>104</v>
      </c>
      <c r="X10" s="712"/>
      <c r="Y10" s="3263"/>
      <c r="Z10" s="55" t="str">
        <f t="shared" si="7"/>
        <v>土地使用年限（年）</v>
      </c>
      <c r="AA10" s="713">
        <f t="shared" si="3"/>
        <v>0.96153846153846156</v>
      </c>
      <c r="AB10" s="713">
        <f t="shared" si="4"/>
        <v>0.96153846153846156</v>
      </c>
      <c r="AC10" s="713">
        <f t="shared" si="5"/>
        <v>0.96153846153846156</v>
      </c>
    </row>
    <row r="11" spans="1:29" ht="15">
      <c r="A11" s="387"/>
      <c r="B11" s="381" t="s">
        <v>2375</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369"/>
      <c r="Q11" s="1527" t="str">
        <f t="shared" si="6"/>
        <v>容积率</v>
      </c>
      <c r="R11" s="710" t="s">
        <v>17</v>
      </c>
      <c r="S11" s="711" t="e">
        <f t="shared" si="0"/>
        <v>#N/A</v>
      </c>
      <c r="T11" s="710" t="s">
        <v>17</v>
      </c>
      <c r="U11" s="711" t="e">
        <f t="shared" si="1"/>
        <v>#N/A</v>
      </c>
      <c r="V11" s="710" t="s">
        <v>17</v>
      </c>
      <c r="W11" s="711" t="e">
        <f t="shared" si="2"/>
        <v>#N/A</v>
      </c>
      <c r="X11" s="712"/>
      <c r="Y11" s="3263"/>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369"/>
      <c r="Q12" s="1527">
        <f t="shared" si="6"/>
        <v>111</v>
      </c>
      <c r="R12" s="710" t="s">
        <v>17</v>
      </c>
      <c r="S12" s="711">
        <f t="shared" si="0"/>
        <v>100</v>
      </c>
      <c r="T12" s="710" t="s">
        <v>17</v>
      </c>
      <c r="U12" s="711">
        <f t="shared" si="1"/>
        <v>100</v>
      </c>
      <c r="V12" s="710" t="s">
        <v>17</v>
      </c>
      <c r="W12" s="711">
        <f t="shared" si="2"/>
        <v>100</v>
      </c>
      <c r="X12" s="712"/>
      <c r="Y12" s="3263"/>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369"/>
      <c r="Q13" s="1527">
        <f t="shared" si="6"/>
        <v>111</v>
      </c>
      <c r="R13" s="710" t="s">
        <v>17</v>
      </c>
      <c r="S13" s="711">
        <f t="shared" si="0"/>
        <v>100</v>
      </c>
      <c r="T13" s="710" t="s">
        <v>17</v>
      </c>
      <c r="U13" s="711">
        <f t="shared" si="1"/>
        <v>100</v>
      </c>
      <c r="V13" s="710" t="s">
        <v>17</v>
      </c>
      <c r="W13" s="711">
        <f t="shared" si="2"/>
        <v>100</v>
      </c>
      <c r="X13" s="712"/>
      <c r="Y13" s="3263"/>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369"/>
      <c r="Q14" s="1527">
        <f t="shared" si="6"/>
        <v>111</v>
      </c>
      <c r="R14" s="710" t="s">
        <v>17</v>
      </c>
      <c r="S14" s="711">
        <f t="shared" si="0"/>
        <v>100</v>
      </c>
      <c r="T14" s="710" t="s">
        <v>17</v>
      </c>
      <c r="U14" s="711">
        <f t="shared" si="1"/>
        <v>100</v>
      </c>
      <c r="V14" s="710" t="s">
        <v>17</v>
      </c>
      <c r="W14" s="711">
        <f t="shared" si="2"/>
        <v>100</v>
      </c>
      <c r="X14" s="712"/>
      <c r="Y14" s="3263"/>
      <c r="Z14" s="55">
        <f t="shared" si="7"/>
        <v>111</v>
      </c>
      <c r="AA14" s="713">
        <f t="shared" si="3"/>
        <v>1</v>
      </c>
      <c r="AB14" s="713">
        <f t="shared" si="4"/>
        <v>1</v>
      </c>
      <c r="AC14" s="713">
        <f t="shared" si="5"/>
        <v>1</v>
      </c>
    </row>
    <row r="15" spans="1:29" ht="57">
      <c r="A15" s="399" t="s">
        <v>2376</v>
      </c>
      <c r="B15" s="585" t="s">
        <v>2614</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371" t="s">
        <v>2377</v>
      </c>
      <c r="Q15" s="1536" t="str">
        <f t="shared" si="6"/>
        <v>产业集聚程度</v>
      </c>
      <c r="R15" s="714" t="s">
        <v>17</v>
      </c>
      <c r="S15" s="715">
        <f t="shared" si="0"/>
        <v>100</v>
      </c>
      <c r="T15" s="714" t="s">
        <v>17</v>
      </c>
      <c r="U15" s="715">
        <f t="shared" si="1"/>
        <v>100</v>
      </c>
      <c r="V15" s="714" t="s">
        <v>17</v>
      </c>
      <c r="W15" s="715">
        <f t="shared" si="2"/>
        <v>100</v>
      </c>
      <c r="X15" s="1539"/>
      <c r="Y15" s="3371" t="s">
        <v>2377</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1"/>
      <c r="M16" s="2945"/>
      <c r="N16" s="2945"/>
      <c r="O16" s="3003"/>
      <c r="P16" s="3372"/>
      <c r="Q16" s="1536"/>
      <c r="R16" s="714"/>
      <c r="S16" s="715"/>
      <c r="T16" s="714"/>
      <c r="U16" s="715"/>
      <c r="V16" s="714"/>
      <c r="W16" s="715"/>
      <c r="X16" s="1539"/>
      <c r="Y16" s="3372"/>
      <c r="Z16" s="1540"/>
      <c r="AA16" s="1537">
        <v>1</v>
      </c>
      <c r="AB16" s="1537">
        <v>1</v>
      </c>
      <c r="AC16" s="1537">
        <v>1</v>
      </c>
    </row>
    <row r="17" spans="1:29" ht="85.5">
      <c r="A17" s="387"/>
      <c r="B17" s="587" t="s">
        <v>2526</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372"/>
      <c r="Q17" s="1536" t="str">
        <f>B17</f>
        <v>交通便捷度</v>
      </c>
      <c r="R17" s="714" t="s">
        <v>17</v>
      </c>
      <c r="S17" s="715">
        <f>F17</f>
        <v>100</v>
      </c>
      <c r="T17" s="714" t="s">
        <v>17</v>
      </c>
      <c r="U17" s="715">
        <f>H17</f>
        <v>100</v>
      </c>
      <c r="V17" s="714" t="s">
        <v>17</v>
      </c>
      <c r="W17" s="715">
        <f>J17</f>
        <v>100</v>
      </c>
      <c r="X17" s="1539"/>
      <c r="Y17" s="3372"/>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1"/>
      <c r="M18" s="2945"/>
      <c r="N18" s="2945"/>
      <c r="O18" s="3003"/>
      <c r="P18" s="3372"/>
      <c r="Q18" s="1536"/>
      <c r="R18" s="714"/>
      <c r="S18" s="715"/>
      <c r="T18" s="714"/>
      <c r="U18" s="715"/>
      <c r="V18" s="714"/>
      <c r="W18" s="715"/>
      <c r="X18" s="1539"/>
      <c r="Y18" s="3372"/>
      <c r="Z18" s="1540"/>
      <c r="AA18" s="1537">
        <v>1</v>
      </c>
      <c r="AB18" s="1537">
        <v>1</v>
      </c>
      <c r="AC18" s="1537">
        <v>1</v>
      </c>
    </row>
    <row r="19" spans="1:29" ht="15">
      <c r="A19" s="387"/>
      <c r="B19" s="587" t="s">
        <v>2565</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372"/>
      <c r="Q19" s="1536" t="str">
        <f t="shared" ref="Q19:Q33" si="8">B19</f>
        <v>区域土地利用方向</v>
      </c>
      <c r="R19" s="714" t="s">
        <v>17</v>
      </c>
      <c r="S19" s="715">
        <f>F19</f>
        <v>100</v>
      </c>
      <c r="T19" s="714" t="s">
        <v>17</v>
      </c>
      <c r="U19" s="715">
        <f>H19</f>
        <v>100</v>
      </c>
      <c r="V19" s="714" t="s">
        <v>17</v>
      </c>
      <c r="W19" s="715">
        <f>J19</f>
        <v>100</v>
      </c>
      <c r="X19" s="1539"/>
      <c r="Y19" s="3372"/>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1"/>
      <c r="M20" s="2945"/>
      <c r="N20" s="2945"/>
      <c r="O20" s="3003"/>
      <c r="P20" s="3372"/>
      <c r="Q20" s="1536"/>
      <c r="R20" s="714"/>
      <c r="S20" s="715"/>
      <c r="T20" s="714"/>
      <c r="U20" s="715"/>
      <c r="V20" s="714"/>
      <c r="W20" s="715"/>
      <c r="X20" s="1539"/>
      <c r="Y20" s="3372"/>
      <c r="Z20" s="1540"/>
      <c r="AA20" s="1537"/>
      <c r="AB20" s="1537"/>
      <c r="AC20" s="1537"/>
    </row>
    <row r="21" spans="1:29" ht="71.25">
      <c r="A21" s="364"/>
      <c r="B21" s="587" t="s">
        <v>2615</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372"/>
      <c r="Q21" s="1536" t="str">
        <f t="shared" si="8"/>
        <v>环境状况</v>
      </c>
      <c r="R21" s="714" t="s">
        <v>17</v>
      </c>
      <c r="S21" s="715">
        <f>F21</f>
        <v>100</v>
      </c>
      <c r="T21" s="714" t="s">
        <v>17</v>
      </c>
      <c r="U21" s="715">
        <f>H21</f>
        <v>100</v>
      </c>
      <c r="V21" s="714" t="s">
        <v>17</v>
      </c>
      <c r="W21" s="715">
        <f>J21</f>
        <v>100</v>
      </c>
      <c r="X21" s="1539"/>
      <c r="Y21" s="3372"/>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1"/>
      <c r="M22" s="2945"/>
      <c r="N22" s="2945"/>
      <c r="O22" s="3003"/>
      <c r="P22" s="3372"/>
      <c r="Q22" s="1536"/>
      <c r="R22" s="714"/>
      <c r="S22" s="715"/>
      <c r="T22" s="714"/>
      <c r="U22" s="715"/>
      <c r="V22" s="714"/>
      <c r="W22" s="715"/>
      <c r="X22" s="1539"/>
      <c r="Y22" s="3372"/>
      <c r="Z22" s="1540"/>
      <c r="AA22" s="1537">
        <v>1</v>
      </c>
      <c r="AB22" s="1537">
        <v>1</v>
      </c>
      <c r="AC22" s="1537">
        <v>1</v>
      </c>
    </row>
    <row r="23" spans="1:29" s="113" customFormat="1" ht="42.75">
      <c r="A23" s="605"/>
      <c r="B23" s="589" t="s">
        <v>2471</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372"/>
      <c r="Q23" s="1527" t="str">
        <f t="shared" si="8"/>
        <v>公共配套设施</v>
      </c>
      <c r="R23" s="710" t="s">
        <v>17</v>
      </c>
      <c r="S23" s="711">
        <f>F23</f>
        <v>100</v>
      </c>
      <c r="T23" s="710" t="s">
        <v>17</v>
      </c>
      <c r="U23" s="711">
        <f>H23</f>
        <v>100</v>
      </c>
      <c r="V23" s="710" t="s">
        <v>17</v>
      </c>
      <c r="W23" s="711">
        <f>J23</f>
        <v>100</v>
      </c>
      <c r="X23" s="712"/>
      <c r="Y23" s="3372"/>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6"/>
      <c r="M24" s="2947"/>
      <c r="N24" s="2947"/>
      <c r="O24" s="3001"/>
      <c r="P24" s="3372"/>
      <c r="Q24" s="1527"/>
      <c r="R24" s="710"/>
      <c r="S24" s="711"/>
      <c r="T24" s="710"/>
      <c r="U24" s="711"/>
      <c r="V24" s="710"/>
      <c r="W24" s="711"/>
      <c r="X24" s="712"/>
      <c r="Y24" s="3372"/>
      <c r="Z24" s="55"/>
      <c r="AA24" s="713">
        <v>1</v>
      </c>
      <c r="AB24" s="713">
        <v>1</v>
      </c>
      <c r="AC24" s="713">
        <v>1</v>
      </c>
    </row>
    <row r="25" spans="1:29" s="113" customFormat="1" ht="28.5">
      <c r="A25" s="605"/>
      <c r="B25" s="589" t="s">
        <v>2472</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372"/>
      <c r="Q25" s="1527" t="str">
        <f t="shared" ref="Q25" si="9">B25</f>
        <v>基础设施水平</v>
      </c>
      <c r="R25" s="710" t="s">
        <v>17</v>
      </c>
      <c r="S25" s="711">
        <f>F25</f>
        <v>100</v>
      </c>
      <c r="T25" s="710" t="s">
        <v>17</v>
      </c>
      <c r="U25" s="711">
        <f>H25</f>
        <v>100</v>
      </c>
      <c r="V25" s="710" t="s">
        <v>17</v>
      </c>
      <c r="W25" s="711">
        <f>J25</f>
        <v>100</v>
      </c>
      <c r="X25" s="712"/>
      <c r="Y25" s="3372"/>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6"/>
      <c r="M26" s="2947"/>
      <c r="N26" s="2947"/>
      <c r="O26" s="3001"/>
      <c r="P26" s="3372"/>
      <c r="Q26" s="1527"/>
      <c r="R26" s="710"/>
      <c r="S26" s="711"/>
      <c r="T26" s="710"/>
      <c r="U26" s="711"/>
      <c r="V26" s="710"/>
      <c r="W26" s="711"/>
      <c r="X26" s="712"/>
      <c r="Y26" s="3372"/>
      <c r="Z26" s="55"/>
      <c r="AA26" s="713">
        <v>1</v>
      </c>
      <c r="AB26" s="713">
        <v>1</v>
      </c>
      <c r="AC26" s="713">
        <v>1</v>
      </c>
    </row>
    <row r="27" spans="1:29" ht="15">
      <c r="A27" s="387"/>
      <c r="B27" s="588" t="s">
        <v>2473</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372"/>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72"/>
      <c r="Z27" s="1540" t="str">
        <f t="shared" ref="Z27:Z40" si="13">Q27</f>
        <v>临街状况</v>
      </c>
      <c r="AA27" s="1537">
        <f t="shared" si="3"/>
        <v>1</v>
      </c>
      <c r="AB27" s="1537">
        <f t="shared" si="4"/>
        <v>1</v>
      </c>
      <c r="AC27" s="1537">
        <f t="shared" si="5"/>
        <v>1</v>
      </c>
    </row>
    <row r="28" spans="1:29" ht="27">
      <c r="A28" s="387"/>
      <c r="B28" s="589" t="s">
        <v>2508</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372"/>
      <c r="Q28" s="1536" t="str">
        <f t="shared" si="8"/>
        <v>毗邻道路的类型与等级</v>
      </c>
      <c r="R28" s="714" t="s">
        <v>17</v>
      </c>
      <c r="S28" s="715">
        <f t="shared" si="10"/>
        <v>100</v>
      </c>
      <c r="T28" s="714" t="s">
        <v>17</v>
      </c>
      <c r="U28" s="715">
        <f t="shared" si="11"/>
        <v>100</v>
      </c>
      <c r="V28" s="714" t="s">
        <v>17</v>
      </c>
      <c r="W28" s="715">
        <f t="shared" si="12"/>
        <v>100</v>
      </c>
      <c r="X28" s="1539"/>
      <c r="Y28" s="3372"/>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1"/>
      <c r="M29" s="2945"/>
      <c r="N29" s="2945"/>
      <c r="O29" s="3003"/>
      <c r="P29" s="3372"/>
      <c r="Q29" s="1536"/>
      <c r="R29" s="714"/>
      <c r="S29" s="715"/>
      <c r="T29" s="714"/>
      <c r="U29" s="715"/>
      <c r="V29" s="714"/>
      <c r="W29" s="715"/>
      <c r="X29" s="1539"/>
      <c r="Y29" s="3372"/>
      <c r="Z29" s="1540"/>
      <c r="AA29" s="1537">
        <v>1</v>
      </c>
      <c r="AB29" s="1537">
        <v>1</v>
      </c>
      <c r="AC29" s="1537">
        <v>1</v>
      </c>
    </row>
    <row r="30" spans="1:29" ht="15">
      <c r="A30" s="387"/>
      <c r="B30" s="610" t="s">
        <v>2567</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372"/>
      <c r="Q30" s="1536" t="str">
        <f t="shared" si="8"/>
        <v>土地级别</v>
      </c>
      <c r="R30" s="714" t="s">
        <v>17</v>
      </c>
      <c r="S30" s="715">
        <f t="shared" si="10"/>
        <v>100</v>
      </c>
      <c r="T30" s="714" t="s">
        <v>17</v>
      </c>
      <c r="U30" s="715">
        <f t="shared" si="11"/>
        <v>100</v>
      </c>
      <c r="V30" s="714" t="s">
        <v>17</v>
      </c>
      <c r="W30" s="715">
        <f t="shared" si="12"/>
        <v>100</v>
      </c>
      <c r="X30" s="1539"/>
      <c r="Y30" s="3372"/>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372"/>
      <c r="Q31" s="1536">
        <f t="shared" si="8"/>
        <v>111</v>
      </c>
      <c r="R31" s="714" t="s">
        <v>17</v>
      </c>
      <c r="S31" s="715">
        <f t="shared" si="10"/>
        <v>100</v>
      </c>
      <c r="T31" s="714" t="s">
        <v>17</v>
      </c>
      <c r="U31" s="715">
        <f t="shared" si="11"/>
        <v>100</v>
      </c>
      <c r="V31" s="714" t="s">
        <v>17</v>
      </c>
      <c r="W31" s="715">
        <f t="shared" si="12"/>
        <v>100</v>
      </c>
      <c r="X31" s="1539"/>
      <c r="Y31" s="3372"/>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373" t="s">
        <v>2382</v>
      </c>
      <c r="Q32" s="1536">
        <f t="shared" si="8"/>
        <v>111</v>
      </c>
      <c r="R32" s="714" t="s">
        <v>17</v>
      </c>
      <c r="S32" s="715">
        <f t="shared" si="10"/>
        <v>100</v>
      </c>
      <c r="T32" s="714" t="s">
        <v>17</v>
      </c>
      <c r="U32" s="715">
        <f t="shared" si="11"/>
        <v>100</v>
      </c>
      <c r="V32" s="714" t="s">
        <v>17</v>
      </c>
      <c r="W32" s="715">
        <f t="shared" si="12"/>
        <v>100</v>
      </c>
      <c r="X32" s="1539"/>
      <c r="Y32" s="3374" t="s">
        <v>2382</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374"/>
      <c r="Q33" s="1536">
        <f t="shared" si="8"/>
        <v>111</v>
      </c>
      <c r="R33" s="717" t="s">
        <v>17</v>
      </c>
      <c r="S33" s="718">
        <f t="shared" si="10"/>
        <v>100</v>
      </c>
      <c r="T33" s="717" t="s">
        <v>17</v>
      </c>
      <c r="U33" s="718">
        <f t="shared" si="11"/>
        <v>100</v>
      </c>
      <c r="V33" s="717" t="s">
        <v>17</v>
      </c>
      <c r="W33" s="718">
        <f t="shared" si="12"/>
        <v>100</v>
      </c>
      <c r="X33" s="719"/>
      <c r="Y33" s="3374"/>
      <c r="Z33" s="720">
        <f t="shared" si="13"/>
        <v>111</v>
      </c>
      <c r="AA33" s="1537">
        <f t="shared" si="3"/>
        <v>1</v>
      </c>
      <c r="AB33" s="1537">
        <f t="shared" si="4"/>
        <v>1</v>
      </c>
      <c r="AC33" s="1537">
        <f t="shared" si="5"/>
        <v>1</v>
      </c>
    </row>
    <row r="34" spans="1:31" ht="15">
      <c r="A34" s="399" t="s">
        <v>2380</v>
      </c>
      <c r="B34" s="415" t="s">
        <v>2568</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374"/>
      <c r="Q34" s="1536" t="str">
        <f>B34</f>
        <v>宗地面积</v>
      </c>
      <c r="R34" s="714" t="s">
        <v>17</v>
      </c>
      <c r="S34" s="715" t="e">
        <f t="shared" si="10"/>
        <v>#N/A</v>
      </c>
      <c r="T34" s="714" t="s">
        <v>17</v>
      </c>
      <c r="U34" s="715" t="e">
        <f t="shared" si="11"/>
        <v>#N/A</v>
      </c>
      <c r="V34" s="714" t="s">
        <v>17</v>
      </c>
      <c r="W34" s="715" t="e">
        <f t="shared" si="12"/>
        <v>#N/A</v>
      </c>
      <c r="X34" s="1539"/>
      <c r="Y34" s="3374"/>
      <c r="Z34" s="1540" t="str">
        <f t="shared" si="13"/>
        <v>宗地面积</v>
      </c>
      <c r="AA34" s="1537" t="e">
        <f t="shared" si="3"/>
        <v>#N/A</v>
      </c>
      <c r="AB34" s="1537" t="e">
        <f t="shared" si="4"/>
        <v>#N/A</v>
      </c>
      <c r="AC34" s="1537" t="e">
        <f t="shared" si="5"/>
        <v>#N/A</v>
      </c>
    </row>
    <row r="35" spans="1:31" ht="15">
      <c r="A35" s="431"/>
      <c r="B35" s="381" t="s">
        <v>2569</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374"/>
      <c r="Q35" s="1536" t="str">
        <f t="shared" ref="Q35:Q40" si="14">B35</f>
        <v>宗地形状</v>
      </c>
      <c r="R35" s="714" t="s">
        <v>17</v>
      </c>
      <c r="S35" s="715">
        <f t="shared" si="10"/>
        <v>100</v>
      </c>
      <c r="T35" s="714" t="s">
        <v>17</v>
      </c>
      <c r="U35" s="715">
        <f t="shared" si="11"/>
        <v>100</v>
      </c>
      <c r="V35" s="714" t="s">
        <v>17</v>
      </c>
      <c r="W35" s="715">
        <f t="shared" si="12"/>
        <v>100</v>
      </c>
      <c r="X35" s="1539"/>
      <c r="Y35" s="3374"/>
      <c r="Z35" s="1540" t="str">
        <f t="shared" si="13"/>
        <v>宗地形状</v>
      </c>
      <c r="AA35" s="1537">
        <f t="shared" si="3"/>
        <v>1</v>
      </c>
      <c r="AB35" s="1537">
        <f t="shared" si="4"/>
        <v>1</v>
      </c>
      <c r="AC35" s="1537">
        <f t="shared" si="5"/>
        <v>1</v>
      </c>
    </row>
    <row r="36" spans="1:31" s="113" customFormat="1" ht="15">
      <c r="A36" s="432"/>
      <c r="B36" s="381" t="s">
        <v>2571</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374"/>
      <c r="Q36" s="1536" t="str">
        <f t="shared" si="14"/>
        <v>宗地开发程度</v>
      </c>
      <c r="R36" s="710" t="s">
        <v>17</v>
      </c>
      <c r="S36" s="711">
        <f t="shared" si="10"/>
        <v>100</v>
      </c>
      <c r="T36" s="710" t="s">
        <v>17</v>
      </c>
      <c r="U36" s="711">
        <f t="shared" si="11"/>
        <v>100</v>
      </c>
      <c r="V36" s="710" t="s">
        <v>17</v>
      </c>
      <c r="W36" s="711">
        <f t="shared" si="12"/>
        <v>100</v>
      </c>
      <c r="X36" s="712"/>
      <c r="Y36" s="3374"/>
      <c r="Z36" s="55" t="str">
        <f t="shared" si="13"/>
        <v>宗地开发程度</v>
      </c>
      <c r="AA36" s="713">
        <f t="shared" si="3"/>
        <v>1</v>
      </c>
      <c r="AB36" s="713">
        <f t="shared" si="4"/>
        <v>1</v>
      </c>
      <c r="AC36" s="713">
        <f t="shared" si="5"/>
        <v>1</v>
      </c>
    </row>
    <row r="37" spans="1:31" ht="15">
      <c r="A37" s="431"/>
      <c r="B37" s="381" t="s">
        <v>2572</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374" t="s">
        <v>2382</v>
      </c>
      <c r="Q37" s="1536" t="str">
        <f t="shared" si="14"/>
        <v>工程地质条件</v>
      </c>
      <c r="R37" s="714" t="s">
        <v>17</v>
      </c>
      <c r="S37" s="715">
        <f t="shared" si="10"/>
        <v>100</v>
      </c>
      <c r="T37" s="714" t="s">
        <v>17</v>
      </c>
      <c r="U37" s="715">
        <f t="shared" si="11"/>
        <v>100</v>
      </c>
      <c r="V37" s="714" t="s">
        <v>17</v>
      </c>
      <c r="W37" s="715">
        <f t="shared" si="12"/>
        <v>100</v>
      </c>
      <c r="X37" s="1539"/>
      <c r="Y37" s="3374" t="s">
        <v>2382</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374"/>
      <c r="Q38" s="1536">
        <f t="shared" si="14"/>
        <v>111</v>
      </c>
      <c r="R38" s="714" t="s">
        <v>17</v>
      </c>
      <c r="S38" s="715">
        <f t="shared" si="10"/>
        <v>100</v>
      </c>
      <c r="T38" s="714" t="s">
        <v>17</v>
      </c>
      <c r="U38" s="715">
        <f t="shared" si="11"/>
        <v>100</v>
      </c>
      <c r="V38" s="714" t="s">
        <v>17</v>
      </c>
      <c r="W38" s="715">
        <f t="shared" si="12"/>
        <v>100</v>
      </c>
      <c r="X38" s="1539"/>
      <c r="Y38" s="3374"/>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374"/>
      <c r="Q39" s="1536">
        <f t="shared" si="14"/>
        <v>111</v>
      </c>
      <c r="R39" s="714" t="s">
        <v>17</v>
      </c>
      <c r="S39" s="715">
        <f t="shared" si="10"/>
        <v>100</v>
      </c>
      <c r="T39" s="714" t="s">
        <v>17</v>
      </c>
      <c r="U39" s="715">
        <f t="shared" si="11"/>
        <v>100</v>
      </c>
      <c r="V39" s="714" t="s">
        <v>17</v>
      </c>
      <c r="W39" s="715">
        <f t="shared" si="12"/>
        <v>100</v>
      </c>
      <c r="X39" s="1539"/>
      <c r="Y39" s="3374"/>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374"/>
      <c r="Q40" s="1536">
        <f t="shared" si="14"/>
        <v>111</v>
      </c>
      <c r="R40" s="717" t="s">
        <v>17</v>
      </c>
      <c r="S40" s="718">
        <f t="shared" si="10"/>
        <v>100</v>
      </c>
      <c r="T40" s="717" t="s">
        <v>17</v>
      </c>
      <c r="U40" s="718">
        <f t="shared" si="11"/>
        <v>100</v>
      </c>
      <c r="V40" s="717" t="s">
        <v>17</v>
      </c>
      <c r="W40" s="718">
        <f t="shared" si="12"/>
        <v>100</v>
      </c>
      <c r="X40" s="719"/>
      <c r="Y40" s="3374"/>
      <c r="Z40" s="720">
        <f t="shared" si="13"/>
        <v>111</v>
      </c>
      <c r="AA40" s="1537">
        <f t="shared" si="3"/>
        <v>1</v>
      </c>
      <c r="AB40" s="1537">
        <f t="shared" si="4"/>
        <v>1</v>
      </c>
      <c r="AC40" s="1537">
        <f t="shared" si="5"/>
        <v>1</v>
      </c>
    </row>
    <row r="41" spans="1:31" ht="15">
      <c r="A41" s="438" t="s">
        <v>2537</v>
      </c>
      <c r="B41" s="2168" t="s">
        <v>2616</v>
      </c>
      <c r="C41" s="638" t="s">
        <v>1</v>
      </c>
      <c r="D41" s="440"/>
      <c r="E41" s="441"/>
      <c r="F41" s="442"/>
      <c r="G41" s="443"/>
      <c r="H41" s="444"/>
      <c r="I41" s="441"/>
      <c r="J41" s="444"/>
      <c r="K41" s="723"/>
      <c r="L41" s="2953"/>
      <c r="M41" s="2945"/>
      <c r="N41" s="2945"/>
      <c r="O41" s="2954"/>
      <c r="P41" s="3369" t="str">
        <f>A41</f>
        <v>成交单价</v>
      </c>
      <c r="Q41" s="3369"/>
      <c r="R41" s="3375">
        <f>E41</f>
        <v>0</v>
      </c>
      <c r="S41" s="3375"/>
      <c r="T41" s="3375">
        <f>G41</f>
        <v>0</v>
      </c>
      <c r="U41" s="3375"/>
      <c r="V41" s="3375">
        <f>I41</f>
        <v>0</v>
      </c>
      <c r="W41" s="3375"/>
      <c r="X41" s="699"/>
      <c r="Y41" s="721"/>
      <c r="Z41" s="699"/>
      <c r="AA41" s="699"/>
      <c r="AB41" s="699"/>
      <c r="AC41" s="699"/>
    </row>
    <row r="42" spans="1:31" ht="15.75" thickBot="1">
      <c r="A42" s="445" t="s">
        <v>2486</v>
      </c>
      <c r="B42" s="639"/>
      <c r="C42" s="448" t="e">
        <f>R43</f>
        <v>#DIV/0!</v>
      </c>
      <c r="D42" s="2538" t="s">
        <v>2876</v>
      </c>
      <c r="E42" s="448" t="e">
        <f>R42</f>
        <v>#DIV/0!</v>
      </c>
      <c r="F42" s="2539"/>
      <c r="G42" s="447" t="e">
        <f>T42</f>
        <v>#DIV/0!</v>
      </c>
      <c r="H42" s="2539"/>
      <c r="I42" s="448" t="e">
        <f>V42</f>
        <v>#DIV/0!</v>
      </c>
      <c r="J42" s="2539"/>
      <c r="K42" s="2541">
        <f>F42+H42+J42</f>
        <v>0</v>
      </c>
      <c r="L42" s="2953"/>
      <c r="M42" s="2945"/>
      <c r="N42" s="2945"/>
      <c r="O42" s="2954"/>
      <c r="P42" s="3369" t="str">
        <f>A42</f>
        <v>比较价值（元/平方米）</v>
      </c>
      <c r="Q42" s="3369"/>
      <c r="R42" s="3362" t="e">
        <f>ROUND(PRODUCT(R41,AA7:AA40),0)</f>
        <v>#DIV/0!</v>
      </c>
      <c r="S42" s="3362"/>
      <c r="T42" s="3362" t="e">
        <f>ROUND(PRODUCT(T41,AB7:AB40),0)</f>
        <v>#DIV/0!</v>
      </c>
      <c r="U42" s="3362"/>
      <c r="V42" s="3362" t="e">
        <f>ROUND(PRODUCT(V41,AC7:AC40),0)</f>
        <v>#DIV/0!</v>
      </c>
      <c r="W42" s="3362"/>
      <c r="X42" s="699"/>
      <c r="Y42" s="699"/>
      <c r="Z42" s="699"/>
      <c r="AA42" s="699"/>
      <c r="AB42" s="699"/>
      <c r="AC42" s="699"/>
    </row>
    <row r="43" spans="1:31" ht="15.75" thickBot="1">
      <c r="A43" s="449" t="s">
        <v>2487</v>
      </c>
      <c r="B43" s="450"/>
      <c r="C43" s="451" t="e">
        <f>R43</f>
        <v>#DIV/0!</v>
      </c>
      <c r="D43" s="451"/>
      <c r="E43" s="451"/>
      <c r="F43" s="451"/>
      <c r="G43" s="451"/>
      <c r="H43" s="451"/>
      <c r="I43" s="451"/>
      <c r="J43" s="451"/>
      <c r="K43" s="724"/>
      <c r="L43" s="2953"/>
      <c r="M43" s="2945"/>
      <c r="N43" s="2945"/>
      <c r="O43" s="2954"/>
      <c r="P43" s="3363" t="str">
        <f>A43</f>
        <v>估价对象XX用房的比较价值（楼面单价，元/平方米）</v>
      </c>
      <c r="Q43" s="3364"/>
      <c r="R43" s="3365" t="e">
        <f>ROUND(IF(D42="简单平均",AVERAGE(R42:W42),R42*F42+T42*H42+V42*J42),0)</f>
        <v>#DIV/0!</v>
      </c>
      <c r="S43" s="3365"/>
      <c r="T43" s="3365"/>
      <c r="U43" s="3365"/>
      <c r="V43" s="3365"/>
      <c r="W43" s="3365"/>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2488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2489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2574</v>
      </c>
      <c r="B50" s="641" t="s">
        <v>2575</v>
      </c>
      <c r="C50" s="2169" t="s">
        <v>2576</v>
      </c>
      <c r="D50" s="2170" t="s">
        <v>2577</v>
      </c>
      <c r="E50" s="642" t="s">
        <v>2578</v>
      </c>
      <c r="F50" s="643" t="s">
        <v>2579</v>
      </c>
      <c r="G50" s="3366" t="s">
        <v>2580</v>
      </c>
      <c r="H50" s="3367"/>
      <c r="I50" s="1540" t="s">
        <v>2617</v>
      </c>
      <c r="J50" s="1540">
        <f>项目基本情况!F35</f>
        <v>0</v>
      </c>
      <c r="K50" s="2172" t="s">
        <v>2582</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2583</v>
      </c>
      <c r="B51" s="645" t="e">
        <f>C43</f>
        <v>#DIV/0!</v>
      </c>
      <c r="C51" s="646">
        <v>1</v>
      </c>
      <c r="D51" s="1075">
        <v>1</v>
      </c>
      <c r="E51" s="646">
        <f>'数据-汇总表'!E8+'数据-汇总表'!E9</f>
        <v>93605.4</v>
      </c>
      <c r="F51" s="647" t="e">
        <f t="shared" ref="F51:F60" si="15">ROUND(B51*E51/10000,0)</f>
        <v>#DIV/0!</v>
      </c>
      <c r="G51" s="3368"/>
      <c r="H51" s="3369"/>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2584</v>
      </c>
      <c r="B52" s="224" t="e">
        <f>ROUND($C$43*C52*D52,0)</f>
        <v>#DIV/0!</v>
      </c>
      <c r="C52" s="176">
        <f t="shared" ref="C52:C60" si="16">IF($C$50="北京市系数",I52,J52)</f>
        <v>0</v>
      </c>
      <c r="D52" s="1076">
        <v>0.25</v>
      </c>
      <c r="E52" s="650"/>
      <c r="F52" s="647" t="e">
        <f t="shared" si="15"/>
        <v>#DIV/0!</v>
      </c>
      <c r="G52" s="3370" t="s">
        <v>2585</v>
      </c>
      <c r="H52" s="1018">
        <f>项目基本情况!B37</f>
        <v>0</v>
      </c>
      <c r="I52" s="879">
        <f>SUMIF(修正!A45:A56,H52,修正!B45:B56)</f>
        <v>0</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2586</v>
      </c>
      <c r="B53" s="224" t="e">
        <f t="shared" ref="B53:B60" si="17">ROUND($C$43*C53*D53,0)</f>
        <v>#DIV/0!</v>
      </c>
      <c r="C53" s="176">
        <f t="shared" si="16"/>
        <v>0</v>
      </c>
      <c r="D53" s="1076">
        <v>0.25</v>
      </c>
      <c r="E53" s="650"/>
      <c r="F53" s="647" t="e">
        <f t="shared" si="15"/>
        <v>#DIV/0!</v>
      </c>
      <c r="G53" s="3370"/>
      <c r="H53" s="1018">
        <f>项目基本情况!B37</f>
        <v>0</v>
      </c>
      <c r="I53" s="879">
        <f>SUMIF(修正!A45:A56,H53,修正!C45:C56)</f>
        <v>0</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2587</v>
      </c>
      <c r="B54" s="224" t="e">
        <f t="shared" si="17"/>
        <v>#DIV/0!</v>
      </c>
      <c r="C54" s="176">
        <f t="shared" si="16"/>
        <v>0</v>
      </c>
      <c r="D54" s="1076">
        <v>0.25</v>
      </c>
      <c r="E54" s="650"/>
      <c r="F54" s="647" t="e">
        <f t="shared" si="15"/>
        <v>#DIV/0!</v>
      </c>
      <c r="G54" s="3370"/>
      <c r="H54" s="1018">
        <f>项目基本情况!B37</f>
        <v>0</v>
      </c>
      <c r="I54" s="879">
        <f>SUMIF(修正!A45:A56,H54,修正!D45:D56)</f>
        <v>0</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2588</v>
      </c>
      <c r="B55" s="224" t="e">
        <f t="shared" si="17"/>
        <v>#DIV/0!</v>
      </c>
      <c r="C55" s="176">
        <f t="shared" si="16"/>
        <v>0</v>
      </c>
      <c r="D55" s="1076">
        <v>0.25</v>
      </c>
      <c r="E55" s="650"/>
      <c r="F55" s="647" t="e">
        <f t="shared" si="15"/>
        <v>#DIV/0!</v>
      </c>
      <c r="G55" s="3370"/>
      <c r="H55" s="1018">
        <f>项目基本情况!B37</f>
        <v>0</v>
      </c>
      <c r="I55" s="879">
        <f>SUMIF(修正!A45:A56,H55,修正!E45:E56)</f>
        <v>0</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2589</v>
      </c>
      <c r="B56" s="224" t="e">
        <f t="shared" si="17"/>
        <v>#DIV/0!</v>
      </c>
      <c r="C56" s="176">
        <f t="shared" si="16"/>
        <v>0</v>
      </c>
      <c r="D56" s="1076">
        <v>0.25</v>
      </c>
      <c r="E56" s="223">
        <f>'数据-汇总表'!E11</f>
        <v>0</v>
      </c>
      <c r="F56" s="647" t="e">
        <f t="shared" si="15"/>
        <v>#DIV/0!</v>
      </c>
      <c r="G56" s="2173" t="s">
        <v>2590</v>
      </c>
      <c r="H56" s="1018">
        <f>项目基本情况!C37</f>
        <v>0</v>
      </c>
      <c r="I56" s="879">
        <f>SUMIF(修正!A45:A56,H56,修正!F45:F56)</f>
        <v>0</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2591</v>
      </c>
      <c r="B57" s="224" t="e">
        <f t="shared" si="17"/>
        <v>#DIV/0!</v>
      </c>
      <c r="C57" s="176">
        <f t="shared" si="16"/>
        <v>0</v>
      </c>
      <c r="D57" s="1076">
        <v>0.25</v>
      </c>
      <c r="E57" s="223">
        <f>'数据-汇总表'!E12</f>
        <v>0</v>
      </c>
      <c r="F57" s="647" t="e">
        <f t="shared" si="15"/>
        <v>#DIV/0!</v>
      </c>
      <c r="G57" s="1023" t="s">
        <v>2592</v>
      </c>
      <c r="H57" s="1018">
        <f>IF(G57="商业",项目基本情况!B37,IF(G57="办公",项目基本情况!C37,IF(G57="住宅",项目基本情况!D37,项目基本情况!E37)))</f>
        <v>0</v>
      </c>
      <c r="I57" s="879">
        <f>SUMIF(修正!A45:A56,H57,修正!G45:G56)</f>
        <v>0</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2593</v>
      </c>
      <c r="B58" s="224" t="e">
        <f t="shared" si="17"/>
        <v>#DIV/0!</v>
      </c>
      <c r="C58" s="176">
        <f t="shared" si="16"/>
        <v>0</v>
      </c>
      <c r="D58" s="1076">
        <v>0.25</v>
      </c>
      <c r="E58" s="223">
        <f>'数据-汇总表'!E13</f>
        <v>0</v>
      </c>
      <c r="F58" s="647" t="e">
        <f t="shared" si="15"/>
        <v>#DIV/0!</v>
      </c>
      <c r="G58" s="1023" t="s">
        <v>2594</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2595</v>
      </c>
      <c r="B59" s="224" t="e">
        <f t="shared" si="17"/>
        <v>#DIV/0!</v>
      </c>
      <c r="C59" s="176">
        <f t="shared" si="16"/>
        <v>0</v>
      </c>
      <c r="D59" s="1076">
        <v>0.25</v>
      </c>
      <c r="E59" s="223">
        <f>'数据-汇总表'!E14</f>
        <v>0</v>
      </c>
      <c r="F59" s="647" t="e">
        <f t="shared" si="15"/>
        <v>#DIV/0!</v>
      </c>
      <c r="G59" s="2173" t="s">
        <v>2585</v>
      </c>
      <c r="H59" s="1018">
        <f>项目基本情况!B37</f>
        <v>0</v>
      </c>
      <c r="I59" s="879">
        <f>SUMIF(修正!A45:A56,H59,修正!H45:H56)</f>
        <v>0</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2596</v>
      </c>
      <c r="B60" s="224" t="e">
        <f t="shared" si="17"/>
        <v>#DIV/0!</v>
      </c>
      <c r="C60" s="176">
        <f t="shared" si="16"/>
        <v>0</v>
      </c>
      <c r="D60" s="1076">
        <v>0.25</v>
      </c>
      <c r="E60" s="223">
        <f>'数据-汇总表'!E15</f>
        <v>0</v>
      </c>
      <c r="F60" s="647" t="e">
        <f t="shared" si="15"/>
        <v>#DIV/0!</v>
      </c>
      <c r="G60" s="2174" t="s">
        <v>2590</v>
      </c>
      <c r="H60" s="1028">
        <f>项目基本情况!C37</f>
        <v>0</v>
      </c>
      <c r="I60" s="879">
        <f>SUMIF(修正!A45:A56,H60,修正!H45:H56)</f>
        <v>0</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2597</v>
      </c>
      <c r="B61" s="652" t="s">
        <v>28</v>
      </c>
      <c r="C61" s="652" t="s">
        <v>29</v>
      </c>
      <c r="D61" s="652" t="s">
        <v>997</v>
      </c>
      <c r="E61" s="652">
        <f>IF(B41="楼面地价",SUM(E51:E60),'数据-汇总表'!D3)</f>
        <v>131807</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2021-12-1</v>
      </c>
      <c r="D63" s="701">
        <f>EDATE(C63,-3)</f>
        <v>44440</v>
      </c>
      <c r="E63" s="701">
        <f>EDATE(D63,-3)</f>
        <v>44348</v>
      </c>
      <c r="F63" s="701">
        <f t="shared" ref="F63:O63" si="18">EDATE(E63,-3)</f>
        <v>44256</v>
      </c>
      <c r="G63" s="701">
        <f t="shared" si="18"/>
        <v>44166</v>
      </c>
      <c r="H63" s="701">
        <f t="shared" si="18"/>
        <v>44075</v>
      </c>
      <c r="I63" s="701">
        <f t="shared" si="18"/>
        <v>43983</v>
      </c>
      <c r="J63" s="701">
        <f t="shared" si="18"/>
        <v>43891</v>
      </c>
      <c r="K63" s="701">
        <f t="shared" si="18"/>
        <v>43800</v>
      </c>
      <c r="L63" s="701">
        <f t="shared" si="18"/>
        <v>43709</v>
      </c>
      <c r="M63" s="701">
        <f t="shared" si="18"/>
        <v>43617</v>
      </c>
      <c r="N63" s="701">
        <f t="shared" si="18"/>
        <v>43525</v>
      </c>
      <c r="O63" s="701">
        <f t="shared" si="18"/>
        <v>43435</v>
      </c>
      <c r="P63" s="2954"/>
      <c r="Q63" s="2954"/>
      <c r="R63" s="2954"/>
      <c r="S63" s="2954"/>
      <c r="T63" s="2954"/>
      <c r="U63" s="2954"/>
      <c r="V63" s="2954"/>
      <c r="W63" s="2954"/>
      <c r="X63" s="2954"/>
      <c r="Y63" s="2954"/>
      <c r="Z63" s="2954"/>
      <c r="AA63" s="2954"/>
      <c r="AB63" s="2954"/>
      <c r="AC63" s="2954"/>
      <c r="AD63" s="2954"/>
      <c r="AE63" s="2954"/>
    </row>
    <row r="64" spans="1:31" ht="21.75" thickBot="1">
      <c r="A64" s="703" t="s">
        <v>2491</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5" t="s">
        <v>2598</v>
      </c>
      <c r="B65" s="1269"/>
      <c r="C65" s="1344" t="str">
        <f>YEAR(C63)&amp;"-"&amp;ROUNDUP(MONTH(C63)/3,0)</f>
        <v>2021-4</v>
      </c>
      <c r="D65" s="1344" t="str">
        <f t="shared" ref="D65:O65" si="19">YEAR(D63)&amp;"-"&amp;ROUNDUP(MONTH(D63)/3,0)</f>
        <v>2021-3</v>
      </c>
      <c r="E65" s="1344" t="str">
        <f t="shared" si="19"/>
        <v>2021-2</v>
      </c>
      <c r="F65" s="1344" t="str">
        <f t="shared" si="19"/>
        <v>2021-1</v>
      </c>
      <c r="G65" s="1344" t="str">
        <f t="shared" si="19"/>
        <v>2020-4</v>
      </c>
      <c r="H65" s="1344" t="str">
        <f t="shared" si="19"/>
        <v>2020-3</v>
      </c>
      <c r="I65" s="1344" t="str">
        <f t="shared" si="19"/>
        <v>2020-2</v>
      </c>
      <c r="J65" s="1344" t="str">
        <f t="shared" si="19"/>
        <v>2020-1</v>
      </c>
      <c r="K65" s="1344" t="str">
        <f t="shared" si="19"/>
        <v>2019-4</v>
      </c>
      <c r="L65" s="1344" t="str">
        <f t="shared" si="19"/>
        <v>2019-3</v>
      </c>
      <c r="M65" s="1344" t="str">
        <f t="shared" si="19"/>
        <v>2019-2</v>
      </c>
      <c r="N65" s="1344" t="str">
        <f t="shared" si="19"/>
        <v>2019-1</v>
      </c>
      <c r="O65" s="1344" t="str">
        <f t="shared" si="19"/>
        <v>2018-4</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2618</v>
      </c>
      <c r="B66" s="294" t="str">
        <f>"北京市平均增长率"&amp;TEXT(基准地价修正!P24,"0.00%")</f>
        <v>北京市平均增长率1.22%</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2402</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2367</v>
      </c>
      <c r="B68" s="467"/>
      <c r="C68" s="479" t="s">
        <v>2469</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2405</v>
      </c>
      <c r="B70" s="485" t="s">
        <v>2371</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2374</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2375</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2376</v>
      </c>
      <c r="B83" s="485" t="s">
        <v>2522</v>
      </c>
      <c r="C83" s="530" t="s">
        <v>2414</v>
      </c>
      <c r="D83" s="530" t="s">
        <v>2415</v>
      </c>
      <c r="E83" s="530" t="s">
        <v>2416</v>
      </c>
      <c r="F83" s="530" t="s">
        <v>2417</v>
      </c>
      <c r="G83" s="530" t="s">
        <v>2418</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2419</v>
      </c>
      <c r="C85" s="535" t="s">
        <v>2414</v>
      </c>
      <c r="D85" s="535" t="s">
        <v>2415</v>
      </c>
      <c r="E85" s="535" t="s">
        <v>2416</v>
      </c>
      <c r="F85" s="535" t="s">
        <v>2417</v>
      </c>
      <c r="G85" s="535" t="s">
        <v>2418</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2601</v>
      </c>
      <c r="C87" s="530" t="s">
        <v>2414</v>
      </c>
      <c r="D87" s="530" t="s">
        <v>2415</v>
      </c>
      <c r="E87" s="530" t="s">
        <v>2416</v>
      </c>
      <c r="F87" s="530" t="s">
        <v>2417</v>
      </c>
      <c r="G87" s="530" t="s">
        <v>2418</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2602</v>
      </c>
      <c r="C89" s="530" t="s">
        <v>2414</v>
      </c>
      <c r="D89" s="530" t="s">
        <v>2415</v>
      </c>
      <c r="E89" s="530" t="s">
        <v>2416</v>
      </c>
      <c r="F89" s="530" t="s">
        <v>2417</v>
      </c>
      <c r="G89" s="530" t="s">
        <v>2418</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2471</v>
      </c>
      <c r="C91" s="530" t="s">
        <v>2414</v>
      </c>
      <c r="D91" s="530" t="s">
        <v>2415</v>
      </c>
      <c r="E91" s="530" t="s">
        <v>2416</v>
      </c>
      <c r="F91" s="530" t="s">
        <v>2417</v>
      </c>
      <c r="G91" s="530" t="s">
        <v>2418</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2619</v>
      </c>
      <c r="C93" s="616" t="s">
        <v>2492</v>
      </c>
      <c r="D93" s="616" t="s">
        <v>2493</v>
      </c>
      <c r="E93" s="616" t="s">
        <v>2494</v>
      </c>
      <c r="F93" s="616" t="s">
        <v>2495</v>
      </c>
      <c r="G93" s="616" t="s">
        <v>2496</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2603</v>
      </c>
      <c r="D95" s="496" t="s">
        <v>2604</v>
      </c>
      <c r="E95" s="496" t="s">
        <v>2605</v>
      </c>
      <c r="F95" s="496" t="s">
        <v>2606</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2508</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2567</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2380</v>
      </c>
      <c r="B107" s="485" t="s">
        <v>2607</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2608</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2610</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2611</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8" priority="18" stopIfTrue="1" operator="containsText" text="超过">
      <formula>NOT(ISERROR(SEARCH("超过",F46)))</formula>
    </cfRule>
  </conditionalFormatting>
  <conditionalFormatting sqref="J48">
    <cfRule type="containsText" dxfId="37" priority="17" stopIfTrue="1" operator="containsText" text="超过">
      <formula>NOT(ISERROR(SEARCH("超过",J48)))</formula>
    </cfRule>
  </conditionalFormatting>
  <conditionalFormatting sqref="H48">
    <cfRule type="containsText" dxfId="36" priority="16" stopIfTrue="1" operator="containsText" text="超过">
      <formula>NOT(ISERROR(SEARCH("超过",H48)))</formula>
    </cfRule>
  </conditionalFormatting>
  <conditionalFormatting sqref="F48">
    <cfRule type="containsText" dxfId="35" priority="15" stopIfTrue="1" operator="containsText" text="超过">
      <formula>NOT(ISERROR(SEARCH("超过",F48)))</formula>
    </cfRule>
  </conditionalFormatting>
  <conditionalFormatting sqref="F47 H47 J47">
    <cfRule type="containsText" dxfId="34" priority="14" stopIfTrue="1" operator="containsText" text="超过">
      <formula>NOT(ISERROR(SEARCH("超过",F47)))</formula>
    </cfRule>
  </conditionalFormatting>
  <conditionalFormatting sqref="E46">
    <cfRule type="expression" dxfId="33" priority="13" stopIfTrue="1">
      <formula>$F$46="超过30%"</formula>
    </cfRule>
  </conditionalFormatting>
  <conditionalFormatting sqref="G48">
    <cfRule type="expression" dxfId="32" priority="12" stopIfTrue="1">
      <formula>$H$48="超过30%"</formula>
    </cfRule>
  </conditionalFormatting>
  <conditionalFormatting sqref="E48">
    <cfRule type="expression" dxfId="31" priority="10" stopIfTrue="1">
      <formula>$F$48="超过30%"</formula>
    </cfRule>
  </conditionalFormatting>
  <conditionalFormatting sqref="G46">
    <cfRule type="expression" dxfId="30" priority="9" stopIfTrue="1">
      <formula>$H$46="超过30%"</formula>
    </cfRule>
  </conditionalFormatting>
  <conditionalFormatting sqref="G47">
    <cfRule type="expression" dxfId="29" priority="8" stopIfTrue="1">
      <formula>$H$47="超过20%"</formula>
    </cfRule>
  </conditionalFormatting>
  <conditionalFormatting sqref="I46">
    <cfRule type="expression" dxfId="28" priority="7" stopIfTrue="1">
      <formula>$J$46="超过30%"</formula>
    </cfRule>
  </conditionalFormatting>
  <conditionalFormatting sqref="I47">
    <cfRule type="expression" dxfId="27" priority="6" stopIfTrue="1">
      <formula>$J$47="超过20%"</formula>
    </cfRule>
  </conditionalFormatting>
  <conditionalFormatting sqref="I48">
    <cfRule type="expression" dxfId="26" priority="5" stopIfTrue="1">
      <formula>$J$48="超过30%"</formula>
    </cfRule>
  </conditionalFormatting>
  <conditionalFormatting sqref="E47">
    <cfRule type="expression" dxfId="25" priority="53" stopIfTrue="1">
      <formula>#REF!+$F$47="超过20%"</formula>
    </cfRule>
  </conditionalFormatting>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F7:F40 H7:H40 J7:J40">
    <cfRule type="cellIs" dxfId="21" priority="1" operator="notEqual">
      <formula>100</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2620</v>
      </c>
      <c r="B1" s="203"/>
      <c r="C1" s="207" t="s">
        <v>2621</v>
      </c>
      <c r="D1" s="348">
        <f>SUM(D29:D30,D33:D39)</f>
        <v>0</v>
      </c>
      <c r="E1" s="2181"/>
      <c r="F1" s="2181"/>
      <c r="G1" s="2181"/>
      <c r="H1" s="2181"/>
      <c r="I1" s="2181"/>
      <c r="J1" s="2181"/>
      <c r="K1" s="1280"/>
      <c r="L1" s="2182" t="s">
        <v>2622</v>
      </c>
      <c r="M1" s="994">
        <f>SUMPRODUCT((区片价!B5:B9=I2)*(区片价!C3:F3=E2)*(区片价!C5:F9))</f>
        <v>0</v>
      </c>
      <c r="N1" s="997">
        <f>SUMPRODUCT((因素修正幅度!B5:B9=I2)*(因素修正幅度!C3:F3=E2)*(因素修正幅度!C5:F9))</f>
        <v>0</v>
      </c>
      <c r="O1" s="2183"/>
      <c r="P1" s="2183"/>
      <c r="Q1" s="1280"/>
      <c r="R1" s="1374" t="s">
        <v>2623</v>
      </c>
      <c r="S1" s="1374" t="s">
        <v>2624</v>
      </c>
      <c r="T1" s="1374" t="s">
        <v>2625</v>
      </c>
      <c r="U1" s="1374" t="s">
        <v>2626</v>
      </c>
      <c r="V1" s="1374" t="s">
        <v>2627</v>
      </c>
      <c r="W1" s="1378"/>
      <c r="X1" s="1378"/>
      <c r="Y1" s="1378"/>
      <c r="Z1" s="1378"/>
      <c r="AA1" s="1378"/>
      <c r="AB1" s="1378"/>
      <c r="AC1" s="1379"/>
      <c r="AD1" s="1380"/>
      <c r="AE1" s="1380"/>
      <c r="AF1" s="1380"/>
      <c r="AG1" s="1380"/>
      <c r="AH1" s="1380"/>
      <c r="AI1" s="1380"/>
      <c r="AJ1" s="1381"/>
    </row>
    <row r="2" spans="1:36" ht="15.75">
      <c r="A2" s="207" t="s">
        <v>2628</v>
      </c>
      <c r="B2" s="210" t="e">
        <f>C26</f>
        <v>#DIV/0!</v>
      </c>
      <c r="C2" s="2185" t="s">
        <v>2629</v>
      </c>
      <c r="D2" s="2186" t="s">
        <v>2630</v>
      </c>
      <c r="E2" s="2187"/>
      <c r="F2" s="2186" t="s">
        <v>2631</v>
      </c>
      <c r="G2" s="2188">
        <f>IF(E2="商业",项目基本情况!B37,IF(E2="办公",项目基本情况!C37,IF(E2="住宅",项目基本情况!D37,项目基本情况!E37)))</f>
        <v>0</v>
      </c>
      <c r="H2" s="2186" t="s">
        <v>2632</v>
      </c>
      <c r="I2" s="2188">
        <f>IF(E2="商业",项目基本情况!B38,IF(E2="办公",项目基本情况!C38,IF(E2="住宅",项目基本情况!D38,项目基本情况!E38)))</f>
        <v>0</v>
      </c>
      <c r="J2" s="2189"/>
      <c r="K2" s="1280"/>
      <c r="L2" s="2190" t="s">
        <v>2633</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2634</v>
      </c>
      <c r="B3" s="210" t="e">
        <f>ROUND(B2*10000/D1,0)</f>
        <v>#DIV/0!</v>
      </c>
      <c r="C3" s="2185" t="s">
        <v>2635</v>
      </c>
      <c r="D3" s="2186" t="s">
        <v>2636</v>
      </c>
      <c r="E3" s="2191"/>
      <c r="F3" s="2192" t="s">
        <v>2637</v>
      </c>
      <c r="G3" s="855">
        <f>IF(F3="宗地容积率",'数据-汇总表'!I4,IF(F3="估价对象容积率",'数据-汇总表'!I6,'数据-汇总表'!I7))</f>
        <v>0.71</v>
      </c>
      <c r="H3" s="175" t="s">
        <v>2638</v>
      </c>
      <c r="I3" s="881"/>
      <c r="J3" s="2189" t="s">
        <v>2639</v>
      </c>
      <c r="K3" s="1280"/>
      <c r="L3" s="2190" t="s">
        <v>2640</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464"/>
      <c r="B4" s="3465"/>
      <c r="C4" s="3465"/>
      <c r="D4" s="3466"/>
      <c r="E4" s="3466"/>
      <c r="F4" s="3466"/>
      <c r="G4" s="3466"/>
      <c r="H4" s="3466"/>
      <c r="I4" s="3466"/>
      <c r="J4" s="3467"/>
      <c r="K4" s="1280"/>
      <c r="L4" s="2190" t="s">
        <v>2641</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2642</v>
      </c>
      <c r="C5" s="856" t="e">
        <f>ROUND(IF(E2="商业",C6*C7+C16,(IF(E2="住宅",C6*C12+C16,C6+C16))),0)</f>
        <v>#DIV/0!</v>
      </c>
      <c r="D5" s="1523" t="e">
        <f>ROUND(C6+C16,0)</f>
        <v>#DIV/0!</v>
      </c>
      <c r="E5" s="1523"/>
      <c r="F5" s="2195"/>
      <c r="G5" s="2196"/>
      <c r="H5" s="2196"/>
      <c r="I5" s="2196"/>
      <c r="J5" s="2197"/>
      <c r="K5" s="2198"/>
      <c r="L5" s="2190" t="s">
        <v>2643</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v>
      </c>
      <c r="T5" s="1374" t="e">
        <f t="shared" si="0"/>
        <v>#DIV/0!</v>
      </c>
      <c r="U5" s="1375"/>
      <c r="V5" s="1374" t="e">
        <f t="shared" si="1"/>
        <v>#DIV/0!</v>
      </c>
      <c r="W5" s="1378"/>
      <c r="X5" s="1378"/>
      <c r="Y5" s="1378"/>
      <c r="Z5" s="1378"/>
      <c r="AA5" s="1378"/>
      <c r="AB5" s="1378"/>
      <c r="AC5" s="2199"/>
      <c r="AD5" s="2200"/>
      <c r="AE5" s="2200"/>
      <c r="AF5" s="2200"/>
      <c r="AG5" s="2200"/>
      <c r="AH5" s="2200"/>
      <c r="AI5" s="2200"/>
      <c r="AJ5" s="2201"/>
    </row>
    <row r="6" spans="1:36" ht="15.75" thickBot="1">
      <c r="A6" s="2203" t="s">
        <v>2644</v>
      </c>
      <c r="B6" s="2204" t="s">
        <v>2645</v>
      </c>
      <c r="C6" s="857">
        <f>SUMIF(L1:L12,G2,M1:M12)</f>
        <v>0</v>
      </c>
      <c r="D6" s="2205" t="s">
        <v>2646</v>
      </c>
      <c r="E6" s="2206"/>
      <c r="F6" s="2206"/>
      <c r="G6" s="2207"/>
      <c r="H6" s="2207"/>
      <c r="I6" s="2207"/>
      <c r="J6" s="2208"/>
      <c r="K6" s="1568"/>
      <c r="L6" s="2190" t="s">
        <v>2647</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v>
      </c>
      <c r="T6" s="1374" t="e">
        <f t="shared" si="0"/>
        <v>#DIV/0!</v>
      </c>
      <c r="U6" s="1375"/>
      <c r="V6" s="1374" t="e">
        <f t="shared" si="1"/>
        <v>#DIV/0!</v>
      </c>
      <c r="W6" s="1378"/>
      <c r="X6" s="1378"/>
      <c r="Y6" s="1378"/>
      <c r="Z6" s="1378"/>
      <c r="AA6" s="1378"/>
      <c r="AB6" s="1378"/>
      <c r="AC6" s="2199"/>
      <c r="AD6" s="2200"/>
      <c r="AE6" s="2200"/>
      <c r="AF6" s="2200"/>
      <c r="AG6" s="2200"/>
      <c r="AH6" s="2200"/>
      <c r="AI6" s="2200"/>
      <c r="AJ6" s="2201"/>
    </row>
    <row r="7" spans="1:36" ht="24">
      <c r="A7" s="3468" t="str">
        <f>IF(E2="商业",IF(C8="不临58条商业街","",2),"")</f>
        <v/>
      </c>
      <c r="B7" s="2209" t="s">
        <v>2648</v>
      </c>
      <c r="C7" s="858" t="e">
        <f>IF(C8="不临58条商业街",1,ROUND(1+(1.6*E8+1.2*E9+0.8*E10+0.4*E11)*C9,4))</f>
        <v>#DIV/0!</v>
      </c>
      <c r="D7" s="2210" t="s">
        <v>2649</v>
      </c>
      <c r="E7" s="882"/>
      <c r="F7" s="2211"/>
      <c r="G7" s="2212"/>
      <c r="H7" s="2212"/>
      <c r="I7" s="2212"/>
      <c r="J7" s="2213"/>
      <c r="K7" s="1568"/>
      <c r="L7" s="2190" t="s">
        <v>2650</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v>
      </c>
      <c r="T7" s="1374" t="e">
        <f t="shared" si="0"/>
        <v>#DIV/0!</v>
      </c>
      <c r="U7" s="1375"/>
      <c r="V7" s="1374" t="e">
        <f t="shared" si="1"/>
        <v>#DIV/0!</v>
      </c>
      <c r="W7" s="1542" t="s">
        <v>2651</v>
      </c>
      <c r="X7" s="1376">
        <f>G2</f>
        <v>0</v>
      </c>
      <c r="Y7" s="1376" t="s">
        <v>2652</v>
      </c>
      <c r="Z7" s="1377">
        <f>G3</f>
        <v>0.71</v>
      </c>
      <c r="AA7" s="1378"/>
      <c r="AB7" s="1378"/>
      <c r="AC7" s="1379"/>
      <c r="AD7" s="1380"/>
      <c r="AE7" s="1380"/>
      <c r="AF7" s="1380"/>
      <c r="AG7" s="1380"/>
      <c r="AH7" s="1380"/>
      <c r="AI7" s="1380"/>
      <c r="AJ7" s="1381"/>
    </row>
    <row r="8" spans="1:36" ht="15">
      <c r="A8" s="3469"/>
      <c r="B8" s="175" t="s">
        <v>2653</v>
      </c>
      <c r="C8" s="2214"/>
      <c r="D8" s="859" t="s">
        <v>139</v>
      </c>
      <c r="E8" s="860" t="e">
        <f>ROUND(C11/E7,4)</f>
        <v>#DIV/0!</v>
      </c>
      <c r="F8" s="2215" t="s">
        <v>2654</v>
      </c>
      <c r="G8" s="2216"/>
      <c r="H8" s="2216"/>
      <c r="I8" s="2216"/>
      <c r="J8" s="2217"/>
      <c r="K8" s="1280"/>
      <c r="L8" s="2190" t="s">
        <v>2655</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461" t="s">
        <v>2656</v>
      </c>
      <c r="X8" s="3462"/>
      <c r="Y8" s="1382" t="s">
        <v>2657</v>
      </c>
      <c r="Z8" s="1382" t="s">
        <v>2658</v>
      </c>
      <c r="AA8" s="1382" t="s">
        <v>2659</v>
      </c>
      <c r="AB8" s="1382" t="s">
        <v>2660</v>
      </c>
      <c r="AC8" s="1382" t="s">
        <v>2661</v>
      </c>
      <c r="AD8" s="1382" t="s">
        <v>2662</v>
      </c>
      <c r="AE8" s="1382" t="s">
        <v>2663</v>
      </c>
      <c r="AF8" s="1382" t="s">
        <v>2664</v>
      </c>
      <c r="AG8" s="1382" t="s">
        <v>2665</v>
      </c>
      <c r="AH8" s="1382" t="s">
        <v>2666</v>
      </c>
      <c r="AI8" s="1382" t="s">
        <v>2667</v>
      </c>
      <c r="AJ8" s="1382" t="s">
        <v>2668</v>
      </c>
    </row>
    <row r="9" spans="1:36" ht="15">
      <c r="A9" s="3469"/>
      <c r="B9" s="175" t="s">
        <v>2669</v>
      </c>
      <c r="C9" s="861">
        <f>SUMIF(修正!C59:C119,C8,修正!E59:E119)</f>
        <v>0</v>
      </c>
      <c r="D9" s="176" t="s">
        <v>140</v>
      </c>
      <c r="E9" s="176" t="e">
        <f>ROUND(C11/E7,4)</f>
        <v>#DIV/0!</v>
      </c>
      <c r="F9" s="2215" t="s">
        <v>2670</v>
      </c>
      <c r="G9" s="2216"/>
      <c r="H9" s="2216"/>
      <c r="I9" s="2216"/>
      <c r="J9" s="2217"/>
      <c r="K9" s="1280"/>
      <c r="L9" s="2190" t="s">
        <v>2671</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463" t="s">
        <v>2672</v>
      </c>
      <c r="X9" s="1383" t="s">
        <v>2673</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469"/>
      <c r="B10" s="175" t="s">
        <v>2674</v>
      </c>
      <c r="C10" s="176">
        <f>SUMIF(修正!C59:C119,C8,修正!F59:F119)</f>
        <v>0</v>
      </c>
      <c r="D10" s="176" t="s">
        <v>141</v>
      </c>
      <c r="E10" s="176" t="e">
        <f>ROUND(C11/E7,4)</f>
        <v>#DIV/0!</v>
      </c>
      <c r="F10" s="2215" t="s">
        <v>2675</v>
      </c>
      <c r="G10" s="2216"/>
      <c r="H10" s="2216"/>
      <c r="I10" s="2216"/>
      <c r="J10" s="2217"/>
      <c r="K10" s="1280"/>
      <c r="L10" s="2190" t="s">
        <v>2676</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463"/>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469"/>
      <c r="B11" s="2218" t="s">
        <v>2677</v>
      </c>
      <c r="C11" s="862">
        <f>C10/4</f>
        <v>0</v>
      </c>
      <c r="D11" s="862" t="s">
        <v>142</v>
      </c>
      <c r="E11" s="862" t="e">
        <f>ROUND(C11/E7,4)</f>
        <v>#DIV/0!</v>
      </c>
      <c r="F11" s="2219" t="s">
        <v>2678</v>
      </c>
      <c r="G11" s="2220"/>
      <c r="H11" s="2220"/>
      <c r="I11" s="2220"/>
      <c r="J11" s="2221"/>
      <c r="K11" s="1280"/>
      <c r="L11" s="2190" t="s">
        <v>2679</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463" t="s">
        <v>2680</v>
      </c>
      <c r="X11" s="1386" t="s">
        <v>2681</v>
      </c>
      <c r="Y11" s="1387">
        <f>$G$3</f>
        <v>0.71</v>
      </c>
      <c r="Z11" s="1387">
        <f t="shared" ref="Z11:AJ11" si="3">$G$3</f>
        <v>0.71</v>
      </c>
      <c r="AA11" s="1387">
        <f t="shared" si="3"/>
        <v>0.71</v>
      </c>
      <c r="AB11" s="1387">
        <f t="shared" si="3"/>
        <v>0.71</v>
      </c>
      <c r="AC11" s="1387">
        <f t="shared" si="3"/>
        <v>0.71</v>
      </c>
      <c r="AD11" s="1387">
        <f t="shared" si="3"/>
        <v>0.71</v>
      </c>
      <c r="AE11" s="1387">
        <f t="shared" si="3"/>
        <v>0.71</v>
      </c>
      <c r="AF11" s="1387">
        <f t="shared" si="3"/>
        <v>0.71</v>
      </c>
      <c r="AG11" s="1387">
        <f t="shared" si="3"/>
        <v>0.71</v>
      </c>
      <c r="AH11" s="1387">
        <f t="shared" si="3"/>
        <v>0.71</v>
      </c>
      <c r="AI11" s="1387">
        <f t="shared" si="3"/>
        <v>0.71</v>
      </c>
      <c r="AJ11" s="1387">
        <f t="shared" si="3"/>
        <v>0.71</v>
      </c>
    </row>
    <row r="12" spans="1:36" ht="25.5" thickBot="1">
      <c r="A12" s="3468" t="s">
        <v>2682</v>
      </c>
      <c r="B12" s="2222" t="s">
        <v>2683</v>
      </c>
      <c r="C12" s="858">
        <f>ROUND(C15*D15*E15*F15*G15*H15*I15*J15,4)</f>
        <v>1</v>
      </c>
      <c r="D12" s="2223" t="s">
        <v>2684</v>
      </c>
      <c r="E12" s="2224"/>
      <c r="F12" s="2224"/>
      <c r="G12" s="2225"/>
      <c r="H12" s="2225"/>
      <c r="I12" s="2225"/>
      <c r="J12" s="2226"/>
      <c r="K12" s="1280"/>
      <c r="L12" s="2227" t="s">
        <v>2685</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463"/>
      <c r="X12" s="1388" t="s">
        <v>2686</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470"/>
      <c r="B13" s="2228" t="s">
        <v>2687</v>
      </c>
      <c r="C13" s="2229" t="s">
        <v>2688</v>
      </c>
      <c r="D13" s="1534" t="s">
        <v>2689</v>
      </c>
      <c r="E13" s="1534" t="s">
        <v>2690</v>
      </c>
      <c r="F13" s="30" t="s">
        <v>2691</v>
      </c>
      <c r="G13" s="2230" t="s">
        <v>2692</v>
      </c>
      <c r="H13" s="2230" t="s">
        <v>2692</v>
      </c>
      <c r="I13" s="2230" t="s">
        <v>2692</v>
      </c>
      <c r="J13" s="2231" t="s">
        <v>2692</v>
      </c>
      <c r="K13" s="1280"/>
      <c r="L13" s="1280"/>
      <c r="M13" s="1280"/>
      <c r="N13" s="1280"/>
      <c r="O13" s="1280"/>
      <c r="P13" s="1280"/>
      <c r="Q13" s="1280"/>
      <c r="R13" s="1374">
        <v>12</v>
      </c>
      <c r="S13" s="1375"/>
      <c r="T13" s="1374" t="e">
        <f t="shared" si="0"/>
        <v>#DIV/0!</v>
      </c>
      <c r="U13" s="1375"/>
      <c r="V13" s="1374" t="e">
        <f t="shared" si="1"/>
        <v>#DIV/0!</v>
      </c>
      <c r="W13" s="3463"/>
      <c r="X13" s="1388"/>
      <c r="Y13" s="1385">
        <f>(-0.163*(Y12^2)-0.59*Y12+7617)*(10^(-4))/Y11</f>
        <v>1.0728169014084508</v>
      </c>
      <c r="Z13" s="1385">
        <f t="shared" ref="Z13:AJ13" si="5">(-0.163*(Z12^2)-0.59*Z12+7617)*(10^(-4))/Z11</f>
        <v>1.0728169014084508</v>
      </c>
      <c r="AA13" s="1385">
        <f t="shared" si="5"/>
        <v>1.0728169014084508</v>
      </c>
      <c r="AB13" s="1385">
        <f t="shared" si="5"/>
        <v>1.0728169014084508</v>
      </c>
      <c r="AC13" s="1385">
        <f t="shared" si="5"/>
        <v>1.0728169014084508</v>
      </c>
      <c r="AD13" s="1385">
        <f t="shared" si="5"/>
        <v>1.0728169014084508</v>
      </c>
      <c r="AE13" s="1385">
        <f t="shared" si="5"/>
        <v>1.0728169014084508</v>
      </c>
      <c r="AF13" s="1385">
        <f t="shared" si="5"/>
        <v>1.0728169014084508</v>
      </c>
      <c r="AG13" s="1385">
        <f t="shared" si="5"/>
        <v>1.0728169014084508</v>
      </c>
      <c r="AH13" s="1385">
        <f t="shared" si="5"/>
        <v>1.0728169014084508</v>
      </c>
      <c r="AI13" s="1385">
        <f t="shared" si="5"/>
        <v>1.0728169014084508</v>
      </c>
      <c r="AJ13" s="1385">
        <f t="shared" si="5"/>
        <v>1.0728169014084508</v>
      </c>
    </row>
    <row r="14" spans="1:36" ht="15">
      <c r="A14" s="3470"/>
      <c r="B14" s="2232"/>
      <c r="C14" s="2233"/>
      <c r="D14" s="2234"/>
      <c r="E14" s="2234"/>
      <c r="F14" s="2235"/>
      <c r="G14" s="2236" t="s">
        <v>2693</v>
      </c>
      <c r="H14" s="2237"/>
      <c r="I14" s="2238"/>
      <c r="J14" s="2239"/>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20"/>
      <c r="AE14" s="3020"/>
      <c r="AF14" s="3020"/>
      <c r="AG14" s="3020"/>
      <c r="AH14" s="3020"/>
      <c r="AI14" s="3020"/>
      <c r="AJ14" s="3021"/>
    </row>
    <row r="15" spans="1:36" ht="15.75" thickBot="1">
      <c r="A15" s="3471"/>
      <c r="B15" s="2240" t="s">
        <v>2694</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t="e">
        <f t="shared" si="0"/>
        <v>#DIV/0!</v>
      </c>
      <c r="U15" s="1375"/>
      <c r="V15" s="1374" t="e">
        <f t="shared" si="1"/>
        <v>#DIV/0!</v>
      </c>
      <c r="W15" s="1378"/>
      <c r="X15" s="1378"/>
      <c r="Y15" s="1378"/>
      <c r="Z15" s="1378"/>
      <c r="AA15" s="1378"/>
      <c r="AB15" s="1378"/>
      <c r="AC15" s="1379"/>
      <c r="AD15" s="3020"/>
      <c r="AE15" s="3020"/>
      <c r="AF15" s="3020"/>
      <c r="AG15" s="3020"/>
      <c r="AH15" s="3020"/>
      <c r="AI15" s="3020"/>
      <c r="AJ15" s="3021"/>
    </row>
    <row r="16" spans="1:36" ht="24.6" customHeight="1">
      <c r="A16" s="3468" t="s">
        <v>2699</v>
      </c>
      <c r="B16" s="2209" t="s">
        <v>2700</v>
      </c>
      <c r="C16" s="2371" t="e">
        <f>ROUND(IF(F17="与级别开发程度一致",0,(G17-E17)/C17),0)</f>
        <v>#DIV/0!</v>
      </c>
      <c r="D16" s="3484" t="s">
        <v>2704</v>
      </c>
      <c r="E16" s="3485"/>
      <c r="F16" s="3484" t="s">
        <v>2701</v>
      </c>
      <c r="G16" s="3485"/>
      <c r="H16" s="2241"/>
      <c r="I16" s="2241"/>
      <c r="J16" s="2375"/>
      <c r="K16" s="2241"/>
      <c r="L16" s="2241"/>
      <c r="M16" s="2241"/>
      <c r="N16" s="2241"/>
      <c r="O16" s="2242"/>
      <c r="P16" s="2183"/>
      <c r="Q16" s="1280"/>
      <c r="R16" s="1374">
        <v>15</v>
      </c>
      <c r="S16" s="1375"/>
      <c r="T16" s="1374" t="e">
        <f t="shared" si="0"/>
        <v>#DIV/0!</v>
      </c>
      <c r="U16" s="1375"/>
      <c r="V16" s="1374" t="e">
        <f t="shared" si="1"/>
        <v>#DIV/0!</v>
      </c>
      <c r="W16" s="1378"/>
      <c r="X16" s="1378"/>
      <c r="Y16" s="1378"/>
      <c r="Z16" s="1378"/>
      <c r="AA16" s="1378"/>
      <c r="AB16" s="1378"/>
      <c r="AC16" s="1379"/>
      <c r="AD16" s="3020"/>
      <c r="AE16" s="3020"/>
      <c r="AF16" s="3020"/>
      <c r="AG16" s="3020"/>
      <c r="AH16" s="3020"/>
      <c r="AI16" s="3020"/>
      <c r="AJ16" s="3021"/>
    </row>
    <row r="17" spans="1:37" ht="13.5" thickBot="1">
      <c r="A17" s="3472"/>
      <c r="B17" s="2382" t="s">
        <v>2703</v>
      </c>
      <c r="C17" s="2383">
        <f>SUMPRODUCT((修正!A2:A5=E2)*(修正!B1:M1=G2)*(修正!B2:M5))</f>
        <v>0</v>
      </c>
      <c r="D17" s="193"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2706</v>
      </c>
      <c r="C18" s="2378">
        <f>SUMIF(修正!C18:C39,E3,修正!E18:E39)</f>
        <v>0</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7.75" thickBot="1">
      <c r="A19" s="2246" t="s">
        <v>809</v>
      </c>
      <c r="B19" s="2247" t="s">
        <v>2707</v>
      </c>
      <c r="C19" s="863" t="e">
        <f>ROUND(IF(H19="按公示增长率计算",SUMPRODUCT((地价!A3:A36=YEAR(G19)&amp;"-"&amp;ROUNDUP(MONTH(G19)/3,0))*(地价!X2:AB2=E2)*(地价!X3:AB36)),IF(H19="地价指数",M20/M19,(1+I19)^O19)),4)</f>
        <v>#VALUE!</v>
      </c>
      <c r="D19" s="2251" t="s">
        <v>2708</v>
      </c>
      <c r="E19" s="864">
        <v>41640</v>
      </c>
      <c r="F19" s="2251" t="s">
        <v>2709</v>
      </c>
      <c r="G19" s="865">
        <f>'数据-取费表'!B2</f>
        <v>44555</v>
      </c>
      <c r="H19" s="2252"/>
      <c r="I19" s="866" t="str">
        <f>IF(H19="季度增幅（自定义）",SUMIF(N21:N24,E2,O21:O24),"")</f>
        <v/>
      </c>
      <c r="J19" s="2249"/>
      <c r="K19" s="1287"/>
      <c r="L19" s="2253" t="s">
        <v>2710</v>
      </c>
      <c r="M19" s="1496">
        <f>ROUND(SUMIF(地价!B2:F2,E2,地价!B36:F36),0)</f>
        <v>0</v>
      </c>
      <c r="N19" s="2254" t="s">
        <v>2711</v>
      </c>
      <c r="O19" s="867">
        <f>ROUNDDOWN(DATEDIF(E19,G19,"M")/3,0)</f>
        <v>31</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7.75" thickBot="1">
      <c r="A20" s="2256" t="s">
        <v>810</v>
      </c>
      <c r="B20" s="2257" t="s">
        <v>2712</v>
      </c>
      <c r="C20" s="868" t="e">
        <f>ROUND(POWER(1+G20,J20-I20)*(POWER(1+G20,I20)-1)/(POWER(1+G20,J20)-1),4)</f>
        <v>#DIV/0!</v>
      </c>
      <c r="D20" s="2258" t="s">
        <v>2713</v>
      </c>
      <c r="E20" s="1505">
        <f>存贷款利率!E18/100</f>
        <v>4.3499999999999997E-2</v>
      </c>
      <c r="F20" s="2258" t="s">
        <v>2705</v>
      </c>
      <c r="G20" s="873">
        <f>SUMIF(M26:P26,E2,M28:P28)</f>
        <v>0</v>
      </c>
      <c r="H20" s="2258" t="s">
        <v>2714</v>
      </c>
      <c r="I20" s="874" t="e">
        <f>SUMIF('数据-取费表'!C6:C15,E2,'数据-取费表'!F6:F15)/COUNTIF('数据-取费表'!C6:C15,E2)</f>
        <v>#DIV/0!</v>
      </c>
      <c r="J20" s="875">
        <f>IF(E2="住宅",70,IF(E2="商业",40,50))</f>
        <v>50</v>
      </c>
      <c r="K20" s="1287"/>
      <c r="L20" s="2259" t="s">
        <v>2715</v>
      </c>
      <c r="M20" s="1497">
        <f>ROUND(SUMPRODUCT((地价!A4:A36=YEAR(G19)&amp;"-"&amp;ROUNDUP(MONTH(G19)/3,0))*(地价!B2:F2=E2)*(地价!B4:F36)),0)</f>
        <v>0</v>
      </c>
      <c r="N20" s="2260" t="s">
        <v>2716</v>
      </c>
      <c r="O20" s="2261" t="s">
        <v>2717</v>
      </c>
      <c r="P20" s="2262" t="s">
        <v>2718</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5">
      <c r="A21" s="2263" t="s">
        <v>811</v>
      </c>
      <c r="B21" s="2264" t="s">
        <v>2719</v>
      </c>
      <c r="C21" s="876">
        <f>IF(B21="容积率修正",IF(G3&lt;=10,D22,J22),C23)</f>
        <v>0</v>
      </c>
      <c r="D21" s="2265"/>
      <c r="E21" s="2265"/>
      <c r="F21" s="2265"/>
      <c r="G21" s="2265"/>
      <c r="H21" s="2265"/>
      <c r="I21" s="2265"/>
      <c r="J21" s="2266"/>
      <c r="K21" s="1287"/>
      <c r="L21" s="3019"/>
      <c r="M21" s="3019"/>
      <c r="N21" s="2267" t="s">
        <v>2720</v>
      </c>
      <c r="O21" s="1335"/>
      <c r="P21" s="1336">
        <f>SUMPRODUCT((地价!A3:A36=YEAR(G19)&amp;"-"&amp;ROUNDUP(MONTH(G19)/3,0))*(地价!AD2:AH2=N21)*(地价!AD3:AH36))</f>
        <v>1.0500000000000001E-2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25">
      <c r="A22" s="2141" t="s">
        <v>2721</v>
      </c>
      <c r="B22" s="2268" t="s">
        <v>2722</v>
      </c>
      <c r="C22" s="1536" t="s">
        <v>2723</v>
      </c>
      <c r="D22" s="1536">
        <f>IF(E22=G22,F22,IF(G3&lt;=10,ROUND(F22+(H22-F22)*(G3-E22)/(G22-E22),4),"——"))</f>
        <v>0</v>
      </c>
      <c r="E22" s="855">
        <f>ROUNDDOWN(G3,1)</f>
        <v>0.7</v>
      </c>
      <c r="F22" s="153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0.79999999999999993</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6" t="s">
        <v>155</v>
      </c>
      <c r="J22" s="877" t="str">
        <f>IF(G3&gt;10,D113,"——")</f>
        <v>——</v>
      </c>
      <c r="K22" s="1287"/>
      <c r="L22" s="3019"/>
      <c r="M22" s="3019"/>
      <c r="N22" s="2267" t="s">
        <v>2724</v>
      </c>
      <c r="O22" s="1335"/>
      <c r="P22" s="1336">
        <f>SUMPRODUCT((地价!A3:A36=YEAR(G19)&amp;"-"&amp;ROUNDUP(MONTH(G19)/3,0))*(地价!AD2:AH2=N22)*(地价!AD3:AH36))</f>
        <v>1.0500000000000001E-2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1" t="s">
        <v>2725</v>
      </c>
      <c r="B23" s="2269" t="s">
        <v>2726</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2727</v>
      </c>
      <c r="O23" s="1335"/>
      <c r="P23" s="1336">
        <f>SUMPRODUCT((地价!A3:A36=YEAR(G19)&amp;"-"&amp;ROUNDUP(MONTH(G19)/3,0))*(地价!AD2:AH2=N23)*(地价!AD3:AH36))</f>
        <v>1.83E-2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2728</v>
      </c>
      <c r="C24" s="863">
        <f>SUMIF(A45:A88,E2,B45:B88)</f>
        <v>0</v>
      </c>
      <c r="D24" s="2248"/>
      <c r="E24" s="2275"/>
      <c r="F24" s="2275"/>
      <c r="G24" s="2275"/>
      <c r="H24" s="2275"/>
      <c r="I24" s="2275"/>
      <c r="J24" s="2276"/>
      <c r="K24" s="1287"/>
      <c r="L24" s="3019"/>
      <c r="M24" s="3019"/>
      <c r="N24" s="2277" t="s">
        <v>2729</v>
      </c>
      <c r="O24" s="1337"/>
      <c r="P24" s="1338">
        <f>SUMPRODUCT((地价!A3:A36=YEAR(G19)&amp;"-"&amp;ROUNDUP(MONTH(G19)/3,0))*(地价!AD2:AH2=N24)*(地价!AD3:AH36))</f>
        <v>1.2200000000000001E-2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6" t="s">
        <v>813</v>
      </c>
      <c r="B25" s="2278" t="s">
        <v>2730</v>
      </c>
      <c r="C25" s="869"/>
      <c r="D25" s="2212"/>
      <c r="E25" s="2212"/>
      <c r="F25" s="2279"/>
      <c r="G25" s="2212"/>
      <c r="H25" s="2212"/>
      <c r="I25" s="2212"/>
      <c r="J25" s="2213"/>
      <c r="K25" s="1280"/>
      <c r="L25" s="2183"/>
      <c r="M25" s="2183"/>
      <c r="N25" s="3014" t="s">
        <v>2731</v>
      </c>
      <c r="O25" s="3015"/>
      <c r="P25" s="3016">
        <f>SUMPRODUCT((地价!A3:A36=YEAR(G19)&amp;"-"&amp;ROUNDUP(MONTH(G19)/3,0))*(地价!AD2:AH2=N25)*(地价!AD3:AH36))</f>
        <v>1.66E-2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2732</v>
      </c>
      <c r="C26" s="2542" t="e">
        <f>IF(B21="容积率修正",E29+SUM(E33:E39),SUM(V2:V16)+SUM(E33:E39))</f>
        <v>#DIV/0!</v>
      </c>
      <c r="D26" s="2281"/>
      <c r="E26" s="2237"/>
      <c r="F26" s="2282"/>
      <c r="G26" s="2237"/>
      <c r="H26" s="2237"/>
      <c r="I26" s="2237"/>
      <c r="J26" s="2283"/>
      <c r="K26" s="1280"/>
      <c r="L26" s="3017" t="s">
        <v>2630</v>
      </c>
      <c r="M26" s="2210" t="s">
        <v>2695</v>
      </c>
      <c r="N26" s="2210" t="s">
        <v>2696</v>
      </c>
      <c r="O26" s="2210" t="s">
        <v>2697</v>
      </c>
      <c r="P26" s="3018" t="s">
        <v>2698</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2733</v>
      </c>
      <c r="C27" s="870" t="e">
        <f>E30+SUM(I33:I39)</f>
        <v>#DIV/0!</v>
      </c>
      <c r="D27" s="2285"/>
      <c r="E27" s="2286"/>
      <c r="F27" s="2287"/>
      <c r="G27" s="2286"/>
      <c r="H27" s="2286"/>
      <c r="I27" s="2286"/>
      <c r="J27" s="2288"/>
      <c r="K27" s="1280"/>
      <c r="L27" s="2243" t="s">
        <v>2702</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2734</v>
      </c>
      <c r="C28" s="2291" t="s">
        <v>2735</v>
      </c>
      <c r="D28" s="2291" t="s">
        <v>2736</v>
      </c>
      <c r="E28" s="2292" t="s">
        <v>2737</v>
      </c>
      <c r="F28" s="2293"/>
      <c r="G28" s="2225"/>
      <c r="H28" s="2225"/>
      <c r="I28" s="2225"/>
      <c r="J28" s="2226"/>
      <c r="K28" s="1280"/>
      <c r="L28" s="2244" t="s">
        <v>2705</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2738</v>
      </c>
      <c r="C29" s="180" t="e">
        <f>ROUND(C5*C18*C19*C20*C21*C24,0)</f>
        <v>#DIV/0!</v>
      </c>
      <c r="D29" s="2296"/>
      <c r="E29" s="879" t="e">
        <f>ROUND(C29*D29/10000,0)</f>
        <v>#DIV/0!</v>
      </c>
      <c r="F29" s="2297" t="s">
        <v>2739</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2740</v>
      </c>
      <c r="C30" s="193" t="e">
        <f>ROUND(IF(E2="工业",C29*M39,C29*M38),0)</f>
        <v>#DIV/0!</v>
      </c>
      <c r="D30" s="2302"/>
      <c r="E30" s="879" t="e">
        <f>ROUND(C30*D30/10000,0)</f>
        <v>#DIV/0!</v>
      </c>
      <c r="F30" s="2303" t="s">
        <v>2741</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2742</v>
      </c>
      <c r="C31" s="2308" t="s">
        <v>2743</v>
      </c>
      <c r="D31" s="2225"/>
      <c r="E31" s="2308"/>
      <c r="F31" s="2308"/>
      <c r="G31" s="2223" t="s">
        <v>2744</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2735</v>
      </c>
      <c r="D32" s="455" t="s">
        <v>2736</v>
      </c>
      <c r="E32" s="455" t="s">
        <v>2737</v>
      </c>
      <c r="F32" s="348" t="s">
        <v>2745</v>
      </c>
      <c r="G32" s="2311" t="s">
        <v>2735</v>
      </c>
      <c r="H32" s="2311" t="s">
        <v>2736</v>
      </c>
      <c r="I32" s="2311" t="s">
        <v>2737</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481"/>
      <c r="B33" s="2312" t="s">
        <v>2746</v>
      </c>
      <c r="C33" s="180" t="e">
        <f>ROUND(D5*C19*C20*C24*F33,0)</f>
        <v>#DIV/0!</v>
      </c>
      <c r="D33" s="2296"/>
      <c r="E33" s="176" t="e">
        <f>ROUND(C33*D33/10000,0)</f>
        <v>#DIV/0!</v>
      </c>
      <c r="F33" s="176">
        <f>SUMIF(修正!A45:A56,G2,修正!B45:B56)</f>
        <v>0</v>
      </c>
      <c r="G33" s="176" t="e">
        <f t="shared" ref="G33" si="6">ROUND(IF(E2="工业",C33*$M$39,C33*$M$38),0)</f>
        <v>#DIV/0!</v>
      </c>
      <c r="H33" s="176">
        <f>D33</f>
        <v>0</v>
      </c>
      <c r="I33" s="176" t="e">
        <f>ROUND(G33*H33/10000,0)</f>
        <v>#DIV/0!</v>
      </c>
      <c r="J33" s="3486" t="s">
        <v>3052</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482"/>
      <c r="B34" s="2229" t="s">
        <v>2747</v>
      </c>
      <c r="C34" s="180" t="e">
        <f>ROUND(D5*C19*C20*C24*F34,0)</f>
        <v>#DIV/0!</v>
      </c>
      <c r="D34" s="229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482"/>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482"/>
      <c r="B35" s="2229" t="s">
        <v>2748</v>
      </c>
      <c r="C35" s="180" t="e">
        <f>ROUND(D5*C19*C20*C24*F35,0)</f>
        <v>#DIV/0!</v>
      </c>
      <c r="D35" s="2296"/>
      <c r="E35" s="176" t="e">
        <f t="shared" si="7"/>
        <v>#DIV/0!</v>
      </c>
      <c r="F35" s="176">
        <f>SUMIF(修正!A45:A56,G2,修正!D45:D56)</f>
        <v>0</v>
      </c>
      <c r="G35" s="176" t="e">
        <f>ROUND(IF(E2="工业",C35*$M$39,C35*$M$38),0)</f>
        <v>#DIV/0!</v>
      </c>
      <c r="H35" s="176">
        <f t="shared" si="8"/>
        <v>0</v>
      </c>
      <c r="I35" s="176" t="e">
        <f t="shared" si="9"/>
        <v>#DIV/0!</v>
      </c>
      <c r="J35" s="3482"/>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483"/>
      <c r="B36" s="2229" t="s">
        <v>2749</v>
      </c>
      <c r="C36" s="180" t="e">
        <f>ROUND(D5*C19*C20*C24*F36,0)</f>
        <v>#DIV/0!</v>
      </c>
      <c r="D36" s="2296"/>
      <c r="E36" s="176" t="e">
        <f t="shared" si="7"/>
        <v>#DIV/0!</v>
      </c>
      <c r="F36" s="176">
        <f>SUMIF(修正!A45:A56,G2,修正!E45:E56)</f>
        <v>0</v>
      </c>
      <c r="G36" s="176" t="e">
        <f>ROUND(IF(E2="工业",C36*$M$39,C36*$M$38),0)</f>
        <v>#DIV/0!</v>
      </c>
      <c r="H36" s="176">
        <f t="shared" si="8"/>
        <v>0</v>
      </c>
      <c r="I36" s="176" t="e">
        <f t="shared" si="9"/>
        <v>#DIV/0!</v>
      </c>
      <c r="J36" s="3483"/>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2750</v>
      </c>
      <c r="C37" s="176" t="e">
        <f>ROUND(D5*C19*C20*C24*F37,0)</f>
        <v>#DIV/0!</v>
      </c>
      <c r="D37" s="2296"/>
      <c r="E37" s="176" t="e">
        <f t="shared" si="7"/>
        <v>#DIV/0!</v>
      </c>
      <c r="F37" s="180">
        <f>SUMIF(修正!A45:A56,G2,修正!F45:F56)</f>
        <v>0</v>
      </c>
      <c r="G37" s="176" t="e">
        <f>ROUND(IF(E2="工业",C37*$M$39,C37*$M$38),0)</f>
        <v>#DIV/0!</v>
      </c>
      <c r="H37" s="176">
        <f t="shared" si="8"/>
        <v>0</v>
      </c>
      <c r="I37" s="176" t="e">
        <f t="shared" si="9"/>
        <v>#DIV/0!</v>
      </c>
      <c r="J37" s="2313"/>
      <c r="K37" s="1280"/>
      <c r="L37" s="2315" t="s">
        <v>2751</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2752</v>
      </c>
      <c r="C38" s="176" t="e">
        <f>ROUND(D5*C19*C41*C24*F38,0)</f>
        <v>#DIV/0!</v>
      </c>
      <c r="D38" s="2296"/>
      <c r="E38" s="176" t="e">
        <f t="shared" si="7"/>
        <v>#DIV/0!</v>
      </c>
      <c r="F38" s="180">
        <f>SUMIF(修正!A45:A56,G2,修正!G45:G56)</f>
        <v>0</v>
      </c>
      <c r="G38" s="176" t="e">
        <f>ROUND(IF(E2="工业",C38*$M$39,C38*$M$38),0)</f>
        <v>#DIV/0!</v>
      </c>
      <c r="H38" s="176">
        <f t="shared" si="8"/>
        <v>0</v>
      </c>
      <c r="I38" s="176" t="e">
        <f t="shared" si="9"/>
        <v>#DIV/0!</v>
      </c>
      <c r="J38" s="2313"/>
      <c r="K38" s="1280"/>
      <c r="L38" s="1605" t="s">
        <v>2753</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2754</v>
      </c>
      <c r="C39" s="193" t="e">
        <f>ROUND(D5*C19*C41*C24*F39,0)</f>
        <v>#DIV/0!</v>
      </c>
      <c r="D39" s="2302"/>
      <c r="E39" s="193" t="e">
        <f t="shared" si="7"/>
        <v>#DIV/0!</v>
      </c>
      <c r="F39" s="871">
        <f>SUMIF(修正!A45:A56,G2,修正!H45:H56)</f>
        <v>0</v>
      </c>
      <c r="G39" s="193" t="e">
        <f>ROUND(IF(E2="工业",C39*$M$39,C39*$M$38),0)</f>
        <v>#DIV/0!</v>
      </c>
      <c r="H39" s="193">
        <f t="shared" si="8"/>
        <v>0</v>
      </c>
      <c r="I39" s="193" t="e">
        <f t="shared" si="9"/>
        <v>#DIV/0!</v>
      </c>
      <c r="J39" s="2319"/>
      <c r="K39" s="1280"/>
      <c r="L39" s="2320" t="s">
        <v>2698</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2859</v>
      </c>
      <c r="C41" s="348" t="e">
        <f>ROUND(POWER(1+E41,H41-G41)*(POWER(1+E41,G41)-1)/(POWER(1+E41,H41)-1),4)</f>
        <v>#DIV/0!</v>
      </c>
      <c r="D41" s="176" t="s">
        <v>2705</v>
      </c>
      <c r="E41" s="2369">
        <f>G20</f>
        <v>0</v>
      </c>
      <c r="F41" s="176" t="s">
        <v>2714</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2755</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2756</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2757</v>
      </c>
      <c r="B47" s="1535" t="s">
        <v>2758</v>
      </c>
      <c r="C47" s="1535" t="s">
        <v>2759</v>
      </c>
      <c r="D47" s="1535" t="s">
        <v>2760</v>
      </c>
      <c r="E47" s="758" t="s">
        <v>2761</v>
      </c>
      <c r="F47" s="2330" t="s">
        <v>2762</v>
      </c>
      <c r="G47" s="1535" t="s">
        <v>754</v>
      </c>
      <c r="H47" s="2331" t="s">
        <v>2763</v>
      </c>
      <c r="I47" s="1535" t="s">
        <v>2764</v>
      </c>
      <c r="J47" s="560" t="s">
        <v>2414</v>
      </c>
      <c r="K47" s="560" t="s">
        <v>2415</v>
      </c>
      <c r="L47" s="560" t="s">
        <v>2416</v>
      </c>
      <c r="M47" s="560" t="s">
        <v>2417</v>
      </c>
      <c r="N47" s="560" t="s">
        <v>2418</v>
      </c>
      <c r="AA47" s="1281"/>
      <c r="AB47" s="1281"/>
      <c r="AC47" s="1281"/>
      <c r="AD47" s="1281"/>
      <c r="AE47" s="1281"/>
      <c r="AF47" s="1281"/>
      <c r="AG47" s="1281"/>
      <c r="AH47" s="1281"/>
      <c r="AI47" s="1281"/>
      <c r="AJ47" s="1281"/>
      <c r="AK47" s="1281"/>
    </row>
    <row r="48" spans="1:37" s="1280" customFormat="1" ht="38.25">
      <c r="A48" s="2329" t="s">
        <v>2765</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9" t="s">
        <v>2766</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2767</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2768</v>
      </c>
      <c r="B51" s="2334" t="s">
        <v>2769</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9" t="s">
        <v>2770</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2771</v>
      </c>
      <c r="B53" s="2335" t="s">
        <v>2772</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6" t="s">
        <v>2773</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6" t="s">
        <v>2774</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7" t="s">
        <v>2775</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2776</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2757</v>
      </c>
      <c r="B58" s="1535"/>
      <c r="C58" s="1535" t="s">
        <v>2759</v>
      </c>
      <c r="D58" s="1535" t="s">
        <v>2760</v>
      </c>
      <c r="E58" s="758" t="s">
        <v>2761</v>
      </c>
      <c r="F58" s="2330" t="s">
        <v>2777</v>
      </c>
      <c r="G58" s="1535" t="s">
        <v>754</v>
      </c>
      <c r="H58" s="2331" t="s">
        <v>2763</v>
      </c>
      <c r="I58" s="1535" t="s">
        <v>2764</v>
      </c>
      <c r="J58" s="560" t="s">
        <v>2414</v>
      </c>
      <c r="K58" s="560" t="s">
        <v>2415</v>
      </c>
      <c r="L58" s="560" t="s">
        <v>2416</v>
      </c>
      <c r="M58" s="560" t="s">
        <v>2417</v>
      </c>
      <c r="N58" s="560" t="s">
        <v>2418</v>
      </c>
      <c r="AA58" s="1281"/>
      <c r="AB58" s="1281"/>
      <c r="AC58" s="1281"/>
      <c r="AD58" s="1281"/>
      <c r="AE58" s="1281"/>
      <c r="AF58" s="1281"/>
      <c r="AG58" s="1281"/>
      <c r="AH58" s="1281"/>
      <c r="AI58" s="1281"/>
      <c r="AJ58" s="1281"/>
      <c r="AK58" s="1281"/>
    </row>
    <row r="59" spans="1:37" s="1280" customFormat="1" ht="38.25">
      <c r="A59" s="2329" t="s">
        <v>2778</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9" t="s">
        <v>2766</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2767</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2768</v>
      </c>
      <c r="B62" s="2334" t="s">
        <v>2769</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2770</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2771</v>
      </c>
      <c r="B64" s="2335" t="s">
        <v>2772</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9" t="s">
        <v>2773</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2774</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7" t="s">
        <v>2775</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2779</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2757</v>
      </c>
      <c r="B69" s="1535"/>
      <c r="C69" s="1535" t="s">
        <v>2759</v>
      </c>
      <c r="D69" s="1535" t="s">
        <v>2760</v>
      </c>
      <c r="E69" s="758" t="s">
        <v>2761</v>
      </c>
      <c r="F69" s="2330" t="s">
        <v>2777</v>
      </c>
      <c r="G69" s="1535" t="s">
        <v>754</v>
      </c>
      <c r="H69" s="2331" t="s">
        <v>2763</v>
      </c>
      <c r="I69" s="1535" t="s">
        <v>2764</v>
      </c>
      <c r="J69" s="560" t="s">
        <v>2414</v>
      </c>
      <c r="K69" s="560" t="s">
        <v>2415</v>
      </c>
      <c r="L69" s="560" t="s">
        <v>2416</v>
      </c>
      <c r="M69" s="560" t="s">
        <v>2417</v>
      </c>
      <c r="N69" s="560" t="s">
        <v>2418</v>
      </c>
      <c r="AA69" s="1281"/>
      <c r="AB69" s="1281"/>
      <c r="AC69" s="1281"/>
      <c r="AD69" s="1281"/>
      <c r="AE69" s="1281"/>
      <c r="AF69" s="1281"/>
      <c r="AG69" s="1281"/>
      <c r="AH69" s="1281"/>
      <c r="AI69" s="1281"/>
      <c r="AJ69" s="1281"/>
      <c r="AK69" s="1281"/>
    </row>
    <row r="70" spans="1:37" s="1280" customFormat="1" ht="51">
      <c r="A70" s="2329" t="s">
        <v>2780</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9" t="s">
        <v>2766</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2767</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9" t="s">
        <v>2781</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9" t="s">
        <v>2773</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2774</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2771</v>
      </c>
      <c r="B76" s="2335" t="s">
        <v>2772</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c r="A77" s="2329" t="s">
        <v>2775</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2782</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2783</v>
      </c>
      <c r="B79" s="2326">
        <f>1+E81</f>
        <v>1</v>
      </c>
      <c r="C79" s="753"/>
      <c r="D79" s="753"/>
      <c r="E79" s="754"/>
      <c r="F79" s="2328"/>
      <c r="G79" s="6"/>
      <c r="H79" s="6"/>
      <c r="I79" s="6"/>
      <c r="J79" s="7"/>
      <c r="K79" s="7"/>
      <c r="L79" s="7"/>
      <c r="M79" s="7"/>
      <c r="N79" s="7"/>
      <c r="Z79" s="2184"/>
      <c r="AA79" s="2250"/>
      <c r="AG79" s="1282"/>
      <c r="AK79" s="2250"/>
    </row>
    <row r="80" spans="1:37" ht="24.75">
      <c r="A80" s="2329" t="s">
        <v>2757</v>
      </c>
      <c r="B80" s="1535"/>
      <c r="C80" s="1535" t="s">
        <v>2759</v>
      </c>
      <c r="D80" s="1535" t="s">
        <v>2760</v>
      </c>
      <c r="E80" s="758" t="s">
        <v>2761</v>
      </c>
      <c r="F80" s="2330" t="s">
        <v>2777</v>
      </c>
      <c r="G80" s="1535" t="s">
        <v>754</v>
      </c>
      <c r="H80" s="2331" t="s">
        <v>2763</v>
      </c>
      <c r="I80" s="1535" t="s">
        <v>2764</v>
      </c>
      <c r="J80" s="560" t="s">
        <v>2414</v>
      </c>
      <c r="K80" s="560" t="s">
        <v>2415</v>
      </c>
      <c r="L80" s="560" t="s">
        <v>2416</v>
      </c>
      <c r="M80" s="560" t="s">
        <v>2417</v>
      </c>
      <c r="N80" s="560" t="s">
        <v>2418</v>
      </c>
      <c r="Z80" s="2184"/>
      <c r="AA80" s="2250"/>
      <c r="AG80" s="1282"/>
      <c r="AK80" s="2250"/>
    </row>
    <row r="81" spans="1:37" ht="38.25">
      <c r="A81" s="2329" t="s">
        <v>2784</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2766</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2767</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2781</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2773</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2774</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2771</v>
      </c>
      <c r="B87" s="2335" t="s">
        <v>2785</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2786</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473" t="s">
        <v>2787</v>
      </c>
      <c r="B90" s="3473"/>
      <c r="C90" s="3473"/>
      <c r="D90" s="3473"/>
      <c r="E90" s="3473"/>
      <c r="F90" s="3473"/>
      <c r="G90" s="3473"/>
      <c r="H90" s="3473"/>
      <c r="I90" s="3473"/>
      <c r="J90" s="3473"/>
      <c r="K90" s="2343"/>
      <c r="L90" s="2343"/>
      <c r="M90" s="2343"/>
      <c r="N90" s="2343"/>
    </row>
    <row r="91" spans="1:37">
      <c r="A91" s="3475" t="s">
        <v>2788</v>
      </c>
      <c r="B91" s="3475" t="s">
        <v>2789</v>
      </c>
      <c r="C91" s="2297" t="s">
        <v>2790</v>
      </c>
      <c r="D91" s="2298"/>
      <c r="E91" s="2298"/>
      <c r="F91" s="2298"/>
      <c r="G91" s="2298"/>
      <c r="H91" s="2298"/>
      <c r="I91" s="2298"/>
      <c r="J91" s="2344"/>
      <c r="K91" s="2345"/>
      <c r="L91" s="2345"/>
      <c r="M91" s="2345"/>
      <c r="N91" s="2345"/>
    </row>
    <row r="92" spans="1:37">
      <c r="A92" s="3475"/>
      <c r="B92" s="3475"/>
      <c r="C92" s="879" t="s">
        <v>2657</v>
      </c>
      <c r="D92" s="879" t="s">
        <v>2658</v>
      </c>
      <c r="E92" s="879" t="s">
        <v>2659</v>
      </c>
      <c r="F92" s="879" t="s">
        <v>2660</v>
      </c>
      <c r="G92" s="879" t="s">
        <v>2661</v>
      </c>
      <c r="H92" s="879" t="s">
        <v>2662</v>
      </c>
      <c r="I92" s="879" t="s">
        <v>2663</v>
      </c>
      <c r="J92" s="879" t="s">
        <v>2664</v>
      </c>
      <c r="K92" s="879" t="s">
        <v>2665</v>
      </c>
      <c r="L92" s="879" t="s">
        <v>2666</v>
      </c>
      <c r="M92" s="879" t="s">
        <v>2667</v>
      </c>
      <c r="N92" s="879" t="s">
        <v>2668</v>
      </c>
    </row>
    <row r="93" spans="1:37">
      <c r="A93" s="3476" t="s">
        <v>2791</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477"/>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477"/>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477"/>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477"/>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477"/>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477"/>
      <c r="B99" s="2346" t="s">
        <v>2673</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478"/>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476" t="s">
        <v>2792</v>
      </c>
      <c r="B101" s="2350" t="s">
        <v>2793</v>
      </c>
      <c r="C101" s="2351">
        <f>$G$3</f>
        <v>0.71</v>
      </c>
      <c r="D101" s="2351">
        <f t="shared" ref="D101:N101" si="31">$G$3</f>
        <v>0.71</v>
      </c>
      <c r="E101" s="2351">
        <f t="shared" si="31"/>
        <v>0.71</v>
      </c>
      <c r="F101" s="2351">
        <f t="shared" si="31"/>
        <v>0.71</v>
      </c>
      <c r="G101" s="2351">
        <f t="shared" si="31"/>
        <v>0.71</v>
      </c>
      <c r="H101" s="2351">
        <f t="shared" si="31"/>
        <v>0.71</v>
      </c>
      <c r="I101" s="2351">
        <f t="shared" si="31"/>
        <v>0.71</v>
      </c>
      <c r="J101" s="2351">
        <f t="shared" si="31"/>
        <v>0.71</v>
      </c>
      <c r="K101" s="2351">
        <f t="shared" si="31"/>
        <v>0.71</v>
      </c>
      <c r="L101" s="2351">
        <f t="shared" si="31"/>
        <v>0.71</v>
      </c>
      <c r="M101" s="2351">
        <f t="shared" si="31"/>
        <v>0.71</v>
      </c>
      <c r="N101" s="2351">
        <f t="shared" si="31"/>
        <v>0.71</v>
      </c>
    </row>
    <row r="102" spans="1:14">
      <c r="A102" s="3477"/>
      <c r="B102" s="2346">
        <v>1</v>
      </c>
      <c r="C102" s="2347">
        <f>1.9362/C101</f>
        <v>2.7270422535211267</v>
      </c>
      <c r="D102" s="2347">
        <f>1.9362/D101</f>
        <v>2.7270422535211267</v>
      </c>
      <c r="E102" s="2347">
        <f>1.8629/E101</f>
        <v>2.6238028169014087</v>
      </c>
      <c r="F102" s="2347">
        <f>1.8629/F101</f>
        <v>2.6238028169014087</v>
      </c>
      <c r="G102" s="2347">
        <f>1.8629/G101</f>
        <v>2.6238028169014087</v>
      </c>
      <c r="H102" s="2347">
        <f>1.8629/H101</f>
        <v>2.6238028169014087</v>
      </c>
      <c r="I102" s="2347">
        <f>1.8629/I101</f>
        <v>2.6238028169014087</v>
      </c>
      <c r="J102" s="2347">
        <f>1.942/J101</f>
        <v>2.7352112676056337</v>
      </c>
      <c r="K102" s="2347">
        <f>1.942/K101</f>
        <v>2.7352112676056337</v>
      </c>
      <c r="L102" s="2347">
        <f>1.942/L101</f>
        <v>2.7352112676056337</v>
      </c>
      <c r="M102" s="2347">
        <f>1.942/M101</f>
        <v>2.7352112676056337</v>
      </c>
      <c r="N102" s="2347">
        <f>1.942/N101</f>
        <v>2.7352112676056337</v>
      </c>
    </row>
    <row r="103" spans="1:14">
      <c r="A103" s="3477"/>
      <c r="B103" s="2346">
        <v>2</v>
      </c>
      <c r="C103" s="2347">
        <f>1.4198/C101</f>
        <v>1.9997183098591549</v>
      </c>
      <c r="D103" s="2347">
        <f>1.4198/D101</f>
        <v>1.9997183098591549</v>
      </c>
      <c r="E103" s="2347">
        <f>1.3372/E101</f>
        <v>1.8833802816901408</v>
      </c>
      <c r="F103" s="2347">
        <f>1.3372/F101</f>
        <v>1.8833802816901408</v>
      </c>
      <c r="G103" s="2347">
        <f>1.3372/G101</f>
        <v>1.8833802816901408</v>
      </c>
      <c r="H103" s="2347">
        <f>1.3372/H101</f>
        <v>1.8833802816901408</v>
      </c>
      <c r="I103" s="2347">
        <f>1.3372/I101</f>
        <v>1.8833802816901408</v>
      </c>
      <c r="J103" s="2347">
        <f>1.2799/J101</f>
        <v>1.8026760563380284</v>
      </c>
      <c r="K103" s="2347">
        <f>1.2799/K101</f>
        <v>1.8026760563380284</v>
      </c>
      <c r="L103" s="2347">
        <f>1.2799/L101</f>
        <v>1.8026760563380284</v>
      </c>
      <c r="M103" s="2347">
        <f>1.2799/M101</f>
        <v>1.8026760563380284</v>
      </c>
      <c r="N103" s="2347">
        <f>1.2799/N101</f>
        <v>1.8026760563380284</v>
      </c>
    </row>
    <row r="104" spans="1:14">
      <c r="A104" s="3477"/>
      <c r="B104" s="2346">
        <v>3</v>
      </c>
      <c r="C104" s="2347">
        <f>1.1594/C101</f>
        <v>1.6329577464788734</v>
      </c>
      <c r="D104" s="2347">
        <f>1.1594/D101</f>
        <v>1.6329577464788734</v>
      </c>
      <c r="E104" s="2347">
        <f>1.0788/E101</f>
        <v>1.51943661971831</v>
      </c>
      <c r="F104" s="2347">
        <f>1.0788/F101</f>
        <v>1.51943661971831</v>
      </c>
      <c r="G104" s="2347">
        <f>1.0788/G101</f>
        <v>1.51943661971831</v>
      </c>
      <c r="H104" s="2347">
        <f>1.0788/H101</f>
        <v>1.51943661971831</v>
      </c>
      <c r="I104" s="2347">
        <f>1.0788/I101</f>
        <v>1.51943661971831</v>
      </c>
      <c r="J104" s="2347">
        <f>1.0072/J101</f>
        <v>1.4185915492957748</v>
      </c>
      <c r="K104" s="2347">
        <f>1.0072/K101</f>
        <v>1.4185915492957748</v>
      </c>
      <c r="L104" s="2347">
        <f>1.0072/L101</f>
        <v>1.4185915492957748</v>
      </c>
      <c r="M104" s="2347">
        <f>1.0072/M101</f>
        <v>1.4185915492957748</v>
      </c>
      <c r="N104" s="2347">
        <f>1.0072/N101</f>
        <v>1.4185915492957748</v>
      </c>
    </row>
    <row r="105" spans="1:14">
      <c r="A105" s="3477"/>
      <c r="B105" s="2346">
        <v>4</v>
      </c>
      <c r="C105" s="2347">
        <f>0.9622/C101</f>
        <v>1.355211267605634</v>
      </c>
      <c r="D105" s="2347">
        <f>0.9622/D101</f>
        <v>1.355211267605634</v>
      </c>
      <c r="E105" s="2347">
        <f>0.8656/E101</f>
        <v>1.2191549295774649</v>
      </c>
      <c r="F105" s="2347">
        <f>0.8656/F101</f>
        <v>1.2191549295774649</v>
      </c>
      <c r="G105" s="2347">
        <f>0.8656/G101</f>
        <v>1.2191549295774649</v>
      </c>
      <c r="H105" s="2347">
        <f>0.8656/H101</f>
        <v>1.2191549295774649</v>
      </c>
      <c r="I105" s="2347">
        <f>0.8656/I101</f>
        <v>1.2191549295774649</v>
      </c>
      <c r="J105" s="2347">
        <f>0.7525/J101</f>
        <v>1.0598591549295775</v>
      </c>
      <c r="K105" s="2347">
        <f>0.7525/K101</f>
        <v>1.0598591549295775</v>
      </c>
      <c r="L105" s="2347">
        <f>0.7525/L101</f>
        <v>1.0598591549295775</v>
      </c>
      <c r="M105" s="2347">
        <f>0.7525/M101</f>
        <v>1.0598591549295775</v>
      </c>
      <c r="N105" s="2347">
        <f>0.7525/N101</f>
        <v>1.0598591549295775</v>
      </c>
    </row>
    <row r="106" spans="1:14">
      <c r="A106" s="3477"/>
      <c r="B106" s="2346">
        <v>5</v>
      </c>
      <c r="C106" s="2347">
        <f>0.8417/C101</f>
        <v>1.185492957746479</v>
      </c>
      <c r="D106" s="2347">
        <f>0.8417/D101</f>
        <v>1.185492957746479</v>
      </c>
      <c r="E106" s="2347">
        <f>0.7371/E101</f>
        <v>1.038169014084507</v>
      </c>
      <c r="F106" s="2347">
        <f>0.7371/F101</f>
        <v>1.038169014084507</v>
      </c>
      <c r="G106" s="2347">
        <f>0.7371/G101</f>
        <v>1.038169014084507</v>
      </c>
      <c r="H106" s="2347">
        <f>0.7371/H101</f>
        <v>1.038169014084507</v>
      </c>
      <c r="I106" s="2347">
        <f>0.7371/I101</f>
        <v>1.038169014084507</v>
      </c>
      <c r="J106" s="2347">
        <f>0.5659/J101</f>
        <v>0.79704225352112679</v>
      </c>
      <c r="K106" s="2347">
        <f>0.5659/K101</f>
        <v>0.79704225352112679</v>
      </c>
      <c r="L106" s="2347">
        <f>0.5659/L101</f>
        <v>0.79704225352112679</v>
      </c>
      <c r="M106" s="2347">
        <f>0.5659/M101</f>
        <v>0.79704225352112679</v>
      </c>
      <c r="N106" s="2347">
        <f>0.5659/N101</f>
        <v>0.79704225352112679</v>
      </c>
    </row>
    <row r="107" spans="1:14">
      <c r="A107" s="3477"/>
      <c r="B107" s="2346">
        <v>6</v>
      </c>
      <c r="C107" s="2347">
        <f>0.7608/C101</f>
        <v>1.071549295774648</v>
      </c>
      <c r="D107" s="2347">
        <f>0.7608/D101</f>
        <v>1.071549295774648</v>
      </c>
      <c r="E107" s="2347">
        <f>0.6482/E101</f>
        <v>0.91295774647887329</v>
      </c>
      <c r="F107" s="2347">
        <f>0.6482/F101</f>
        <v>0.91295774647887329</v>
      </c>
      <c r="G107" s="2347">
        <f>0.6482/G101</f>
        <v>0.91295774647887329</v>
      </c>
      <c r="H107" s="2347">
        <f>0.6482/H101</f>
        <v>0.91295774647887329</v>
      </c>
      <c r="I107" s="2347">
        <f>0.6482/I101</f>
        <v>0.91295774647887329</v>
      </c>
      <c r="J107" s="2347">
        <f>0.4525/J101</f>
        <v>0.63732394366197187</v>
      </c>
      <c r="K107" s="2347">
        <f>0.4525/K101</f>
        <v>0.63732394366197187</v>
      </c>
      <c r="L107" s="2347">
        <f>0.4525/L101</f>
        <v>0.63732394366197187</v>
      </c>
      <c r="M107" s="2347">
        <f>0.4525/M101</f>
        <v>0.63732394366197187</v>
      </c>
      <c r="N107" s="2347">
        <f>0.4525/N101</f>
        <v>0.63732394366197187</v>
      </c>
    </row>
    <row r="108" spans="1:14">
      <c r="A108" s="3477"/>
      <c r="B108" s="3479" t="s">
        <v>2794</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478"/>
      <c r="B109" s="3480"/>
      <c r="C109" s="2349">
        <f>(-0.163*(C108^2)-0.59*C108+7617)*(10^(-4))/C101</f>
        <v>1.0728169014084508</v>
      </c>
      <c r="D109" s="2349">
        <f>(-0.163*(D108^2)-0.59*D108+7617)*(10^(-4))/D101</f>
        <v>1.0728169014084508</v>
      </c>
      <c r="E109" s="2349">
        <f>(-0.161*(E108^2)-7.509*E108+6533)*(10^(-4))/E101</f>
        <v>0.9201408450704226</v>
      </c>
      <c r="F109" s="2349">
        <f>(-0.161*(F108^2)-7.509*F108+6533)*(10^(-4))/F101</f>
        <v>0.9201408450704226</v>
      </c>
      <c r="G109" s="2349">
        <f>(-0.161*(G108^2)-7.509*G108+6533)*(10^(-4))/G101</f>
        <v>0.9201408450704226</v>
      </c>
      <c r="H109" s="2349">
        <f>(-0.161*(H108^2)-7.509*H108+6533)*(10^(-4))/H101</f>
        <v>0.9201408450704226</v>
      </c>
      <c r="I109" s="2349">
        <f>(-0.161*(I108^2)-7.509*I108+6533)*(10^(-4))/I101</f>
        <v>0.9201408450704226</v>
      </c>
      <c r="J109" s="2349">
        <f>(-0.214*(J108^2)-21.991*J108+4665)*(10^(-4))/J101</f>
        <v>0.65704225352112688</v>
      </c>
      <c r="K109" s="2349">
        <f>(-0.214*(K108^2)-21.991*K108+4665)*(10^(-4))/K101</f>
        <v>0.65704225352112688</v>
      </c>
      <c r="L109" s="2349">
        <f>(-0.214*(L108^2)-21.991*L108+4665)*(10^(-4))/L101</f>
        <v>0.65704225352112688</v>
      </c>
      <c r="M109" s="2349">
        <f>(-0.214*(M108^2)-21.991*M108+4665)*(10^(-4))/M101</f>
        <v>0.65704225352112688</v>
      </c>
      <c r="N109" s="2349">
        <f>(-0.214*(N108^2)-21.991*N108+4665)*(10^(-4))/N101</f>
        <v>0.65704225352112688</v>
      </c>
    </row>
    <row r="110" spans="1:14">
      <c r="A110" s="3474" t="s">
        <v>2795</v>
      </c>
      <c r="B110" s="3474"/>
      <c r="C110" s="3474"/>
      <c r="D110" s="3474"/>
      <c r="E110" s="3474"/>
      <c r="F110" s="3474"/>
      <c r="G110" s="3474"/>
      <c r="H110" s="3474"/>
      <c r="I110" s="3474"/>
      <c r="J110" s="3474"/>
      <c r="K110" s="2352"/>
      <c r="L110" s="2352"/>
      <c r="M110" s="2352"/>
      <c r="N110" s="2352"/>
    </row>
    <row r="112" spans="1:14" ht="13.5" thickBot="1"/>
    <row r="113" spans="1:13" ht="25.5" thickBot="1">
      <c r="A113" s="842" t="s">
        <v>2796</v>
      </c>
      <c r="B113" s="1197">
        <f>G3</f>
        <v>0.71</v>
      </c>
      <c r="C113" s="843" t="s">
        <v>2797</v>
      </c>
      <c r="D113" s="844">
        <f>SUMPRODUCT((A115:A118=F113)*(B114:M114=H113)*B115:M118)</f>
        <v>0</v>
      </c>
      <c r="E113" s="2188" t="s">
        <v>2630</v>
      </c>
      <c r="F113" s="2354">
        <f>E2</f>
        <v>0</v>
      </c>
      <c r="G113" s="2188" t="s">
        <v>2631</v>
      </c>
      <c r="H113" s="2354">
        <f>G2</f>
        <v>0</v>
      </c>
      <c r="I113" s="2188"/>
      <c r="J113" s="2355"/>
      <c r="K113" s="2355"/>
      <c r="L113" s="2355"/>
      <c r="M113" s="2355"/>
    </row>
    <row r="114" spans="1:13">
      <c r="A114" s="847"/>
      <c r="B114" s="2356" t="s">
        <v>2798</v>
      </c>
      <c r="C114" s="2356" t="s">
        <v>2799</v>
      </c>
      <c r="D114" s="2356" t="s">
        <v>2800</v>
      </c>
      <c r="E114" s="2357" t="s">
        <v>2801</v>
      </c>
      <c r="F114" s="2357" t="s">
        <v>2802</v>
      </c>
      <c r="G114" s="2357" t="s">
        <v>2803</v>
      </c>
      <c r="H114" s="2358" t="s">
        <v>2804</v>
      </c>
      <c r="I114" s="2358" t="s">
        <v>2805</v>
      </c>
      <c r="J114" s="2359" t="s">
        <v>2806</v>
      </c>
      <c r="K114" s="2359" t="s">
        <v>2807</v>
      </c>
      <c r="L114" s="2359" t="s">
        <v>2808</v>
      </c>
      <c r="M114" s="2360" t="s">
        <v>2809</v>
      </c>
    </row>
    <row r="115" spans="1:13">
      <c r="A115" s="848" t="s">
        <v>2695</v>
      </c>
      <c r="B115" s="849">
        <f>ROUND(0.9335-0.0094*B113,4)</f>
        <v>0.92679999999999996</v>
      </c>
      <c r="C115" s="849">
        <f>B115</f>
        <v>0.92679999999999996</v>
      </c>
      <c r="D115" s="849">
        <f>ROUND(0.8331-0.0109*B113,4)</f>
        <v>0.82540000000000002</v>
      </c>
      <c r="E115" s="849">
        <f>D115</f>
        <v>0.82540000000000002</v>
      </c>
      <c r="F115" s="849">
        <f>E115</f>
        <v>0.82540000000000002</v>
      </c>
      <c r="G115" s="849">
        <f>F115</f>
        <v>0.82540000000000002</v>
      </c>
      <c r="H115" s="849">
        <f>G115</f>
        <v>0.82540000000000002</v>
      </c>
      <c r="I115" s="849">
        <f>ROUND(0.689-0.0155*B113,4)</f>
        <v>0.67800000000000005</v>
      </c>
      <c r="J115" s="849">
        <f t="shared" ref="J115:M118" si="33">I115</f>
        <v>0.67800000000000005</v>
      </c>
      <c r="K115" s="849">
        <f t="shared" si="33"/>
        <v>0.67800000000000005</v>
      </c>
      <c r="L115" s="849">
        <f t="shared" si="33"/>
        <v>0.67800000000000005</v>
      </c>
      <c r="M115" s="850">
        <f t="shared" si="33"/>
        <v>0.67800000000000005</v>
      </c>
    </row>
    <row r="116" spans="1:13">
      <c r="A116" s="848" t="s">
        <v>2696</v>
      </c>
      <c r="B116" s="849">
        <f>ROUND(0.949-0.012*B113,4)</f>
        <v>0.9405</v>
      </c>
      <c r="C116" s="849">
        <f>B116</f>
        <v>0.9405</v>
      </c>
      <c r="D116" s="849">
        <f>ROUND(0.8567-0.013*B113,4)</f>
        <v>0.84750000000000003</v>
      </c>
      <c r="E116" s="849">
        <f t="shared" ref="E116:H117" si="34">D116</f>
        <v>0.84750000000000003</v>
      </c>
      <c r="F116" s="849">
        <f t="shared" si="34"/>
        <v>0.84750000000000003</v>
      </c>
      <c r="G116" s="849">
        <f t="shared" si="34"/>
        <v>0.84750000000000003</v>
      </c>
      <c r="H116" s="849">
        <f t="shared" si="34"/>
        <v>0.84750000000000003</v>
      </c>
      <c r="I116" s="849">
        <f>ROUND(0.7694-0.014*B113,4)</f>
        <v>0.75949999999999995</v>
      </c>
      <c r="J116" s="849">
        <f t="shared" si="33"/>
        <v>0.75949999999999995</v>
      </c>
      <c r="K116" s="849">
        <f t="shared" si="33"/>
        <v>0.75949999999999995</v>
      </c>
      <c r="L116" s="849">
        <f t="shared" si="33"/>
        <v>0.75949999999999995</v>
      </c>
      <c r="M116" s="850">
        <f t="shared" si="33"/>
        <v>0.75949999999999995</v>
      </c>
    </row>
    <row r="117" spans="1:13">
      <c r="A117" s="848" t="s">
        <v>2697</v>
      </c>
      <c r="B117" s="849">
        <f>ROUND(0.8808-0.006*B113,4)</f>
        <v>0.87649999999999995</v>
      </c>
      <c r="C117" s="849">
        <f>B117</f>
        <v>0.87649999999999995</v>
      </c>
      <c r="D117" s="849">
        <f>ROUND(0.8748-0.008*B113,4)</f>
        <v>0.86909999999999998</v>
      </c>
      <c r="E117" s="849">
        <f t="shared" si="34"/>
        <v>0.86909999999999998</v>
      </c>
      <c r="F117" s="849">
        <f t="shared" si="34"/>
        <v>0.86909999999999998</v>
      </c>
      <c r="G117" s="849">
        <f t="shared" si="34"/>
        <v>0.86909999999999998</v>
      </c>
      <c r="H117" s="849">
        <f t="shared" si="34"/>
        <v>0.86909999999999998</v>
      </c>
      <c r="I117" s="849">
        <f>ROUND(0.7412-0.0095*B113,4)</f>
        <v>0.73450000000000004</v>
      </c>
      <c r="J117" s="849">
        <f t="shared" si="33"/>
        <v>0.73450000000000004</v>
      </c>
      <c r="K117" s="849">
        <f t="shared" si="33"/>
        <v>0.73450000000000004</v>
      </c>
      <c r="L117" s="849">
        <f t="shared" si="33"/>
        <v>0.73450000000000004</v>
      </c>
      <c r="M117" s="850">
        <f t="shared" si="33"/>
        <v>0.73450000000000004</v>
      </c>
    </row>
    <row r="118" spans="1:13" ht="13.5" thickBot="1">
      <c r="A118" s="670" t="s">
        <v>2698</v>
      </c>
      <c r="B118" s="851">
        <f>ROUND(0.7275-0.01*B113,4)</f>
        <v>0.72040000000000004</v>
      </c>
      <c r="C118" s="851">
        <f>B118</f>
        <v>0.72040000000000004</v>
      </c>
      <c r="D118" s="851">
        <f>ROUND(0.7043-0.012*B113,4)</f>
        <v>0.69579999999999997</v>
      </c>
      <c r="E118" s="851">
        <f>D118</f>
        <v>0.69579999999999997</v>
      </c>
      <c r="F118" s="851">
        <f>E118</f>
        <v>0.69579999999999997</v>
      </c>
      <c r="G118" s="851">
        <f>ROUND(0.6299-0.0122*B113,4)</f>
        <v>0.62119999999999997</v>
      </c>
      <c r="H118" s="851">
        <f>G118</f>
        <v>0.62119999999999997</v>
      </c>
      <c r="I118" s="851">
        <f>ROUND(0.5667-0.0136*B113,4)</f>
        <v>0.55700000000000005</v>
      </c>
      <c r="J118" s="851">
        <f t="shared" si="33"/>
        <v>0.55700000000000005</v>
      </c>
      <c r="K118" s="851">
        <f t="shared" si="33"/>
        <v>0.55700000000000005</v>
      </c>
      <c r="L118" s="851">
        <f t="shared" si="33"/>
        <v>0.55700000000000005</v>
      </c>
      <c r="M118" s="852">
        <f t="shared" si="33"/>
        <v>0.55700000000000005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1">
    <dataValidation type="list" allowBlank="1" showInputMessage="1" showErrorMessage="1" sqref="F14" xr:uid="{00000000-0002-0000-2200-000000000000}">
      <formula1>"500米范围内,500-1000米,1000米以外"</formula1>
    </dataValidation>
    <dataValidation type="list" allowBlank="1" showInputMessage="1" showErrorMessage="1" sqref="C14:E14" xr:uid="{00000000-0002-0000-2200-000001000000}">
      <formula1>"有,无"</formula1>
    </dataValidation>
    <dataValidation type="list" allowBlank="1" showInputMessage="1" showErrorMessage="1" sqref="B21" xr:uid="{00000000-0002-0000-2200-000002000000}">
      <formula1>"容积率修正,楼层修正"</formula1>
    </dataValidation>
    <dataValidation type="list" allowBlank="1" showInputMessage="1" showErrorMessage="1" sqref="F17" xr:uid="{00000000-0002-0000-2200-000003000000}">
      <formula1>"与级别开发程度一致,与级别开发程度不一致"</formula1>
    </dataValidation>
    <dataValidation type="list" allowBlank="1" showInputMessage="1" showErrorMessage="1" sqref="E2" xr:uid="{00000000-0002-0000-2200-000004000000}">
      <formula1>"商业,办公,住宅,工业"</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81:C88 C70:C78 C48:C56 C59:C67" xr:uid="{00000000-0002-0000-2200-000008000000}">
      <formula1>五等判定</formula1>
    </dataValidation>
    <dataValidation type="list" allowBlank="1" showInputMessage="1" showErrorMessage="1" sqref="H19" xr:uid="{00000000-0002-0000-2200-000009000000}">
      <formula1>"地价指数,季度增幅（自定义）,按公示增长率计算"</formula1>
    </dataValidation>
    <dataValidation type="list" allowBlank="1" showInputMessage="1" showErrorMessage="1" sqref="H16:O16" xr:uid="{00000000-0002-0000-22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2861</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87" t="s">
        <v>183</v>
      </c>
      <c r="B18" s="821" t="s">
        <v>560</v>
      </c>
      <c r="C18" s="822" t="s">
        <v>561</v>
      </c>
      <c r="D18" s="823"/>
      <c r="E18" s="821">
        <v>1</v>
      </c>
      <c r="F18" s="824" t="s">
        <v>562</v>
      </c>
      <c r="G18" s="825"/>
      <c r="H18" s="817"/>
      <c r="I18" s="817"/>
    </row>
    <row r="19" spans="1:9" s="826" customFormat="1" ht="19.5" customHeight="1">
      <c r="A19" s="3487"/>
      <c r="B19" s="3487" t="s">
        <v>563</v>
      </c>
      <c r="C19" s="822" t="s">
        <v>564</v>
      </c>
      <c r="D19" s="823"/>
      <c r="E19" s="821">
        <v>0.9</v>
      </c>
      <c r="F19" s="824" t="s">
        <v>565</v>
      </c>
      <c r="G19" s="825"/>
      <c r="H19" s="817"/>
      <c r="I19" s="817"/>
    </row>
    <row r="20" spans="1:9" s="826" customFormat="1" ht="19.5" customHeight="1">
      <c r="A20" s="3487"/>
      <c r="B20" s="3487"/>
      <c r="C20" s="822" t="s">
        <v>566</v>
      </c>
      <c r="D20" s="823"/>
      <c r="E20" s="821">
        <v>1.1000000000000001</v>
      </c>
      <c r="F20" s="824" t="s">
        <v>567</v>
      </c>
      <c r="G20" s="825"/>
      <c r="H20" s="817"/>
      <c r="I20" s="817"/>
    </row>
    <row r="21" spans="1:9" s="826" customFormat="1" ht="19.5" customHeight="1">
      <c r="A21" s="3487"/>
      <c r="B21" s="3487"/>
      <c r="C21" s="822" t="s">
        <v>568</v>
      </c>
      <c r="D21" s="823"/>
      <c r="E21" s="821">
        <v>0.8</v>
      </c>
      <c r="F21" s="824" t="s">
        <v>569</v>
      </c>
      <c r="G21" s="825"/>
      <c r="H21" s="817"/>
      <c r="I21" s="817"/>
    </row>
    <row r="22" spans="1:9" s="826" customFormat="1" ht="19.5" customHeight="1">
      <c r="A22" s="3487"/>
      <c r="B22" s="3487"/>
      <c r="C22" s="822" t="s">
        <v>570</v>
      </c>
      <c r="D22" s="823"/>
      <c r="E22" s="821">
        <v>0.5</v>
      </c>
      <c r="F22" s="824"/>
      <c r="G22" s="825"/>
      <c r="H22" s="817"/>
      <c r="I22" s="817"/>
    </row>
    <row r="23" spans="1:9" s="826" customFormat="1" ht="19.5" customHeight="1">
      <c r="A23" s="3487" t="s">
        <v>184</v>
      </c>
      <c r="B23" s="821" t="s">
        <v>560</v>
      </c>
      <c r="C23" s="822" t="s">
        <v>571</v>
      </c>
      <c r="D23" s="823"/>
      <c r="E23" s="821">
        <v>1</v>
      </c>
      <c r="F23" s="824" t="s">
        <v>572</v>
      </c>
      <c r="G23" s="825"/>
      <c r="H23" s="817"/>
      <c r="I23" s="817"/>
    </row>
    <row r="24" spans="1:9" s="826" customFormat="1" ht="19.5" customHeight="1">
      <c r="A24" s="3487"/>
      <c r="B24" s="3487" t="s">
        <v>563</v>
      </c>
      <c r="C24" s="822" t="s">
        <v>573</v>
      </c>
      <c r="D24" s="823"/>
      <c r="E24" s="821">
        <v>0.5</v>
      </c>
      <c r="F24" s="824"/>
      <c r="G24" s="825"/>
      <c r="H24" s="817"/>
      <c r="I24" s="817"/>
    </row>
    <row r="25" spans="1:9" s="826" customFormat="1" ht="19.5" customHeight="1">
      <c r="A25" s="3487"/>
      <c r="B25" s="3487"/>
      <c r="C25" s="822" t="s">
        <v>574</v>
      </c>
      <c r="D25" s="823"/>
      <c r="E25" s="821">
        <v>1.1000000000000001</v>
      </c>
      <c r="F25" s="824"/>
      <c r="G25" s="825"/>
      <c r="H25" s="817"/>
      <c r="I25" s="817"/>
    </row>
    <row r="26" spans="1:9" s="826" customFormat="1" ht="19.5" customHeight="1">
      <c r="A26" s="3487"/>
      <c r="B26" s="3487"/>
      <c r="C26" s="822" t="s">
        <v>575</v>
      </c>
      <c r="D26" s="823"/>
      <c r="E26" s="821">
        <v>1.1000000000000001</v>
      </c>
      <c r="F26" s="824"/>
      <c r="G26" s="825"/>
      <c r="H26" s="817"/>
      <c r="I26" s="817"/>
    </row>
    <row r="27" spans="1:9" s="826" customFormat="1" ht="19.5" customHeight="1">
      <c r="A27" s="3487"/>
      <c r="B27" s="3487"/>
      <c r="C27" s="822" t="s">
        <v>576</v>
      </c>
      <c r="D27" s="823"/>
      <c r="E27" s="821">
        <v>0.9</v>
      </c>
      <c r="F27" s="824" t="s">
        <v>577</v>
      </c>
      <c r="G27" s="825"/>
      <c r="H27" s="817"/>
      <c r="I27" s="817"/>
    </row>
    <row r="28" spans="1:9" s="826" customFormat="1" ht="19.5" customHeight="1">
      <c r="A28" s="3487"/>
      <c r="B28" s="3487"/>
      <c r="C28" s="822" t="s">
        <v>578</v>
      </c>
      <c r="D28" s="823"/>
      <c r="E28" s="821">
        <v>0.9</v>
      </c>
      <c r="F28" s="824" t="s">
        <v>579</v>
      </c>
      <c r="G28" s="825"/>
      <c r="H28" s="817"/>
      <c r="I28" s="817"/>
    </row>
    <row r="29" spans="1:9" s="826" customFormat="1" ht="19.5" customHeight="1">
      <c r="A29" s="3487"/>
      <c r="B29" s="3487"/>
      <c r="C29" s="822" t="s">
        <v>580</v>
      </c>
      <c r="D29" s="823"/>
      <c r="E29" s="821">
        <v>0.9</v>
      </c>
      <c r="F29" s="824" t="s">
        <v>581</v>
      </c>
      <c r="G29" s="825"/>
      <c r="H29" s="817"/>
      <c r="I29" s="817"/>
    </row>
    <row r="30" spans="1:9" s="826" customFormat="1" ht="19.5" customHeight="1">
      <c r="A30" s="3487"/>
      <c r="B30" s="3487"/>
      <c r="C30" s="822" t="s">
        <v>582</v>
      </c>
      <c r="D30" s="823"/>
      <c r="E30" s="821">
        <v>0.9</v>
      </c>
      <c r="F30" s="824" t="s">
        <v>583</v>
      </c>
      <c r="G30" s="825"/>
      <c r="H30" s="817"/>
      <c r="I30" s="817"/>
    </row>
    <row r="31" spans="1:9" s="826" customFormat="1" ht="19.5" customHeight="1">
      <c r="A31" s="3487"/>
      <c r="B31" s="3487"/>
      <c r="C31" s="822" t="s">
        <v>584</v>
      </c>
      <c r="D31" s="823"/>
      <c r="E31" s="821">
        <v>0.8</v>
      </c>
      <c r="F31" s="824" t="s">
        <v>585</v>
      </c>
      <c r="G31" s="825"/>
      <c r="H31" s="817"/>
      <c r="I31" s="817"/>
    </row>
    <row r="32" spans="1:9" s="826" customFormat="1" ht="19.5" customHeight="1">
      <c r="A32" s="3487"/>
      <c r="B32" s="3487"/>
      <c r="C32" s="822" t="s">
        <v>586</v>
      </c>
      <c r="D32" s="823"/>
      <c r="E32" s="821">
        <v>0.8</v>
      </c>
      <c r="F32" s="824" t="s">
        <v>587</v>
      </c>
      <c r="G32" s="825"/>
      <c r="H32" s="817"/>
      <c r="I32" s="817"/>
    </row>
    <row r="33" spans="1:9" s="826" customFormat="1" ht="19.5" customHeight="1">
      <c r="A33" s="3487" t="s">
        <v>185</v>
      </c>
      <c r="B33" s="821" t="s">
        <v>560</v>
      </c>
      <c r="C33" s="822" t="s">
        <v>588</v>
      </c>
      <c r="D33" s="823"/>
      <c r="E33" s="821">
        <v>1</v>
      </c>
      <c r="F33" s="824" t="s">
        <v>589</v>
      </c>
      <c r="G33" s="825"/>
      <c r="H33" s="817"/>
      <c r="I33" s="817"/>
    </row>
    <row r="34" spans="1:9" s="826" customFormat="1" ht="19.5" customHeight="1">
      <c r="A34" s="3487"/>
      <c r="B34" s="821" t="s">
        <v>563</v>
      </c>
      <c r="C34" s="822" t="s">
        <v>590</v>
      </c>
      <c r="D34" s="823"/>
      <c r="E34" s="821">
        <v>1.5</v>
      </c>
      <c r="F34" s="824" t="s">
        <v>591</v>
      </c>
      <c r="G34" s="825"/>
      <c r="H34" s="817"/>
      <c r="I34" s="817"/>
    </row>
    <row r="35" spans="1:9" s="826" customFormat="1" ht="19.5" customHeight="1">
      <c r="A35" s="3487" t="s">
        <v>186</v>
      </c>
      <c r="B35" s="821" t="s">
        <v>560</v>
      </c>
      <c r="C35" s="822" t="s">
        <v>592</v>
      </c>
      <c r="D35" s="823"/>
      <c r="E35" s="821">
        <v>1</v>
      </c>
      <c r="F35" s="824" t="s">
        <v>593</v>
      </c>
      <c r="G35" s="825"/>
      <c r="H35" s="817"/>
      <c r="I35" s="817"/>
    </row>
    <row r="36" spans="1:9" s="826" customFormat="1" ht="19.5" customHeight="1">
      <c r="A36" s="3487"/>
      <c r="B36" s="3487" t="s">
        <v>563</v>
      </c>
      <c r="C36" s="822" t="s">
        <v>594</v>
      </c>
      <c r="D36" s="823"/>
      <c r="E36" s="821">
        <v>1</v>
      </c>
      <c r="F36" s="824" t="s">
        <v>595</v>
      </c>
      <c r="G36" s="825"/>
      <c r="H36" s="817"/>
      <c r="I36" s="817"/>
    </row>
    <row r="37" spans="1:9" s="826" customFormat="1" ht="19.5" customHeight="1">
      <c r="A37" s="3487"/>
      <c r="B37" s="3487"/>
      <c r="C37" s="822" t="s">
        <v>596</v>
      </c>
      <c r="D37" s="823"/>
      <c r="E37" s="821">
        <v>1.5</v>
      </c>
      <c r="F37" s="824" t="s">
        <v>597</v>
      </c>
      <c r="G37" s="825"/>
      <c r="H37" s="817"/>
      <c r="I37" s="817"/>
    </row>
    <row r="38" spans="1:9" s="826" customFormat="1" ht="19.5" customHeight="1">
      <c r="A38" s="3487"/>
      <c r="B38" s="3487"/>
      <c r="C38" s="822" t="s">
        <v>598</v>
      </c>
      <c r="D38" s="823"/>
      <c r="E38" s="821">
        <v>1</v>
      </c>
      <c r="F38" s="824" t="s">
        <v>599</v>
      </c>
      <c r="G38" s="825"/>
      <c r="H38" s="817"/>
      <c r="I38" s="817"/>
    </row>
    <row r="39" spans="1:9" s="826" customFormat="1" ht="19.5" customHeight="1">
      <c r="A39" s="3487"/>
      <c r="B39" s="3487"/>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87" t="s">
        <v>614</v>
      </c>
      <c r="C61" s="757" t="s">
        <v>615</v>
      </c>
      <c r="D61" s="757" t="s">
        <v>616</v>
      </c>
      <c r="E61" s="834">
        <v>0.5</v>
      </c>
      <c r="F61" s="821">
        <v>80</v>
      </c>
    </row>
    <row r="62" spans="1:8" s="817" customFormat="1" ht="24">
      <c r="A62" s="821">
        <v>2</v>
      </c>
      <c r="B62" s="3487"/>
      <c r="C62" s="757" t="s">
        <v>617</v>
      </c>
      <c r="D62" s="757" t="s">
        <v>618</v>
      </c>
      <c r="E62" s="834">
        <v>0.5</v>
      </c>
      <c r="F62" s="821">
        <v>80</v>
      </c>
    </row>
    <row r="63" spans="1:8" s="817" customFormat="1" ht="36">
      <c r="A63" s="821">
        <v>3</v>
      </c>
      <c r="B63" s="3487"/>
      <c r="C63" s="757" t="s">
        <v>619</v>
      </c>
      <c r="D63" s="757" t="s">
        <v>620</v>
      </c>
      <c r="E63" s="834">
        <v>0.5</v>
      </c>
      <c r="F63" s="821">
        <v>80</v>
      </c>
    </row>
    <row r="64" spans="1:8" s="817" customFormat="1" ht="36">
      <c r="A64" s="821">
        <v>4</v>
      </c>
      <c r="B64" s="3487"/>
      <c r="C64" s="757" t="s">
        <v>621</v>
      </c>
      <c r="D64" s="757" t="s">
        <v>622</v>
      </c>
      <c r="E64" s="834">
        <v>0.4</v>
      </c>
      <c r="F64" s="821">
        <v>60</v>
      </c>
    </row>
    <row r="65" spans="1:6" s="817" customFormat="1" ht="36">
      <c r="A65" s="821">
        <v>5</v>
      </c>
      <c r="B65" s="3487"/>
      <c r="C65" s="757" t="s">
        <v>623</v>
      </c>
      <c r="D65" s="757" t="s">
        <v>624</v>
      </c>
      <c r="E65" s="834">
        <v>0.2</v>
      </c>
      <c r="F65" s="821">
        <v>30</v>
      </c>
    </row>
    <row r="66" spans="1:6" s="817" customFormat="1" ht="36">
      <c r="A66" s="821">
        <v>6</v>
      </c>
      <c r="B66" s="3487"/>
      <c r="C66" s="757" t="s">
        <v>625</v>
      </c>
      <c r="D66" s="757" t="s">
        <v>626</v>
      </c>
      <c r="E66" s="834">
        <v>0.3</v>
      </c>
      <c r="F66" s="821">
        <v>50</v>
      </c>
    </row>
    <row r="67" spans="1:6" s="817" customFormat="1" ht="36">
      <c r="A67" s="821">
        <v>7</v>
      </c>
      <c r="B67" s="3487"/>
      <c r="C67" s="757" t="s">
        <v>627</v>
      </c>
      <c r="D67" s="757" t="s">
        <v>628</v>
      </c>
      <c r="E67" s="834">
        <v>0.2</v>
      </c>
      <c r="F67" s="821">
        <v>30</v>
      </c>
    </row>
    <row r="68" spans="1:6" s="817" customFormat="1" ht="36">
      <c r="A68" s="821">
        <v>8</v>
      </c>
      <c r="B68" s="3487"/>
      <c r="C68" s="757" t="s">
        <v>629</v>
      </c>
      <c r="D68" s="757" t="s">
        <v>630</v>
      </c>
      <c r="E68" s="834">
        <v>0.2</v>
      </c>
      <c r="F68" s="821">
        <v>30</v>
      </c>
    </row>
    <row r="69" spans="1:6" s="817" customFormat="1" ht="36">
      <c r="A69" s="821">
        <v>9</v>
      </c>
      <c r="B69" s="3487"/>
      <c r="C69" s="757" t="s">
        <v>631</v>
      </c>
      <c r="D69" s="757" t="s">
        <v>632</v>
      </c>
      <c r="E69" s="834">
        <v>0.2</v>
      </c>
      <c r="F69" s="821">
        <v>30</v>
      </c>
    </row>
    <row r="70" spans="1:6" s="817" customFormat="1" ht="48">
      <c r="A70" s="821">
        <v>10</v>
      </c>
      <c r="B70" s="3487"/>
      <c r="C70" s="757" t="s">
        <v>633</v>
      </c>
      <c r="D70" s="757" t="s">
        <v>634</v>
      </c>
      <c r="E70" s="834">
        <v>0.2</v>
      </c>
      <c r="F70" s="821">
        <v>30</v>
      </c>
    </row>
    <row r="71" spans="1:6" s="817" customFormat="1" ht="48">
      <c r="A71" s="821">
        <v>11</v>
      </c>
      <c r="B71" s="3487"/>
      <c r="C71" s="757" t="s">
        <v>635</v>
      </c>
      <c r="D71" s="757" t="s">
        <v>636</v>
      </c>
      <c r="E71" s="834">
        <v>0.2</v>
      </c>
      <c r="F71" s="821">
        <v>30</v>
      </c>
    </row>
    <row r="72" spans="1:6" s="817" customFormat="1" ht="36">
      <c r="A72" s="821">
        <v>12</v>
      </c>
      <c r="B72" s="3487"/>
      <c r="C72" s="757" t="s">
        <v>637</v>
      </c>
      <c r="D72" s="757" t="s">
        <v>638</v>
      </c>
      <c r="E72" s="834">
        <v>0.5</v>
      </c>
      <c r="F72" s="821">
        <v>80</v>
      </c>
    </row>
    <row r="73" spans="1:6" s="817" customFormat="1" ht="24">
      <c r="A73" s="821">
        <v>13</v>
      </c>
      <c r="B73" s="3487"/>
      <c r="C73" s="757" t="s">
        <v>639</v>
      </c>
      <c r="D73" s="757" t="s">
        <v>640</v>
      </c>
      <c r="E73" s="834">
        <v>0.4</v>
      </c>
      <c r="F73" s="821">
        <v>60</v>
      </c>
    </row>
    <row r="74" spans="1:6" s="817" customFormat="1" ht="24">
      <c r="A74" s="821">
        <v>14</v>
      </c>
      <c r="B74" s="3487"/>
      <c r="C74" s="757" t="s">
        <v>641</v>
      </c>
      <c r="D74" s="757" t="s">
        <v>642</v>
      </c>
      <c r="E74" s="834">
        <v>0.2</v>
      </c>
      <c r="F74" s="821">
        <v>30</v>
      </c>
    </row>
    <row r="75" spans="1:6" s="817" customFormat="1" ht="24">
      <c r="A75" s="821">
        <v>15</v>
      </c>
      <c r="B75" s="3487"/>
      <c r="C75" s="757" t="s">
        <v>643</v>
      </c>
      <c r="D75" s="757" t="s">
        <v>644</v>
      </c>
      <c r="E75" s="834">
        <v>0.2</v>
      </c>
      <c r="F75" s="821">
        <v>30</v>
      </c>
    </row>
    <row r="76" spans="1:6" s="817" customFormat="1" ht="24">
      <c r="A76" s="821">
        <v>16</v>
      </c>
      <c r="B76" s="3487" t="s">
        <v>645</v>
      </c>
      <c r="C76" s="757" t="s">
        <v>646</v>
      </c>
      <c r="D76" s="757" t="s">
        <v>647</v>
      </c>
      <c r="E76" s="834">
        <v>0.5</v>
      </c>
      <c r="F76" s="821">
        <v>80</v>
      </c>
    </row>
    <row r="77" spans="1:6" s="817" customFormat="1" ht="24">
      <c r="A77" s="821">
        <v>17</v>
      </c>
      <c r="B77" s="3487"/>
      <c r="C77" s="757" t="s">
        <v>648</v>
      </c>
      <c r="D77" s="757" t="s">
        <v>649</v>
      </c>
      <c r="E77" s="834">
        <v>0.5</v>
      </c>
      <c r="F77" s="821">
        <v>80</v>
      </c>
    </row>
    <row r="78" spans="1:6" s="817" customFormat="1" ht="24">
      <c r="A78" s="821">
        <v>18</v>
      </c>
      <c r="B78" s="3487"/>
      <c r="C78" s="757" t="s">
        <v>650</v>
      </c>
      <c r="D78" s="757" t="s">
        <v>651</v>
      </c>
      <c r="E78" s="834">
        <v>0.2</v>
      </c>
      <c r="F78" s="821">
        <v>30</v>
      </c>
    </row>
    <row r="79" spans="1:6" s="817" customFormat="1" ht="24">
      <c r="A79" s="821">
        <v>19</v>
      </c>
      <c r="B79" s="3487"/>
      <c r="C79" s="757" t="s">
        <v>652</v>
      </c>
      <c r="D79" s="757" t="s">
        <v>653</v>
      </c>
      <c r="E79" s="834">
        <v>0.5</v>
      </c>
      <c r="F79" s="821">
        <v>80</v>
      </c>
    </row>
    <row r="80" spans="1:6" s="817" customFormat="1" ht="36">
      <c r="A80" s="821">
        <v>20</v>
      </c>
      <c r="B80" s="3487"/>
      <c r="C80" s="757" t="s">
        <v>654</v>
      </c>
      <c r="D80" s="757" t="s">
        <v>655</v>
      </c>
      <c r="E80" s="834">
        <v>0.2</v>
      </c>
      <c r="F80" s="821">
        <v>30</v>
      </c>
    </row>
    <row r="81" spans="1:6" s="817" customFormat="1" ht="36">
      <c r="A81" s="821">
        <v>21</v>
      </c>
      <c r="B81" s="3487"/>
      <c r="C81" s="757" t="s">
        <v>656</v>
      </c>
      <c r="D81" s="757" t="s">
        <v>657</v>
      </c>
      <c r="E81" s="834">
        <v>0.2</v>
      </c>
      <c r="F81" s="821">
        <v>30</v>
      </c>
    </row>
    <row r="82" spans="1:6" s="817" customFormat="1" ht="48">
      <c r="A82" s="821">
        <v>22</v>
      </c>
      <c r="B82" s="3487"/>
      <c r="C82" s="757" t="s">
        <v>658</v>
      </c>
      <c r="D82" s="757" t="s">
        <v>659</v>
      </c>
      <c r="E82" s="834">
        <v>0.2</v>
      </c>
      <c r="F82" s="821">
        <v>30</v>
      </c>
    </row>
    <row r="83" spans="1:6" s="817" customFormat="1" ht="48">
      <c r="A83" s="821">
        <v>23</v>
      </c>
      <c r="B83" s="3487"/>
      <c r="C83" s="757" t="s">
        <v>660</v>
      </c>
      <c r="D83" s="757" t="s">
        <v>661</v>
      </c>
      <c r="E83" s="834">
        <v>0.2</v>
      </c>
      <c r="F83" s="821">
        <v>30</v>
      </c>
    </row>
    <row r="84" spans="1:6" s="817" customFormat="1" ht="36">
      <c r="A84" s="821">
        <v>24</v>
      </c>
      <c r="B84" s="3487"/>
      <c r="C84" s="757" t="s">
        <v>662</v>
      </c>
      <c r="D84" s="757" t="s">
        <v>663</v>
      </c>
      <c r="E84" s="834">
        <v>0.2</v>
      </c>
      <c r="F84" s="821">
        <v>30</v>
      </c>
    </row>
    <row r="85" spans="1:6" s="817" customFormat="1" ht="36">
      <c r="A85" s="821">
        <v>25</v>
      </c>
      <c r="B85" s="3487"/>
      <c r="C85" s="757" t="s">
        <v>664</v>
      </c>
      <c r="D85" s="757" t="s">
        <v>665</v>
      </c>
      <c r="E85" s="834">
        <v>0.5</v>
      </c>
      <c r="F85" s="821">
        <v>80</v>
      </c>
    </row>
    <row r="86" spans="1:6" s="817" customFormat="1" ht="36">
      <c r="A86" s="821">
        <v>26</v>
      </c>
      <c r="B86" s="3487"/>
      <c r="C86" s="757" t="s">
        <v>666</v>
      </c>
      <c r="D86" s="757" t="s">
        <v>667</v>
      </c>
      <c r="E86" s="834">
        <v>0.2</v>
      </c>
      <c r="F86" s="821">
        <v>30</v>
      </c>
    </row>
    <row r="87" spans="1:6" s="817" customFormat="1" ht="36">
      <c r="A87" s="821">
        <v>27</v>
      </c>
      <c r="B87" s="3487"/>
      <c r="C87" s="757" t="s">
        <v>668</v>
      </c>
      <c r="D87" s="757" t="s">
        <v>669</v>
      </c>
      <c r="E87" s="834">
        <v>0.2</v>
      </c>
      <c r="F87" s="821">
        <v>30</v>
      </c>
    </row>
    <row r="88" spans="1:6" s="817" customFormat="1" ht="36">
      <c r="A88" s="821">
        <v>28</v>
      </c>
      <c r="B88" s="3487"/>
      <c r="C88" s="757" t="s">
        <v>670</v>
      </c>
      <c r="D88" s="757" t="s">
        <v>671</v>
      </c>
      <c r="E88" s="834">
        <v>0.2</v>
      </c>
      <c r="F88" s="821">
        <v>30</v>
      </c>
    </row>
    <row r="89" spans="1:6" s="817" customFormat="1" ht="24">
      <c r="A89" s="821">
        <v>29</v>
      </c>
      <c r="B89" s="3487"/>
      <c r="C89" s="757" t="s">
        <v>672</v>
      </c>
      <c r="D89" s="757" t="s">
        <v>673</v>
      </c>
      <c r="E89" s="834">
        <v>0.2</v>
      </c>
      <c r="F89" s="821">
        <v>30</v>
      </c>
    </row>
    <row r="90" spans="1:6" s="817" customFormat="1" ht="24">
      <c r="A90" s="821">
        <v>30</v>
      </c>
      <c r="B90" s="3487"/>
      <c r="C90" s="757" t="s">
        <v>674</v>
      </c>
      <c r="D90" s="757" t="s">
        <v>675</v>
      </c>
      <c r="E90" s="834">
        <v>0.2</v>
      </c>
      <c r="F90" s="821">
        <v>30</v>
      </c>
    </row>
    <row r="91" spans="1:6" s="817" customFormat="1" ht="36">
      <c r="A91" s="821">
        <v>31</v>
      </c>
      <c r="B91" s="3487"/>
      <c r="C91" s="757" t="s">
        <v>676</v>
      </c>
      <c r="D91" s="757" t="s">
        <v>677</v>
      </c>
      <c r="E91" s="834">
        <v>0.2</v>
      </c>
      <c r="F91" s="821">
        <v>30</v>
      </c>
    </row>
    <row r="92" spans="1:6" s="817" customFormat="1" ht="24">
      <c r="A92" s="821">
        <v>32</v>
      </c>
      <c r="B92" s="3487" t="s">
        <v>678</v>
      </c>
      <c r="C92" s="821" t="s">
        <v>679</v>
      </c>
      <c r="D92" s="757" t="s">
        <v>680</v>
      </c>
      <c r="E92" s="834">
        <v>0.2</v>
      </c>
      <c r="F92" s="821">
        <v>30</v>
      </c>
    </row>
    <row r="93" spans="1:6" s="817" customFormat="1" ht="36">
      <c r="A93" s="821">
        <v>33</v>
      </c>
      <c r="B93" s="3487"/>
      <c r="C93" s="821" t="s">
        <v>681</v>
      </c>
      <c r="D93" s="757" t="s">
        <v>682</v>
      </c>
      <c r="E93" s="834">
        <v>0.2</v>
      </c>
      <c r="F93" s="821">
        <v>30</v>
      </c>
    </row>
    <row r="94" spans="1:6" s="817" customFormat="1" ht="48">
      <c r="A94" s="821">
        <v>34</v>
      </c>
      <c r="B94" s="3487"/>
      <c r="C94" s="821" t="s">
        <v>683</v>
      </c>
      <c r="D94" s="757" t="s">
        <v>684</v>
      </c>
      <c r="E94" s="834">
        <v>0.2</v>
      </c>
      <c r="F94" s="821">
        <v>30</v>
      </c>
    </row>
    <row r="95" spans="1:6" s="817" customFormat="1" ht="36">
      <c r="A95" s="821">
        <v>35</v>
      </c>
      <c r="B95" s="3487"/>
      <c r="C95" s="821" t="s">
        <v>685</v>
      </c>
      <c r="D95" s="757" t="s">
        <v>686</v>
      </c>
      <c r="E95" s="834">
        <v>0.2</v>
      </c>
      <c r="F95" s="821">
        <v>30</v>
      </c>
    </row>
    <row r="96" spans="1:6" s="817" customFormat="1" ht="48">
      <c r="A96" s="821">
        <v>36</v>
      </c>
      <c r="B96" s="3487"/>
      <c r="C96" s="757" t="s">
        <v>687</v>
      </c>
      <c r="D96" s="757" t="s">
        <v>688</v>
      </c>
      <c r="E96" s="834">
        <v>0.2</v>
      </c>
      <c r="F96" s="821">
        <v>30</v>
      </c>
    </row>
    <row r="97" spans="1:6" s="817" customFormat="1" ht="36">
      <c r="A97" s="821">
        <v>37</v>
      </c>
      <c r="B97" s="3487"/>
      <c r="C97" s="821" t="s">
        <v>689</v>
      </c>
      <c r="D97" s="757" t="s">
        <v>690</v>
      </c>
      <c r="E97" s="834">
        <v>0.2</v>
      </c>
      <c r="F97" s="821">
        <v>30</v>
      </c>
    </row>
    <row r="98" spans="1:6" s="817" customFormat="1" ht="36">
      <c r="A98" s="821">
        <v>38</v>
      </c>
      <c r="B98" s="3487"/>
      <c r="C98" s="821" t="s">
        <v>691</v>
      </c>
      <c r="D98" s="757" t="s">
        <v>692</v>
      </c>
      <c r="E98" s="834">
        <v>0.2</v>
      </c>
      <c r="F98" s="821">
        <v>30</v>
      </c>
    </row>
    <row r="99" spans="1:6" s="817" customFormat="1" ht="36">
      <c r="A99" s="821">
        <v>39</v>
      </c>
      <c r="B99" s="3487" t="s">
        <v>693</v>
      </c>
      <c r="C99" s="821" t="s">
        <v>694</v>
      </c>
      <c r="D99" s="757" t="s">
        <v>695</v>
      </c>
      <c r="E99" s="834">
        <v>0.3</v>
      </c>
      <c r="F99" s="821">
        <v>50</v>
      </c>
    </row>
    <row r="100" spans="1:6" s="817" customFormat="1" ht="24">
      <c r="A100" s="821">
        <v>40</v>
      </c>
      <c r="B100" s="3487"/>
      <c r="C100" s="821" t="s">
        <v>696</v>
      </c>
      <c r="D100" s="757" t="s">
        <v>697</v>
      </c>
      <c r="E100" s="834">
        <v>0.2</v>
      </c>
      <c r="F100" s="821">
        <v>30</v>
      </c>
    </row>
    <row r="101" spans="1:6" s="817" customFormat="1" ht="36">
      <c r="A101" s="821">
        <v>41</v>
      </c>
      <c r="B101" s="3487"/>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87" t="s">
        <v>708</v>
      </c>
      <c r="C105" s="821" t="s">
        <v>709</v>
      </c>
      <c r="D105" s="757" t="s">
        <v>710</v>
      </c>
      <c r="E105" s="834">
        <v>0.2</v>
      </c>
      <c r="F105" s="821">
        <v>30</v>
      </c>
    </row>
    <row r="106" spans="1:6" s="817" customFormat="1" ht="36">
      <c r="A106" s="821">
        <v>46</v>
      </c>
      <c r="B106" s="3487"/>
      <c r="C106" s="821" t="s">
        <v>711</v>
      </c>
      <c r="D106" s="757" t="s">
        <v>712</v>
      </c>
      <c r="E106" s="834">
        <v>0.2</v>
      </c>
      <c r="F106" s="821">
        <v>30</v>
      </c>
    </row>
    <row r="107" spans="1:6" s="817" customFormat="1" ht="36">
      <c r="A107" s="821">
        <v>47</v>
      </c>
      <c r="B107" s="3487" t="s">
        <v>713</v>
      </c>
      <c r="C107" s="821" t="s">
        <v>714</v>
      </c>
      <c r="D107" s="757" t="s">
        <v>715</v>
      </c>
      <c r="E107" s="834">
        <v>0.3</v>
      </c>
      <c r="F107" s="821">
        <v>50</v>
      </c>
    </row>
    <row r="108" spans="1:6" s="817" customFormat="1" ht="36">
      <c r="A108" s="821">
        <v>48</v>
      </c>
      <c r="B108" s="3487"/>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87" t="s">
        <v>724</v>
      </c>
      <c r="C111" s="821" t="s">
        <v>725</v>
      </c>
      <c r="D111" s="757" t="s">
        <v>726</v>
      </c>
      <c r="E111" s="834">
        <v>0.2</v>
      </c>
      <c r="F111" s="821">
        <v>30</v>
      </c>
    </row>
    <row r="112" spans="1:6" s="817" customFormat="1" ht="24">
      <c r="A112" s="821">
        <v>52</v>
      </c>
      <c r="B112" s="3487"/>
      <c r="C112" s="821" t="s">
        <v>727</v>
      </c>
      <c r="D112" s="757" t="s">
        <v>728</v>
      </c>
      <c r="E112" s="834">
        <v>0.2</v>
      </c>
      <c r="F112" s="821">
        <v>30</v>
      </c>
    </row>
    <row r="113" spans="1:6" s="817" customFormat="1" ht="24">
      <c r="A113" s="821">
        <v>53</v>
      </c>
      <c r="B113" s="3487"/>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87" t="s">
        <v>737</v>
      </c>
      <c r="C116" s="821" t="s">
        <v>738</v>
      </c>
      <c r="D116" s="757" t="s">
        <v>739</v>
      </c>
      <c r="E116" s="834">
        <v>0.2</v>
      </c>
      <c r="F116" s="821">
        <v>30</v>
      </c>
    </row>
    <row r="117" spans="1:6" ht="36">
      <c r="A117" s="821">
        <v>57</v>
      </c>
      <c r="B117" s="3487"/>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2818</v>
      </c>
      <c r="B1" s="2363"/>
      <c r="C1" s="2363"/>
      <c r="D1" s="2363"/>
      <c r="E1" s="2363"/>
      <c r="F1" s="3024"/>
      <c r="G1" s="3024"/>
      <c r="H1" s="3024"/>
      <c r="I1" s="3024"/>
      <c r="J1" s="3024"/>
      <c r="K1" s="3024"/>
      <c r="L1" s="3024"/>
      <c r="M1" s="3024"/>
      <c r="N1" s="3024"/>
      <c r="O1" s="3024"/>
      <c r="P1" s="3024"/>
    </row>
    <row r="2" spans="1:16" ht="15.75">
      <c r="A2" s="2361" t="s">
        <v>2810</v>
      </c>
      <c r="B2" s="2828" t="e">
        <f ca="1">SUMIF(B6:B13,"&lt;&gt;#ref!",B6:B13)</f>
        <v>#DIV/0!</v>
      </c>
      <c r="C2" s="2361" t="s">
        <v>2811</v>
      </c>
      <c r="D2" s="2361" t="s">
        <v>2812</v>
      </c>
      <c r="E2" s="2838">
        <f ca="1">SUMIF(E6:E13,"&lt;&gt;#ref!",E6:E13)</f>
        <v>0</v>
      </c>
      <c r="F2" s="3024"/>
      <c r="G2" s="3024"/>
      <c r="H2" s="3024"/>
      <c r="I2" s="3024"/>
      <c r="J2" s="3024"/>
      <c r="K2" s="3024"/>
      <c r="L2" s="3024"/>
      <c r="M2" s="3024"/>
      <c r="N2" s="3024"/>
      <c r="O2" s="3024"/>
      <c r="P2" s="3024"/>
    </row>
    <row r="3" spans="1:16" ht="15.75">
      <c r="A3" s="2361" t="s">
        <v>2813</v>
      </c>
      <c r="B3" s="2828" t="e">
        <f ca="1">ROUND(B2*10000/E2,0)</f>
        <v>#DIV/0!</v>
      </c>
      <c r="C3" s="2361" t="s">
        <v>2819</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2814</v>
      </c>
      <c r="B5" s="2836" t="s">
        <v>2815</v>
      </c>
      <c r="C5" s="2362"/>
      <c r="D5" s="3024"/>
      <c r="E5" s="2837" t="s">
        <v>2816</v>
      </c>
      <c r="F5" s="3024"/>
      <c r="G5" s="3024"/>
      <c r="H5" s="3024"/>
      <c r="I5" s="3024"/>
      <c r="J5" s="3024"/>
      <c r="K5" s="3024"/>
      <c r="L5" s="3024"/>
      <c r="M5" s="3024"/>
      <c r="N5" s="3024"/>
      <c r="O5" s="3024"/>
      <c r="P5" s="3024"/>
    </row>
    <row r="6" spans="1:16" ht="15.75">
      <c r="A6" s="2835" t="s">
        <v>2817</v>
      </c>
      <c r="B6" s="2828" t="e">
        <f ca="1">SUMIF(INDIRECT("'"&amp;A6&amp;"'"&amp;"!A:A"),"总价",INDIRECT("'"&amp;A6&amp;"'"&amp;"!B:B"))</f>
        <v>#DIV/0!</v>
      </c>
      <c r="C6" s="2361" t="s">
        <v>2811</v>
      </c>
      <c r="D6" s="3024"/>
      <c r="E6" s="2838">
        <f ca="1">SUMIF(INDIRECT("'"&amp;A6&amp;"'"&amp;"!C:C"),"建筑面积",INDIRECT("'"&amp;A6&amp;"'"&amp;"!D:D"))</f>
        <v>0</v>
      </c>
      <c r="F6" s="3024"/>
      <c r="G6" s="3024"/>
      <c r="H6" s="3024"/>
      <c r="I6" s="3024"/>
      <c r="J6" s="3024"/>
      <c r="K6" s="3024"/>
      <c r="L6" s="3024"/>
      <c r="M6" s="3024"/>
      <c r="N6" s="3024"/>
      <c r="O6" s="3024"/>
      <c r="P6" s="3024"/>
    </row>
    <row r="7" spans="1:16" ht="15.75">
      <c r="A7" s="2835"/>
      <c r="B7" s="2828" t="e">
        <f ca="1">SUMIF(INDIRECT("'"&amp;A7&amp;"'"&amp;"!A:A"),"总价",INDIRECT("'"&amp;A7&amp;"'"&amp;"!B:B"))</f>
        <v>#REF!</v>
      </c>
      <c r="C7" s="2361" t="s">
        <v>2811</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2811</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2811</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2811</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2811</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2811</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2811</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H119"/>
  <sheetViews>
    <sheetView zoomScale="80" zoomScaleNormal="80" workbookViewId="0">
      <selection activeCell="L7" sqref="L7"/>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493" t="s">
        <v>1117</v>
      </c>
      <c r="C1" s="3493"/>
      <c r="D1" s="3493"/>
      <c r="E1" s="3493"/>
      <c r="F1" s="3493"/>
      <c r="G1" s="3492" t="s">
        <v>1118</v>
      </c>
      <c r="H1" s="3492"/>
      <c r="I1" s="3492"/>
      <c r="J1" s="3492"/>
      <c r="K1" s="3492"/>
      <c r="L1" s="3492"/>
      <c r="N1" s="3492" t="s">
        <v>1119</v>
      </c>
      <c r="O1" s="3492"/>
      <c r="P1" s="3492"/>
      <c r="Q1" s="3492"/>
      <c r="S1" s="3492" t="s">
        <v>1120</v>
      </c>
      <c r="T1" s="3492"/>
      <c r="U1" s="3492"/>
      <c r="V1" s="3492"/>
      <c r="X1" s="3491" t="s">
        <v>1121</v>
      </c>
      <c r="Y1" s="3492"/>
      <c r="Z1" s="3492"/>
      <c r="AA1" s="3492"/>
      <c r="AB1" s="3492"/>
      <c r="AD1" s="3491" t="s">
        <v>1122</v>
      </c>
      <c r="AE1" s="3492"/>
      <c r="AF1" s="3492"/>
      <c r="AG1" s="3492"/>
      <c r="AH1" s="3492"/>
    </row>
    <row r="2" spans="1:34" s="2390" customFormat="1" ht="14.25" thickBot="1">
      <c r="B2" s="2391" t="s">
        <v>1123</v>
      </c>
      <c r="C2" s="2391" t="s">
        <v>1124</v>
      </c>
      <c r="D2" s="2392" t="s">
        <v>1125</v>
      </c>
      <c r="E2" s="2392" t="s">
        <v>1126</v>
      </c>
      <c r="F2" s="2391" t="s">
        <v>1127</v>
      </c>
      <c r="G2" s="2393"/>
      <c r="I2" s="2391" t="s">
        <v>1123</v>
      </c>
      <c r="J2" s="2392" t="s">
        <v>1346</v>
      </c>
      <c r="K2" s="2392" t="s">
        <v>751</v>
      </c>
      <c r="L2" s="2391" t="s">
        <v>1127</v>
      </c>
      <c r="N2" s="2391" t="s">
        <v>1123</v>
      </c>
      <c r="O2" s="2392" t="s">
        <v>1346</v>
      </c>
      <c r="P2" s="2392" t="s">
        <v>751</v>
      </c>
      <c r="Q2" s="2391" t="s">
        <v>1127</v>
      </c>
      <c r="S2" s="2391" t="s">
        <v>1123</v>
      </c>
      <c r="T2" s="2392" t="s">
        <v>1346</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2851</v>
      </c>
      <c r="B3" s="2395"/>
      <c r="C3" s="2395"/>
      <c r="D3" s="2396"/>
      <c r="E3" s="2396"/>
      <c r="F3" s="2395"/>
      <c r="G3" s="2397"/>
      <c r="H3" s="2398"/>
      <c r="I3" s="2399">
        <f>ROUND(AVERAGE($I4:$I36),2)</f>
        <v>1.66</v>
      </c>
      <c r="J3" s="2399">
        <f>ROUND(AVERAGE($J4:$J36),2)</f>
        <v>1.05</v>
      </c>
      <c r="K3" s="2399">
        <f>ROUND(AVERAGE($K4:$K36),2)</f>
        <v>1.83</v>
      </c>
      <c r="L3" s="2399">
        <f>ROUND(AVERAGE($L4:$L36),2)</f>
        <v>1.22</v>
      </c>
      <c r="N3" s="2397"/>
      <c r="S3" s="2397"/>
      <c r="W3" s="2401"/>
      <c r="X3" s="2402">
        <f>ROUND(SUMPRODUCT(PRODUCT(1+N3:N$35)),4)</f>
        <v>1.6415999999999999</v>
      </c>
      <c r="Y3" s="2402">
        <f>ROUND(SUMPRODUCT(PRODUCT(1+O3:O$35)),4)</f>
        <v>1.3644000000000001</v>
      </c>
      <c r="Z3" s="2402">
        <f t="shared" ref="Z3:Z33" si="0">Y3</f>
        <v>1.3644000000000001</v>
      </c>
      <c r="AA3" s="2402">
        <f>ROUND(SUMPRODUCT(PRODUCT(1+P3:P$35)),4)</f>
        <v>1.7232000000000001</v>
      </c>
      <c r="AB3" s="2402">
        <f>ROUND(SUMPRODUCT(PRODUCT(1+Q3:Q$35)),4)</f>
        <v>1.4529000000000001</v>
      </c>
      <c r="AD3" s="2403">
        <f>ROUND(AVERAGE(I3:I$36)/100,4)</f>
        <v>1.66E-2</v>
      </c>
      <c r="AE3" s="2403">
        <f>ROUND(AVERAGE(J3:J$36)/100,4)</f>
        <v>1.0500000000000001E-2</v>
      </c>
      <c r="AF3" s="2403">
        <f t="shared" ref="AF3:AF34" si="1">AE3</f>
        <v>1.0500000000000001E-2</v>
      </c>
      <c r="AG3" s="2403">
        <f>ROUND(AVERAGE(K3:K$36)/100,4)</f>
        <v>1.83E-2</v>
      </c>
      <c r="AH3" s="2403">
        <f>ROUND(AVERAGE(L3:L$36)/100,4)</f>
        <v>1.2200000000000001E-2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3060</v>
      </c>
      <c r="B5" s="2413">
        <f t="shared" ref="B5" si="2">B6*(1+N5)</f>
        <v>504.87072809615569</v>
      </c>
      <c r="C5" s="2413">
        <f t="shared" ref="C5" si="3">C6*(1+O5)</f>
        <v>351.71182348101968</v>
      </c>
      <c r="D5" s="2413">
        <f t="shared" ref="D5" si="4">C5</f>
        <v>351.71182348101968</v>
      </c>
      <c r="E5" s="2413">
        <f t="shared" ref="E5" si="5">E6*(1+P5)</f>
        <v>728.75350858360832</v>
      </c>
      <c r="F5" s="2413">
        <f t="shared" ref="F5" si="6">F6*(1+Q5)</f>
        <v>334.04593931673656</v>
      </c>
      <c r="G5" s="3061">
        <v>2021</v>
      </c>
      <c r="H5" s="2415">
        <v>4</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2852</v>
      </c>
      <c r="X5" s="2421">
        <f>ROUND(IF(项目基本情况!B2="出让",SUMPRODUCT(PRODUCT(1+N5:N$36)),SUMPRODUCT(PRODUCT(1+N5:N$35))),4)</f>
        <v>1.6415999999999999</v>
      </c>
      <c r="Y5" s="2421">
        <f>ROUND(IF(项目基本情况!B2="出让",SUMPRODUCT(PRODUCT(1+O5:O$36)),SUMPRODUCT(PRODUCT(1+O5:O$35))),4)</f>
        <v>1.3644000000000001</v>
      </c>
      <c r="Z5" s="2421">
        <f t="shared" ref="Z5" si="11">Y5</f>
        <v>1.3644000000000001</v>
      </c>
      <c r="AA5" s="2421">
        <f>ROUND(IF(项目基本情况!B2="出让",SUMPRODUCT(PRODUCT(1+P5:P$36)),SUMPRODUCT(PRODUCT(1+P5:P$35))),4)</f>
        <v>1.7232000000000001</v>
      </c>
      <c r="AB5" s="2421">
        <f>ROUND(IF(项目基本情况!B2="出让",SUMPRODUCT(PRODUCT(1+Q5:Q$36)),SUMPRODUCT(PRODUCT(1+Q5:Q$35))),4)</f>
        <v>1.4529000000000001</v>
      </c>
      <c r="AD5" s="2422">
        <f>ROUND(AVERAGE(I5:I$36)/100,4)</f>
        <v>1.66E-2</v>
      </c>
      <c r="AE5" s="2422">
        <f>ROUND(AVERAGE(J5:J$36)/100,4)</f>
        <v>1.0500000000000001E-2</v>
      </c>
      <c r="AF5" s="2422">
        <f t="shared" ref="AF5" si="12">AE5</f>
        <v>1.0500000000000001E-2</v>
      </c>
      <c r="AG5" s="2422">
        <f>ROUND(AVERAGE(K5:K$36)/100,4)</f>
        <v>1.83E-2</v>
      </c>
      <c r="AH5" s="2422">
        <f>ROUND(AVERAGE(L5:L$36)/100,4)</f>
        <v>1.2200000000000001E-2</v>
      </c>
    </row>
    <row r="6" spans="1:34" s="2430" customFormat="1">
      <c r="A6" s="2423" t="s">
        <v>3059</v>
      </c>
      <c r="B6" s="2424">
        <f t="shared" ref="B6" si="13">B7*(1+N6)</f>
        <v>504.87072809615569</v>
      </c>
      <c r="C6" s="2424">
        <f t="shared" ref="C6" si="14">C7*(1+O6)</f>
        <v>351.71182348101968</v>
      </c>
      <c r="D6" s="2424">
        <f t="shared" ref="D6" si="15">C6</f>
        <v>351.71182348101968</v>
      </c>
      <c r="E6" s="2424">
        <f t="shared" ref="E6" si="16">E7*(1+P6)</f>
        <v>728.75350858360832</v>
      </c>
      <c r="F6" s="2424">
        <f t="shared" ref="F6" si="17">F7*(1+Q6)</f>
        <v>334.04593931673656</v>
      </c>
      <c r="G6" s="3061">
        <v>2021</v>
      </c>
      <c r="H6" s="2425">
        <v>3</v>
      </c>
      <c r="I6" s="2387">
        <v>0.47</v>
      </c>
      <c r="J6" s="2387">
        <v>0.41</v>
      </c>
      <c r="K6" s="2387">
        <v>0.48</v>
      </c>
      <c r="L6" s="2388">
        <v>0.48</v>
      </c>
      <c r="M6" s="2410"/>
      <c r="N6" s="2426">
        <f t="shared" ref="N6" si="18">I6/100</f>
        <v>4.6999999999999993E-3</v>
      </c>
      <c r="O6" s="2411">
        <f t="shared" ref="O6" si="19">J6/100</f>
        <v>4.0999999999999995E-3</v>
      </c>
      <c r="P6" s="2411">
        <f t="shared" ref="P6" si="20">K6/100</f>
        <v>4.7999999999999996E-3</v>
      </c>
      <c r="Q6" s="2411">
        <f t="shared" ref="Q6" si="21">L6/100</f>
        <v>4.7999999999999996E-3</v>
      </c>
      <c r="R6" s="2427"/>
      <c r="S6" s="2426"/>
      <c r="T6" s="2411"/>
      <c r="U6" s="2411"/>
      <c r="V6" s="2411"/>
      <c r="W6" s="2428"/>
      <c r="X6" s="2428">
        <f>ROUND(IF(项目基本情况!B3="出让",SUMPRODUCT(PRODUCT(1+N6:N$36)),SUMPRODUCT(PRODUCT(1+N6:N$35))),4)</f>
        <v>1.6415999999999999</v>
      </c>
      <c r="Y6" s="2428">
        <f>ROUND(IF(项目基本情况!B3="出让",SUMPRODUCT(PRODUCT(1+O6:O$36)),SUMPRODUCT(PRODUCT(1+O6:O$35))),4)</f>
        <v>1.3644000000000001</v>
      </c>
      <c r="Z6" s="2428">
        <f t="shared" ref="Z6" si="22">Y6</f>
        <v>1.3644000000000001</v>
      </c>
      <c r="AA6" s="2428">
        <f>ROUND(IF(项目基本情况!B3="出让",SUMPRODUCT(PRODUCT(1+P6:P$36)),SUMPRODUCT(PRODUCT(1+P6:P$35))),4)</f>
        <v>1.7232000000000001</v>
      </c>
      <c r="AB6" s="2428">
        <f>ROUND(IF(项目基本情况!B3="出让",SUMPRODUCT(PRODUCT(1+Q6:Q$36)),SUMPRODUCT(PRODUCT(1+Q6:Q$35))),4)</f>
        <v>1.4529000000000001</v>
      </c>
      <c r="AC6" s="2428"/>
      <c r="AD6" s="2429">
        <f>ROUND(AVERAGE(I6:I$36)/100,4)</f>
        <v>1.72E-2</v>
      </c>
      <c r="AE6" s="2429">
        <f>ROUND(AVERAGE(J6:J$36)/100,4)</f>
        <v>1.09E-2</v>
      </c>
      <c r="AF6" s="2429">
        <f t="shared" ref="AF6" si="23">AE6</f>
        <v>1.09E-2</v>
      </c>
      <c r="AG6" s="2429">
        <f>ROUND(AVERAGE(K6:K$36)/100,4)</f>
        <v>1.89E-2</v>
      </c>
      <c r="AH6" s="2429">
        <f>ROUND(AVERAGE(L6:L$36)/100,4)</f>
        <v>1.26E-2</v>
      </c>
    </row>
    <row r="7" spans="1:34" s="2430" customFormat="1">
      <c r="A7" s="2423" t="s">
        <v>3058</v>
      </c>
      <c r="B7" s="2424">
        <f t="shared" ref="B7" si="24">B8*(1+N7)</f>
        <v>502.50893609650217</v>
      </c>
      <c r="C7" s="2424">
        <f t="shared" ref="C7" si="25">C8*(1+O7)</f>
        <v>350.27569313914915</v>
      </c>
      <c r="D7" s="2424">
        <f t="shared" ref="D7" si="26">C7</f>
        <v>350.27569313914915</v>
      </c>
      <c r="E7" s="2424">
        <f t="shared" ref="E7" si="27">E8*(1+P7)</f>
        <v>725.27220201394141</v>
      </c>
      <c r="F7" s="2424">
        <f t="shared" ref="F7" si="28">F8*(1+Q7)</f>
        <v>332.45017846012797</v>
      </c>
      <c r="G7" s="3060">
        <v>2021</v>
      </c>
      <c r="H7" s="2425">
        <v>2</v>
      </c>
      <c r="I7" s="2387">
        <v>0.92</v>
      </c>
      <c r="J7" s="2387">
        <v>0.72</v>
      </c>
      <c r="K7" s="2387">
        <v>0.95</v>
      </c>
      <c r="L7" s="2388">
        <v>1.01</v>
      </c>
      <c r="M7" s="2410"/>
      <c r="N7" s="2426">
        <f t="shared" ref="N7" si="29">I7/100</f>
        <v>9.1999999999999998E-3</v>
      </c>
      <c r="O7" s="2411">
        <f t="shared" ref="O7" si="30">J7/100</f>
        <v>7.1999999999999998E-3</v>
      </c>
      <c r="P7" s="2411">
        <f t="shared" ref="P7" si="31">K7/100</f>
        <v>9.4999999999999998E-3</v>
      </c>
      <c r="Q7" s="2411">
        <f t="shared" ref="Q7" si="32">L7/100</f>
        <v>1.01E-2</v>
      </c>
      <c r="R7" s="2427"/>
      <c r="S7" s="2426"/>
      <c r="T7" s="2411"/>
      <c r="U7" s="2411"/>
      <c r="V7" s="2411"/>
      <c r="W7" s="2428"/>
      <c r="X7" s="2428">
        <f>ROUND(IF(项目基本情况!B4="出让",SUMPRODUCT(PRODUCT(1+N7:N$36)),SUMPRODUCT(PRODUCT(1+N7:N$35))),4)</f>
        <v>1.6338999999999999</v>
      </c>
      <c r="Y7" s="2428">
        <f>ROUND(IF(项目基本情况!B4="出让",SUMPRODUCT(PRODUCT(1+O7:O$36)),SUMPRODUCT(PRODUCT(1+O7:O$35))),4)</f>
        <v>1.3588</v>
      </c>
      <c r="Z7" s="2428">
        <f t="shared" ref="Z7" si="33">Y7</f>
        <v>1.3588</v>
      </c>
      <c r="AA7" s="2428">
        <f>ROUND(IF(项目基本情况!B4="出让",SUMPRODUCT(PRODUCT(1+P7:P$36)),SUMPRODUCT(PRODUCT(1+P7:P$35))),4)</f>
        <v>1.7150000000000001</v>
      </c>
      <c r="AB7" s="2428">
        <f>ROUND(IF(项目基本情况!B4="出让",SUMPRODUCT(PRODUCT(1+Q7:Q$36)),SUMPRODUCT(PRODUCT(1+Q7:Q$35))),4)</f>
        <v>1.446</v>
      </c>
      <c r="AC7" s="2428"/>
      <c r="AD7" s="2429">
        <f>ROUND(AVERAGE(I7:I$36)/100,4)</f>
        <v>1.7600000000000001E-2</v>
      </c>
      <c r="AE7" s="2429">
        <f>ROUND(AVERAGE(J7:J$36)/100,4)</f>
        <v>1.11E-2</v>
      </c>
      <c r="AF7" s="2429">
        <f t="shared" ref="AF7" si="34">AE7</f>
        <v>1.11E-2</v>
      </c>
      <c r="AG7" s="2429">
        <f>ROUND(AVERAGE(K7:K$36)/100,4)</f>
        <v>1.9400000000000001E-2</v>
      </c>
      <c r="AH7" s="2429">
        <f>ROUND(AVERAGE(L7:L$36)/100,4)</f>
        <v>1.2800000000000001E-2</v>
      </c>
    </row>
    <row r="8" spans="1:34" s="2430" customFormat="1">
      <c r="A8" s="2423" t="s">
        <v>3057</v>
      </c>
      <c r="B8" s="2424">
        <f t="shared" ref="B8" si="35">B9*(1+N8)</f>
        <v>497.92799851020823</v>
      </c>
      <c r="C8" s="2424">
        <f t="shared" ref="C8" si="36">C9*(1+O8)</f>
        <v>347.77173663537445</v>
      </c>
      <c r="D8" s="2424">
        <f t="shared" ref="D8" si="37">C8</f>
        <v>347.77173663537445</v>
      </c>
      <c r="E8" s="2424">
        <f t="shared" ref="E8" si="38">E9*(1+P8)</f>
        <v>718.44695593258189</v>
      </c>
      <c r="F8" s="2424">
        <f t="shared" ref="F8" si="39">F9*(1+Q8)</f>
        <v>329.12600580153247</v>
      </c>
      <c r="G8" s="3044">
        <v>2021</v>
      </c>
      <c r="H8" s="2425">
        <v>1</v>
      </c>
      <c r="I8" s="2387">
        <v>0.97</v>
      </c>
      <c r="J8" s="2387">
        <v>0.16</v>
      </c>
      <c r="K8" s="2387">
        <v>1.1100000000000001</v>
      </c>
      <c r="L8" s="2388">
        <v>0.36</v>
      </c>
      <c r="M8" s="2410"/>
      <c r="N8" s="2426">
        <f t="shared" ref="N8" si="40">I8/100</f>
        <v>9.7000000000000003E-3</v>
      </c>
      <c r="O8" s="2411">
        <f t="shared" ref="O8" si="41">J8/100</f>
        <v>1.6000000000000001E-3</v>
      </c>
      <c r="P8" s="2411">
        <f t="shared" ref="P8" si="42">K8/100</f>
        <v>1.11E-2</v>
      </c>
      <c r="Q8" s="2411">
        <f t="shared" ref="Q8" si="43">L8/100</f>
        <v>3.5999999999999999E-3</v>
      </c>
      <c r="R8" s="2427"/>
      <c r="S8" s="2426">
        <f>B8/B9-1</f>
        <v>9.7000000000000419E-3</v>
      </c>
      <c r="T8" s="2411">
        <f t="shared" ref="T8" si="44">C8/C9-1</f>
        <v>1.6000000000000458E-3</v>
      </c>
      <c r="U8" s="2411">
        <f t="shared" ref="U8" si="45">D8/D9-1</f>
        <v>1.6000000000000458E-3</v>
      </c>
      <c r="V8" s="2411">
        <f t="shared" ref="V8" si="46">E8/E9-1</f>
        <v>1.110000000000011E-2</v>
      </c>
      <c r="W8" s="2428"/>
      <c r="X8" s="2428">
        <f>ROUND(IF(项目基本情况!B5="出让",SUMPRODUCT(PRODUCT(1+N8:N$36)),SUMPRODUCT(PRODUCT(1+N8:N$35))),4)</f>
        <v>1.619</v>
      </c>
      <c r="Y8" s="2428">
        <f>ROUND(IF(项目基本情况!B5="出让",SUMPRODUCT(PRODUCT(1+O8:O$36)),SUMPRODUCT(PRODUCT(1+O8:O$35))),4)</f>
        <v>1.3491</v>
      </c>
      <c r="Z8" s="2428">
        <f t="shared" ref="Z8" si="47">Y8</f>
        <v>1.3491</v>
      </c>
      <c r="AA8" s="2428">
        <f>ROUND(IF(项目基本情况!B5="出让",SUMPRODUCT(PRODUCT(1+P8:P$36)),SUMPRODUCT(PRODUCT(1+P8:P$35))),4)</f>
        <v>1.6988000000000001</v>
      </c>
      <c r="AB8" s="2428">
        <f>ROUND(IF(项目基本情况!B5="出让",SUMPRODUCT(PRODUCT(1+Q8:Q$36)),SUMPRODUCT(PRODUCT(1+Q8:Q$35))),4)</f>
        <v>1.4315</v>
      </c>
      <c r="AC8" s="2428"/>
      <c r="AD8" s="2429">
        <f>ROUND(AVERAGE(I8:I$36)/100,4)</f>
        <v>1.7899999999999999E-2</v>
      </c>
      <c r="AE8" s="2429">
        <f>ROUND(AVERAGE(J8:J$36)/100,4)</f>
        <v>1.12E-2</v>
      </c>
      <c r="AF8" s="2429">
        <f t="shared" ref="AF8" si="48">AE8</f>
        <v>1.12E-2</v>
      </c>
      <c r="AG8" s="2429">
        <f>ROUND(AVERAGE(K8:K$36)/100,4)</f>
        <v>1.9699999999999999E-2</v>
      </c>
      <c r="AH8" s="2429">
        <f>ROUND(AVERAGE(L8:L$36)/100,4)</f>
        <v>1.29E-2</v>
      </c>
    </row>
    <row r="9" spans="1:34" s="2430" customFormat="1">
      <c r="A9" s="2423" t="s">
        <v>3055</v>
      </c>
      <c r="B9" s="2424">
        <f t="shared" ref="B9" si="49">B10*(1+N9)</f>
        <v>493.14449689037161</v>
      </c>
      <c r="C9" s="2424">
        <f t="shared" ref="C9" si="50">C10*(1+O9)</f>
        <v>347.21619073020611</v>
      </c>
      <c r="D9" s="2424">
        <f t="shared" ref="D9" si="51">C9</f>
        <v>347.21619073020611</v>
      </c>
      <c r="E9" s="2424">
        <f t="shared" ref="E9" si="52">E10*(1+P9)</f>
        <v>710.55974278763904</v>
      </c>
      <c r="F9" s="2424">
        <f t="shared" ref="F9" si="53">F10*(1+Q9)</f>
        <v>327.94540235306141</v>
      </c>
      <c r="G9" s="3043">
        <v>2020</v>
      </c>
      <c r="H9" s="2425">
        <v>4</v>
      </c>
      <c r="I9" s="2387">
        <v>2.0699999999999998</v>
      </c>
      <c r="J9" s="2387">
        <v>0.37</v>
      </c>
      <c r="K9" s="2387">
        <v>2.35</v>
      </c>
      <c r="L9" s="2388">
        <v>2.69</v>
      </c>
      <c r="M9" s="2410"/>
      <c r="N9" s="2426">
        <f t="shared" ref="N9" si="54">I9/100</f>
        <v>2.07E-2</v>
      </c>
      <c r="O9" s="2411">
        <f t="shared" ref="O9" si="55">J9/100</f>
        <v>3.7000000000000002E-3</v>
      </c>
      <c r="P9" s="2411">
        <f t="shared" ref="P9" si="56">K9/100</f>
        <v>2.35E-2</v>
      </c>
      <c r="Q9" s="2411">
        <f t="shared" ref="Q9" si="57">L9/100</f>
        <v>2.69E-2</v>
      </c>
      <c r="R9" s="2427"/>
      <c r="S9" s="2426"/>
      <c r="T9" s="2411"/>
      <c r="U9" s="2411"/>
      <c r="V9" s="2411"/>
      <c r="W9" s="2428"/>
      <c r="X9" s="2428">
        <f>ROUND(IF(项目基本情况!B6="出让",SUMPRODUCT(PRODUCT(1+N9:N$36)),SUMPRODUCT(PRODUCT(1+N9:N$35))),4)</f>
        <v>1.6034999999999999</v>
      </c>
      <c r="Y9" s="2428">
        <f>ROUND(IF(项目基本情况!B6="出让",SUMPRODUCT(PRODUCT(1+O9:O$36)),SUMPRODUCT(PRODUCT(1+O9:O$35))),4)</f>
        <v>1.3469</v>
      </c>
      <c r="Z9" s="2428">
        <f t="shared" ref="Z9" si="58">Y9</f>
        <v>1.3469</v>
      </c>
      <c r="AA9" s="2428">
        <f>ROUND(IF(项目基本情况!B6="出让",SUMPRODUCT(PRODUCT(1+P9:P$36)),SUMPRODUCT(PRODUCT(1+P9:P$35))),4)</f>
        <v>1.6801999999999999</v>
      </c>
      <c r="AB9" s="2428">
        <f>ROUND(IF(项目基本情况!B6="出让",SUMPRODUCT(PRODUCT(1+Q9:Q$36)),SUMPRODUCT(PRODUCT(1+Q9:Q$35))),4)</f>
        <v>1.4263999999999999</v>
      </c>
      <c r="AC9" s="2428"/>
      <c r="AD9" s="2429">
        <f>ROUND(AVERAGE(I9:I$36)/100,4)</f>
        <v>1.8200000000000001E-2</v>
      </c>
      <c r="AE9" s="2429">
        <f>ROUND(AVERAGE(J9:J$36)/100,4)</f>
        <v>1.1599999999999999E-2</v>
      </c>
      <c r="AF9" s="2429">
        <f t="shared" ref="AF9" si="59">AE9</f>
        <v>1.1599999999999999E-2</v>
      </c>
      <c r="AG9" s="2429">
        <f>ROUND(AVERAGE(K9:K$36)/100,4)</f>
        <v>0.02</v>
      </c>
      <c r="AH9" s="2429">
        <f>ROUND(AVERAGE(L9:L$36)/100,4)</f>
        <v>1.3299999999999999E-2</v>
      </c>
    </row>
    <row r="10" spans="1:34" s="2430" customFormat="1">
      <c r="A10" s="2423" t="s">
        <v>3054</v>
      </c>
      <c r="B10" s="2424">
        <f t="shared" ref="B10" si="60">B11*(1+N10)</f>
        <v>483.1434279321756</v>
      </c>
      <c r="C10" s="2424">
        <f t="shared" ref="C10" si="61">C11*(1+O10)</f>
        <v>345.93622669144776</v>
      </c>
      <c r="D10" s="2424">
        <f t="shared" ref="D10" si="62">C10</f>
        <v>345.93622669144776</v>
      </c>
      <c r="E10" s="2424">
        <f t="shared" ref="E10" si="63">E11*(1+P10)</f>
        <v>694.24498562544113</v>
      </c>
      <c r="F10" s="2424">
        <f t="shared" ref="F10" si="64">F11*(1+Q10)</f>
        <v>319.35475932716082</v>
      </c>
      <c r="G10" s="3040">
        <v>2020</v>
      </c>
      <c r="H10" s="2425">
        <v>3</v>
      </c>
      <c r="I10" s="2387">
        <v>0.36</v>
      </c>
      <c r="J10" s="2387">
        <v>-0.39</v>
      </c>
      <c r="K10" s="2387">
        <v>0.49</v>
      </c>
      <c r="L10" s="2388">
        <v>7.0000000000000007E-2</v>
      </c>
      <c r="M10" s="2410"/>
      <c r="N10" s="2426">
        <f t="shared" ref="N10" si="65">I10/100</f>
        <v>3.5999999999999999E-3</v>
      </c>
      <c r="O10" s="2411">
        <f t="shared" ref="O10" si="66">J10/100</f>
        <v>-3.9000000000000003E-3</v>
      </c>
      <c r="P10" s="2411">
        <f t="shared" ref="P10" si="67">K10/100</f>
        <v>4.8999999999999998E-3</v>
      </c>
      <c r="Q10" s="2411">
        <f t="shared" ref="Q10" si="68">L10/100</f>
        <v>7.000000000000001E-4</v>
      </c>
      <c r="R10" s="2427"/>
      <c r="S10" s="2426"/>
      <c r="T10" s="2411"/>
      <c r="U10" s="2411"/>
      <c r="V10" s="2411"/>
      <c r="W10" s="2428"/>
      <c r="X10" s="2428">
        <f>ROUND(IF(项目基本情况!B7="出让",SUMPRODUCT(PRODUCT(1+N10:N$36)),SUMPRODUCT(PRODUCT(1+N10:N$35))),4)</f>
        <v>1.571</v>
      </c>
      <c r="Y10" s="2428">
        <f>ROUND(IF(项目基本情况!B7="出让",SUMPRODUCT(PRODUCT(1+O10:O$36)),SUMPRODUCT(PRODUCT(1+O10:O$35))),4)</f>
        <v>1.3420000000000001</v>
      </c>
      <c r="Z10" s="2428">
        <f t="shared" ref="Z10" si="69">Y10</f>
        <v>1.3420000000000001</v>
      </c>
      <c r="AA10" s="2428">
        <f>ROUND(IF(项目基本情况!B7="出让",SUMPRODUCT(PRODUCT(1+P10:P$36)),SUMPRODUCT(PRODUCT(1+P10:P$35))),4)</f>
        <v>1.6415999999999999</v>
      </c>
      <c r="AB10" s="2428">
        <f>ROUND(IF(项目基本情况!B7="出让",SUMPRODUCT(PRODUCT(1+Q10:Q$36)),SUMPRODUCT(PRODUCT(1+Q10:Q$35))),4)</f>
        <v>1.389</v>
      </c>
      <c r="AC10" s="2428"/>
      <c r="AD10" s="2429">
        <f>ROUND(AVERAGE(I10:I$36)/100,4)</f>
        <v>1.8100000000000002E-2</v>
      </c>
      <c r="AE10" s="2429">
        <f>ROUND(AVERAGE(J10:J$36)/100,4)</f>
        <v>1.1900000000000001E-2</v>
      </c>
      <c r="AF10" s="2429">
        <f t="shared" ref="AF10" si="70">AE10</f>
        <v>1.1900000000000001E-2</v>
      </c>
      <c r="AG10" s="2429">
        <f>ROUND(AVERAGE(K10:K$36)/100,4)</f>
        <v>1.9900000000000001E-2</v>
      </c>
      <c r="AH10" s="2429">
        <f>ROUND(AVERAGE(L10:L$36)/100,4)</f>
        <v>1.2800000000000001E-2</v>
      </c>
    </row>
    <row r="11" spans="1:34" s="2430" customFormat="1">
      <c r="A11" s="2423" t="s">
        <v>2868</v>
      </c>
      <c r="B11" s="2424">
        <f t="shared" ref="B11" si="71">B12*(1+N11)</f>
        <v>481.4103506697644</v>
      </c>
      <c r="C11" s="2424">
        <f t="shared" ref="C11" si="72">C12*(1+O11)</f>
        <v>347.29066026648707</v>
      </c>
      <c r="D11" s="2424">
        <f t="shared" ref="D11" si="73">C11</f>
        <v>347.29066026648707</v>
      </c>
      <c r="E11" s="2424">
        <f t="shared" ref="E11" si="74">E12*(1+P11)</f>
        <v>690.85977273901995</v>
      </c>
      <c r="F11" s="2424">
        <f t="shared" ref="F11" si="75">F12*(1+Q11)</f>
        <v>319.13136737000184</v>
      </c>
      <c r="G11" s="2414">
        <v>2020</v>
      </c>
      <c r="H11" s="2425">
        <v>2</v>
      </c>
      <c r="I11" s="2387">
        <v>0.31</v>
      </c>
      <c r="J11" s="2387">
        <v>-0.78</v>
      </c>
      <c r="K11" s="2387">
        <v>0.5</v>
      </c>
      <c r="L11" s="2388">
        <v>0.47</v>
      </c>
      <c r="M11" s="2410"/>
      <c r="N11" s="2426">
        <f t="shared" ref="N11" si="76">I11/100</f>
        <v>3.0999999999999999E-3</v>
      </c>
      <c r="O11" s="2411">
        <f t="shared" ref="O11" si="77">J11/100</f>
        <v>-7.8000000000000005E-3</v>
      </c>
      <c r="P11" s="2411">
        <f t="shared" ref="P11" si="78">K11/100</f>
        <v>5.0000000000000001E-3</v>
      </c>
      <c r="Q11" s="2411">
        <f t="shared" ref="Q11" si="79">L11/100</f>
        <v>4.6999999999999993E-3</v>
      </c>
      <c r="R11" s="2427"/>
      <c r="S11" s="2426"/>
      <c r="T11" s="2411"/>
      <c r="U11" s="2411"/>
      <c r="V11" s="2411"/>
      <c r="W11" s="2428"/>
      <c r="X11" s="2428">
        <f>ROUND(IF(项目基本情况!B8="出让",SUMPRODUCT(PRODUCT(1+N11:N$36)),SUMPRODUCT(PRODUCT(1+N11:N$35))),4)</f>
        <v>1.5652999999999999</v>
      </c>
      <c r="Y11" s="2428">
        <f>ROUND(IF(项目基本情况!B8="出让",SUMPRODUCT(PRODUCT(1+O11:O$36)),SUMPRODUCT(PRODUCT(1+O11:O$35))),4)</f>
        <v>1.3472</v>
      </c>
      <c r="Z11" s="2428">
        <f t="shared" ref="Z11" si="80">Y11</f>
        <v>1.3472</v>
      </c>
      <c r="AA11" s="2428">
        <f>ROUND(IF(项目基本情况!B8="出让",SUMPRODUCT(PRODUCT(1+P11:P$36)),SUMPRODUCT(PRODUCT(1+P11:P$35))),4)</f>
        <v>1.6335999999999999</v>
      </c>
      <c r="AB11" s="2428">
        <f>ROUND(IF(项目基本情况!B8="出让",SUMPRODUCT(PRODUCT(1+Q11:Q$36)),SUMPRODUCT(PRODUCT(1+Q11:Q$35))),4)</f>
        <v>1.3880999999999999</v>
      </c>
      <c r="AC11" s="2428"/>
      <c r="AD11" s="2429">
        <f>ROUND(AVERAGE(I11:I$36)/100,4)</f>
        <v>1.8599999999999998E-2</v>
      </c>
      <c r="AE11" s="2429">
        <f>ROUND(AVERAGE(J11:J$36)/100,4)</f>
        <v>1.2500000000000001E-2</v>
      </c>
      <c r="AF11" s="2429">
        <f t="shared" ref="AF11" si="81">AE11</f>
        <v>1.2500000000000001E-2</v>
      </c>
      <c r="AG11" s="2429">
        <f>ROUND(AVERAGE(K11:K$36)/100,4)</f>
        <v>2.0400000000000001E-2</v>
      </c>
      <c r="AH11" s="2429">
        <f>ROUND(AVERAGE(L11:L$36)/100,4)</f>
        <v>1.32E-2</v>
      </c>
    </row>
    <row r="12" spans="1:34" s="2430" customFormat="1">
      <c r="A12" s="2423" t="s">
        <v>2866</v>
      </c>
      <c r="B12" s="2424">
        <f t="shared" ref="B12" si="82">B13*(1+N12)</f>
        <v>479.92259063878413</v>
      </c>
      <c r="C12" s="2424">
        <f t="shared" ref="C12" si="83">C13*(1+O12)</f>
        <v>350.02082268341775</v>
      </c>
      <c r="D12" s="2424">
        <f t="shared" ref="D12" si="84">C12</f>
        <v>350.02082268341775</v>
      </c>
      <c r="E12" s="2424">
        <f t="shared" ref="E12" si="85">E13*(1+P12)</f>
        <v>687.42265944181099</v>
      </c>
      <c r="F12" s="2424">
        <f t="shared" ref="F12" si="86">F13*(1+Q12)</f>
        <v>317.63846657708956</v>
      </c>
      <c r="G12" s="2414">
        <v>2020</v>
      </c>
      <c r="H12" s="2425">
        <v>1</v>
      </c>
      <c r="I12" s="2387">
        <v>0.12</v>
      </c>
      <c r="J12" s="2387">
        <v>-0.4</v>
      </c>
      <c r="K12" s="2387">
        <v>0.21</v>
      </c>
      <c r="L12" s="2388">
        <v>0.27</v>
      </c>
      <c r="M12" s="2410"/>
      <c r="N12" s="2426">
        <f t="shared" ref="N12" si="87">I12/100</f>
        <v>1.1999999999999999E-3</v>
      </c>
      <c r="O12" s="2411">
        <f t="shared" ref="O12" si="88">J12/100</f>
        <v>-4.0000000000000001E-3</v>
      </c>
      <c r="P12" s="2411">
        <f t="shared" ref="P12" si="89">K12/100</f>
        <v>2.0999999999999999E-3</v>
      </c>
      <c r="Q12" s="2411">
        <f t="shared" ref="Q12" si="90">L12/100</f>
        <v>2.7000000000000001E-3</v>
      </c>
      <c r="R12" s="2427"/>
      <c r="S12" s="2426">
        <f>B12/B13-1</f>
        <v>1.2000000000000899E-3</v>
      </c>
      <c r="T12" s="2411">
        <f t="shared" ref="T12" si="91">C12/C13-1</f>
        <v>-4.0000000000000036E-3</v>
      </c>
      <c r="U12" s="2411">
        <f t="shared" ref="U12" si="92">D12/D13-1</f>
        <v>-4.0000000000000036E-3</v>
      </c>
      <c r="V12" s="2411">
        <f t="shared" ref="V12" si="93">E12/E13-1</f>
        <v>2.0999999999999908E-3</v>
      </c>
      <c r="W12" s="2428"/>
      <c r="X12" s="2428">
        <f>ROUND(IF(项目基本情况!B8="出让",SUMPRODUCT(PRODUCT(1+N12:N$36)),SUMPRODUCT(PRODUCT(1+N12:N$35))),4)</f>
        <v>1.5605</v>
      </c>
      <c r="Y12" s="2428">
        <f>ROUND(IF(项目基本情况!B8="出让",SUMPRODUCT(PRODUCT(1+O12:O$36)),SUMPRODUCT(PRODUCT(1+O12:O$35))),4)</f>
        <v>1.3577999999999999</v>
      </c>
      <c r="Z12" s="2428">
        <f t="shared" ref="Z12" si="94">Y12</f>
        <v>1.3577999999999999</v>
      </c>
      <c r="AA12" s="2428">
        <f>ROUND(IF(项目基本情况!B8="出让",SUMPRODUCT(PRODUCT(1+P12:P$36)),SUMPRODUCT(PRODUCT(1+P12:P$35))),4)</f>
        <v>1.6254999999999999</v>
      </c>
      <c r="AB12" s="2428">
        <f>ROUND(IF(项目基本情况!B8="出让",SUMPRODUCT(PRODUCT(1+Q12:Q$36)),SUMPRODUCT(PRODUCT(1+Q12:Q$35))),4)</f>
        <v>1.3815999999999999</v>
      </c>
      <c r="AC12" s="2428"/>
      <c r="AD12" s="2429">
        <f>ROUND(AVERAGE(I12:I$36)/100,4)</f>
        <v>1.9199999999999998E-2</v>
      </c>
      <c r="AE12" s="2429">
        <f>ROUND(AVERAGE(J12:J$36)/100,4)</f>
        <v>1.3299999999999999E-2</v>
      </c>
      <c r="AF12" s="2429">
        <f t="shared" ref="AF12" si="95">AE12</f>
        <v>1.3299999999999999E-2</v>
      </c>
      <c r="AG12" s="2429">
        <f>ROUND(AVERAGE(K12:K$36)/100,4)</f>
        <v>2.1100000000000001E-2</v>
      </c>
      <c r="AH12" s="2429">
        <f>ROUND(AVERAGE(L12:L$36)/100,4)</f>
        <v>1.3599999999999999E-2</v>
      </c>
    </row>
    <row r="13" spans="1:34" s="2430" customFormat="1">
      <c r="A13" s="2423" t="s">
        <v>2865</v>
      </c>
      <c r="B13" s="2424">
        <f t="shared" ref="B13" si="96">B14*(1+N13)</f>
        <v>479.34737379023579</v>
      </c>
      <c r="C13" s="2424">
        <f t="shared" ref="C13" si="97">C14*(1+O13)</f>
        <v>351.4265287986122</v>
      </c>
      <c r="D13" s="2424">
        <f t="shared" ref="D13" si="98">C13</f>
        <v>351.4265287986122</v>
      </c>
      <c r="E13" s="2424">
        <f t="shared" ref="E13" si="99">E14*(1+P13)</f>
        <v>685.98209703803116</v>
      </c>
      <c r="F13" s="2424">
        <f t="shared" ref="F13" si="100">F14*(1+Q13)</f>
        <v>316.78315206651001</v>
      </c>
      <c r="G13" s="2414">
        <v>2019</v>
      </c>
      <c r="H13" s="2425">
        <v>4</v>
      </c>
      <c r="I13" s="2425">
        <v>0.45</v>
      </c>
      <c r="J13" s="2425">
        <v>-0.12</v>
      </c>
      <c r="K13" s="2425">
        <v>0.54</v>
      </c>
      <c r="L13" s="2431">
        <v>0.48</v>
      </c>
      <c r="M13" s="2410"/>
      <c r="N13" s="2426">
        <f t="shared" ref="N13:N18" si="101">I13/100</f>
        <v>4.5000000000000005E-3</v>
      </c>
      <c r="O13" s="2411">
        <f t="shared" ref="O13" si="102">J13/100</f>
        <v>-1.1999999999999999E-3</v>
      </c>
      <c r="P13" s="2411">
        <f t="shared" ref="P13" si="103">K13/100</f>
        <v>5.4000000000000003E-3</v>
      </c>
      <c r="Q13" s="2411">
        <f t="shared" ref="Q13" si="104">L13/100</f>
        <v>4.7999999999999996E-3</v>
      </c>
      <c r="R13" s="2427"/>
      <c r="S13" s="2426"/>
      <c r="T13" s="2411"/>
      <c r="U13" s="2411"/>
      <c r="V13" s="2411"/>
      <c r="W13" s="2428"/>
      <c r="X13" s="2428">
        <f>ROUND(IF(项目基本情况!B8="出让",SUMPRODUCT(PRODUCT(1+N13:N$36)),SUMPRODUCT(PRODUCT(1+N13:N$35))),4)</f>
        <v>1.5586</v>
      </c>
      <c r="Y13" s="2428">
        <f>ROUND(IF(项目基本情况!B8="出让",SUMPRODUCT(PRODUCT(1+O13:O$36)),SUMPRODUCT(PRODUCT(1+O13:O$35))),4)</f>
        <v>1.3633</v>
      </c>
      <c r="Z13" s="2428">
        <f t="shared" ref="Z13" si="105">Y13</f>
        <v>1.3633</v>
      </c>
      <c r="AA13" s="2428">
        <f>ROUND(IF(项目基本情况!B8="出让",SUMPRODUCT(PRODUCT(1+P13:P$36)),SUMPRODUCT(PRODUCT(1+P13:P$35))),4)</f>
        <v>1.6221000000000001</v>
      </c>
      <c r="AB13" s="2428">
        <f>ROUND(IF(项目基本情况!B8="出让",SUMPRODUCT(PRODUCT(1+Q13:Q$36)),SUMPRODUCT(PRODUCT(1+Q13:Q$35))),4)</f>
        <v>1.3777999999999999</v>
      </c>
      <c r="AC13" s="2428"/>
      <c r="AD13" s="2429">
        <f>ROUND(AVERAGE(I13:I$36)/100,4)</f>
        <v>0.02</v>
      </c>
      <c r="AE13" s="2429">
        <f>ROUND(AVERAGE(J13:J$36)/100,4)</f>
        <v>1.4E-2</v>
      </c>
      <c r="AF13" s="2429">
        <f t="shared" ref="AF13" si="106">AE13</f>
        <v>1.4E-2</v>
      </c>
      <c r="AG13" s="2429">
        <f>ROUND(AVERAGE(K13:K$36)/100,4)</f>
        <v>2.1899999999999999E-2</v>
      </c>
      <c r="AH13" s="2429">
        <f>ROUND(AVERAGE(L13:L$36)/100,4)</f>
        <v>1.4E-2</v>
      </c>
    </row>
    <row r="14" spans="1:34" s="2430" customFormat="1" ht="13.5" thickBot="1">
      <c r="A14" s="2423" t="s">
        <v>2864</v>
      </c>
      <c r="B14" s="2424">
        <f t="shared" ref="B14" si="107">B15*(1+N14)</f>
        <v>477.19997390765138</v>
      </c>
      <c r="C14" s="2424">
        <f t="shared" ref="C14" si="108">C15*(1+O14)</f>
        <v>351.84874729536665</v>
      </c>
      <c r="D14" s="2424">
        <f t="shared" ref="D14" si="109">C14</f>
        <v>351.84874729536665</v>
      </c>
      <c r="E14" s="2424">
        <f t="shared" ref="E14" si="110">E15*(1+P14)</f>
        <v>682.29768951465201</v>
      </c>
      <c r="F14" s="2424">
        <f t="shared" ref="F14" si="111">F15*(1+Q14)</f>
        <v>315.26985675409043</v>
      </c>
      <c r="G14" s="2414">
        <v>2019</v>
      </c>
      <c r="H14" s="2425">
        <v>3</v>
      </c>
      <c r="I14" s="2425">
        <v>0.61</v>
      </c>
      <c r="J14" s="2425">
        <v>0.67</v>
      </c>
      <c r="K14" s="2425">
        <v>0.6</v>
      </c>
      <c r="L14" s="2431">
        <v>1.03</v>
      </c>
      <c r="M14" s="2410"/>
      <c r="N14" s="2426">
        <f t="shared" si="101"/>
        <v>6.0999999999999995E-3</v>
      </c>
      <c r="O14" s="2411">
        <f t="shared" ref="O14" si="112">J14/100</f>
        <v>6.7000000000000002E-3</v>
      </c>
      <c r="P14" s="2411">
        <f t="shared" ref="P14" si="113">K14/100</f>
        <v>6.0000000000000001E-3</v>
      </c>
      <c r="Q14" s="2411">
        <f t="shared" ref="Q14" si="114">L14/100</f>
        <v>1.03E-2</v>
      </c>
      <c r="R14" s="2427"/>
      <c r="S14" s="2426"/>
      <c r="T14" s="2411"/>
      <c r="U14" s="2411"/>
      <c r="V14" s="2411"/>
      <c r="W14" s="2428"/>
      <c r="X14" s="2428">
        <f>ROUND(IF(项目基本情况!B8="出让",SUMPRODUCT(PRODUCT(1+N14:N$36)),SUMPRODUCT(PRODUCT(1+N14:N$35))),4)</f>
        <v>1.5516000000000001</v>
      </c>
      <c r="Y14" s="2428">
        <f>ROUND(IF(项目基本情况!B8="出让",SUMPRODUCT(PRODUCT(1+O14:O$36)),SUMPRODUCT(PRODUCT(1+O14:O$35))),4)</f>
        <v>1.3649</v>
      </c>
      <c r="Z14" s="2428">
        <f t="shared" ref="Z14" si="115">Y14</f>
        <v>1.3649</v>
      </c>
      <c r="AA14" s="2428">
        <f>ROUND(IF(项目基本情况!B8="出让",SUMPRODUCT(PRODUCT(1+P14:P$36)),SUMPRODUCT(PRODUCT(1+P14:P$35))),4)</f>
        <v>1.6133999999999999</v>
      </c>
      <c r="AB14" s="2428">
        <f>ROUND(IF(项目基本情况!B8="出让",SUMPRODUCT(PRODUCT(1+Q14:Q$36)),SUMPRODUCT(PRODUCT(1+Q14:Q$35))),4)</f>
        <v>1.3713</v>
      </c>
      <c r="AC14" s="2428"/>
      <c r="AD14" s="2429">
        <f>ROUND(AVERAGE(I14:I$36)/100,4)</f>
        <v>2.07E-2</v>
      </c>
      <c r="AE14" s="2429">
        <f>ROUND(AVERAGE(J14:J$36)/100,4)</f>
        <v>1.47E-2</v>
      </c>
      <c r="AF14" s="2429">
        <f t="shared" ref="AF14" si="116">AE14</f>
        <v>1.47E-2</v>
      </c>
      <c r="AG14" s="2429">
        <f>ROUND(AVERAGE(K14:K$36)/100,4)</f>
        <v>2.2599999999999999E-2</v>
      </c>
      <c r="AH14" s="2429">
        <f>ROUND(AVERAGE(L14:L$36)/100,4)</f>
        <v>1.44E-2</v>
      </c>
    </row>
    <row r="15" spans="1:34" s="2430" customFormat="1">
      <c r="A15" s="2423" t="s">
        <v>2862</v>
      </c>
      <c r="B15" s="2424">
        <f t="shared" ref="B15" si="117">B16*(1+N15)</f>
        <v>474.30670301923408</v>
      </c>
      <c r="C15" s="2424">
        <f t="shared" ref="C15" si="118">C16*(1+O15)</f>
        <v>349.50705005996491</v>
      </c>
      <c r="D15" s="2424">
        <f t="shared" ref="D15" si="119">C15</f>
        <v>349.50705005996491</v>
      </c>
      <c r="E15" s="2424">
        <f t="shared" ref="E15" si="120">E16*(1+P15)</f>
        <v>678.22831959706957</v>
      </c>
      <c r="F15" s="2424">
        <f t="shared" ref="F15" si="121">F16*(1+Q15)</f>
        <v>312.0556832169558</v>
      </c>
      <c r="G15" s="2414">
        <v>2019</v>
      </c>
      <c r="H15" s="2432">
        <v>2</v>
      </c>
      <c r="I15" s="2432">
        <v>1.53</v>
      </c>
      <c r="J15" s="2432">
        <v>1.01</v>
      </c>
      <c r="K15" s="2432">
        <v>1.62</v>
      </c>
      <c r="L15" s="2433">
        <v>1.25</v>
      </c>
      <c r="M15" s="2410"/>
      <c r="N15" s="2426">
        <f t="shared" si="101"/>
        <v>1.5300000000000001E-2</v>
      </c>
      <c r="O15" s="2411">
        <f t="shared" ref="O15" si="122">J15/100</f>
        <v>1.01E-2</v>
      </c>
      <c r="P15" s="2411">
        <f t="shared" ref="P15" si="123">K15/100</f>
        <v>1.6200000000000003E-2</v>
      </c>
      <c r="Q15" s="2411">
        <f t="shared" ref="Q15" si="124">L15/100</f>
        <v>1.2500000000000001E-2</v>
      </c>
      <c r="R15" s="2427"/>
      <c r="S15" s="2426"/>
      <c r="T15" s="2411"/>
      <c r="U15" s="2411"/>
      <c r="V15" s="2411"/>
      <c r="W15" s="2428"/>
      <c r="X15" s="2428">
        <f>ROUND(IF(项目基本情况!B8="出让",SUMPRODUCT(PRODUCT(1+N15:N$36)),SUMPRODUCT(PRODUCT(1+N15:N$35))),4)</f>
        <v>1.5422</v>
      </c>
      <c r="Y15" s="2428">
        <f>ROUND(IF(项目基本情况!B8="出让",SUMPRODUCT(PRODUCT(1+O15:O$36)),SUMPRODUCT(PRODUCT(1+O15:O$35))),4)</f>
        <v>1.3557999999999999</v>
      </c>
      <c r="Z15" s="2428">
        <f t="shared" ref="Z15" si="125">Y15</f>
        <v>1.3557999999999999</v>
      </c>
      <c r="AA15" s="2428">
        <f>ROUND(IF(项目基本情况!B8="出让",SUMPRODUCT(PRODUCT(1+P15:P$36)),SUMPRODUCT(PRODUCT(1+P15:P$35))),4)</f>
        <v>1.6036999999999999</v>
      </c>
      <c r="AB15" s="2428">
        <f>ROUND(IF(项目基本情况!B8="出让",SUMPRODUCT(PRODUCT(1+Q15:Q$36)),SUMPRODUCT(PRODUCT(1+Q15:Q$35))),4)</f>
        <v>1.3573</v>
      </c>
      <c r="AC15" s="2428"/>
      <c r="AD15" s="2429">
        <f>ROUND(AVERAGE(I15:I$36)/100,4)</f>
        <v>2.1299999999999999E-2</v>
      </c>
      <c r="AE15" s="2429">
        <f>ROUND(AVERAGE(J15:J$36)/100,4)</f>
        <v>1.4999999999999999E-2</v>
      </c>
      <c r="AF15" s="2429">
        <f t="shared" ref="AF15" si="126">AE15</f>
        <v>1.4999999999999999E-2</v>
      </c>
      <c r="AG15" s="2429">
        <f>ROUND(AVERAGE(K15:K$36)/100,4)</f>
        <v>2.3300000000000001E-2</v>
      </c>
      <c r="AH15" s="2429">
        <f>ROUND(AVERAGE(L15:L$36)/100,4)</f>
        <v>1.46E-2</v>
      </c>
    </row>
    <row r="16" spans="1:34" s="2430" customFormat="1" ht="13.5" thickBot="1">
      <c r="A16" s="2423" t="s">
        <v>2860</v>
      </c>
      <c r="B16" s="2424">
        <f t="shared" ref="B16" si="127">B17*(1+N16)</f>
        <v>467.15916775261894</v>
      </c>
      <c r="C16" s="2424">
        <f t="shared" ref="C16" si="128">C17*(1+O16)</f>
        <v>346.01232557169084</v>
      </c>
      <c r="D16" s="2424">
        <f t="shared" ref="D16" si="129">C16</f>
        <v>346.01232557169084</v>
      </c>
      <c r="E16" s="2424">
        <f t="shared" ref="E16" si="130">E17*(1+P16)</f>
        <v>667.41617752122568</v>
      </c>
      <c r="F16" s="2424">
        <f t="shared" ref="F16" si="131">F17*(1+Q16)</f>
        <v>308.20314391798104</v>
      </c>
      <c r="G16" s="2414">
        <v>2019</v>
      </c>
      <c r="H16" s="2425">
        <v>1</v>
      </c>
      <c r="I16" s="2425">
        <v>0.6</v>
      </c>
      <c r="J16" s="2425">
        <v>0.37</v>
      </c>
      <c r="K16" s="2425">
        <v>0.63</v>
      </c>
      <c r="L16" s="2431">
        <v>1.1299999999999999</v>
      </c>
      <c r="M16" s="2410"/>
      <c r="N16" s="2426">
        <f t="shared" si="101"/>
        <v>6.0000000000000001E-3</v>
      </c>
      <c r="O16" s="2411">
        <f t="shared" ref="O16" si="132">J16/100</f>
        <v>3.7000000000000002E-3</v>
      </c>
      <c r="P16" s="2411">
        <f t="shared" ref="P16" si="133">K16/100</f>
        <v>6.3E-3</v>
      </c>
      <c r="Q16" s="2411">
        <f t="shared" ref="Q16" si="134">L16/100</f>
        <v>1.1299999999999999E-2</v>
      </c>
      <c r="R16" s="2427"/>
      <c r="S16" s="2426">
        <f>B16/B17-1</f>
        <v>6.0000000000000053E-3</v>
      </c>
      <c r="T16" s="2411">
        <f t="shared" ref="T16" si="135">C16/C17-1</f>
        <v>3.7000000000000366E-3</v>
      </c>
      <c r="U16" s="2411">
        <f t="shared" ref="U16" si="136">D16/D17-1</f>
        <v>3.7000000000000366E-3</v>
      </c>
      <c r="V16" s="2411">
        <f t="shared" ref="V16" si="137">E16/E17-1</f>
        <v>6.2999999999999723E-3</v>
      </c>
      <c r="W16" s="2428"/>
      <c r="X16" s="2428">
        <f>ROUND(IF(项目基本情况!B8="出让",SUMPRODUCT(PRODUCT(1+N16:N$36)),SUMPRODUCT(PRODUCT(1+N16:N$35))),4)</f>
        <v>1.5189999999999999</v>
      </c>
      <c r="Y16" s="2428">
        <f>ROUND(IF(项目基本情况!B8="出让",SUMPRODUCT(PRODUCT(1+O16:O$36)),SUMPRODUCT(PRODUCT(1+O16:O$35))),4)</f>
        <v>1.3423</v>
      </c>
      <c r="Z16" s="2428">
        <f t="shared" ref="Z16" si="138">Y16</f>
        <v>1.3423</v>
      </c>
      <c r="AA16" s="2428">
        <f>ROUND(IF(项目基本情况!B8="出让",SUMPRODUCT(PRODUCT(1+P16:P$36)),SUMPRODUCT(PRODUCT(1+P16:P$35))),4)</f>
        <v>1.5782</v>
      </c>
      <c r="AB16" s="2428">
        <f>ROUND(IF(项目基本情况!B8="出让",SUMPRODUCT(PRODUCT(1+Q16:Q$36)),SUMPRODUCT(PRODUCT(1+Q16:Q$35))),4)</f>
        <v>1.3405</v>
      </c>
      <c r="AC16" s="2428"/>
      <c r="AD16" s="2429">
        <f>ROUND(AVERAGE(I16:I$36)/100,4)</f>
        <v>2.1600000000000001E-2</v>
      </c>
      <c r="AE16" s="2429">
        <f>ROUND(AVERAGE(J16:J$36)/100,4)</f>
        <v>1.5299999999999999E-2</v>
      </c>
      <c r="AF16" s="2429">
        <f t="shared" ref="AF16" si="139">AE16</f>
        <v>1.5299999999999999E-2</v>
      </c>
      <c r="AG16" s="2429">
        <f>ROUND(AVERAGE(K16:K$36)/100,4)</f>
        <v>2.3699999999999999E-2</v>
      </c>
      <c r="AH16" s="2429">
        <f>ROUND(AVERAGE(L16:L$36)/100,4)</f>
        <v>1.47E-2</v>
      </c>
    </row>
    <row r="17" spans="1:34" s="2430" customFormat="1">
      <c r="A17" s="2423" t="s">
        <v>2863</v>
      </c>
      <c r="B17" s="2434">
        <f t="shared" ref="B17" si="140">B18*(1+N17)</f>
        <v>464.37293017158942</v>
      </c>
      <c r="C17" s="2434">
        <f t="shared" ref="C17" si="141">C18*(1+O17)</f>
        <v>344.73679941385956</v>
      </c>
      <c r="D17" s="2434">
        <f t="shared" ref="D17" si="142">C17</f>
        <v>344.73679941385956</v>
      </c>
      <c r="E17" s="2434">
        <f t="shared" ref="E17" si="143">E18*(1+P17)</f>
        <v>663.2377795103107</v>
      </c>
      <c r="F17" s="2435">
        <f t="shared" ref="F17" si="144">F18*(1+Q17)</f>
        <v>304.75936311478398</v>
      </c>
      <c r="G17" s="3489">
        <v>2018</v>
      </c>
      <c r="H17" s="2432">
        <v>4</v>
      </c>
      <c r="I17" s="2432">
        <v>0.96</v>
      </c>
      <c r="J17" s="2432">
        <v>1.03</v>
      </c>
      <c r="K17" s="2432">
        <v>0.92</v>
      </c>
      <c r="L17" s="2433">
        <v>1.29</v>
      </c>
      <c r="M17" s="2410"/>
      <c r="N17" s="2426">
        <f t="shared" si="101"/>
        <v>9.5999999999999992E-3</v>
      </c>
      <c r="O17" s="2411">
        <f t="shared" ref="O17" si="145">J17/100</f>
        <v>1.03E-2</v>
      </c>
      <c r="P17" s="2411">
        <f t="shared" ref="P17" si="146">K17/100</f>
        <v>9.1999999999999998E-3</v>
      </c>
      <c r="Q17" s="2411">
        <f t="shared" ref="Q17" si="147">L17/100</f>
        <v>1.29E-2</v>
      </c>
      <c r="R17" s="2427"/>
      <c r="S17" s="2426"/>
      <c r="T17" s="2411"/>
      <c r="U17" s="2411"/>
      <c r="V17" s="2411"/>
      <c r="W17" s="2428"/>
      <c r="X17" s="2428">
        <f>ROUND(SUMPRODUCT(PRODUCT(1+N17:N$35)),4)</f>
        <v>1.5099</v>
      </c>
      <c r="Y17" s="2428">
        <f>ROUND(SUMPRODUCT(PRODUCT(1+O17:O$35)),4)</f>
        <v>1.3372999999999999</v>
      </c>
      <c r="Z17" s="2428">
        <f t="shared" ref="Z17" si="148">Y17</f>
        <v>1.3372999999999999</v>
      </c>
      <c r="AA17" s="2428">
        <f>ROUND(SUMPRODUCT(PRODUCT(1+P17:P$35)),4)</f>
        <v>1.5683</v>
      </c>
      <c r="AB17" s="2428">
        <f>ROUND(SUMPRODUCT(PRODUCT(1+Q17:Q$35)),4)</f>
        <v>1.3255999999999999</v>
      </c>
      <c r="AC17" s="2428"/>
      <c r="AD17" s="2429">
        <f>ROUND(AVERAGE(I17:I$36)/100,4)</f>
        <v>2.24E-2</v>
      </c>
      <c r="AE17" s="2429">
        <f>ROUND(AVERAGE(J17:J$36)/100,4)</f>
        <v>1.5800000000000002E-2</v>
      </c>
      <c r="AF17" s="2429">
        <f t="shared" ref="AF17" si="149">AE17</f>
        <v>1.5800000000000002E-2</v>
      </c>
      <c r="AG17" s="2429">
        <f>ROUND(AVERAGE(K17:K$36)/100,4)</f>
        <v>2.4500000000000001E-2</v>
      </c>
      <c r="AH17" s="2429">
        <f>ROUND(AVERAGE(L17:L$36)/100,4)</f>
        <v>1.49E-2</v>
      </c>
    </row>
    <row r="18" spans="1:34" s="2430" customFormat="1" ht="14.45" customHeight="1">
      <c r="A18" s="2423" t="s">
        <v>2858</v>
      </c>
      <c r="B18" s="2424">
        <f t="shared" ref="B18" si="150">B19*(1+N18)</f>
        <v>459.95733971036987</v>
      </c>
      <c r="C18" s="2424">
        <f t="shared" ref="C18" si="151">C19*(1+O18)</f>
        <v>341.22221064422405</v>
      </c>
      <c r="D18" s="2424">
        <f t="shared" ref="D18" si="152">C18</f>
        <v>341.22221064422405</v>
      </c>
      <c r="E18" s="2424">
        <f t="shared" ref="E18" si="153">E19*(1+P18)</f>
        <v>657.19161663724799</v>
      </c>
      <c r="F18" s="2424">
        <f t="shared" ref="F18" si="154">F19*(1+Q18)</f>
        <v>300.87803644464805</v>
      </c>
      <c r="G18" s="3489"/>
      <c r="H18" s="2425">
        <v>3</v>
      </c>
      <c r="I18" s="2425">
        <v>1.51</v>
      </c>
      <c r="J18" s="2425">
        <v>1.41</v>
      </c>
      <c r="K18" s="2425">
        <v>1.52</v>
      </c>
      <c r="L18" s="2431">
        <v>1.74</v>
      </c>
      <c r="M18" s="2410"/>
      <c r="N18" s="2426">
        <f t="shared" si="101"/>
        <v>1.5100000000000001E-2</v>
      </c>
      <c r="O18" s="2411">
        <f t="shared" ref="O18" si="155">J18/100</f>
        <v>1.41E-2</v>
      </c>
      <c r="P18" s="2411">
        <f t="shared" ref="P18" si="156">K18/100</f>
        <v>1.52E-2</v>
      </c>
      <c r="Q18" s="2411">
        <f t="shared" ref="Q18" si="157">L18/100</f>
        <v>1.7399999999999999E-2</v>
      </c>
      <c r="R18" s="2427"/>
      <c r="S18" s="2426"/>
      <c r="T18" s="2411"/>
      <c r="U18" s="2411"/>
      <c r="V18" s="2411"/>
      <c r="W18" s="2428"/>
      <c r="X18" s="2428">
        <f>ROUND(SUMPRODUCT(PRODUCT(1+N18:N$35)),4)</f>
        <v>1.4956</v>
      </c>
      <c r="Y18" s="2428">
        <f>ROUND(SUMPRODUCT(PRODUCT(1+O18:O$35)),4)</f>
        <v>1.3237000000000001</v>
      </c>
      <c r="Z18" s="2428">
        <f t="shared" ref="Z18" si="158">Y18</f>
        <v>1.3237000000000001</v>
      </c>
      <c r="AA18" s="2428">
        <f>ROUND(SUMPRODUCT(PRODUCT(1+P18:P$35)),4)</f>
        <v>1.554</v>
      </c>
      <c r="AB18" s="2428">
        <f>ROUND(SUMPRODUCT(PRODUCT(1+Q18:Q$35)),4)</f>
        <v>1.3087</v>
      </c>
      <c r="AC18" s="2428"/>
      <c r="AD18" s="2429">
        <f>ROUND(AVERAGE(I18:I$36)/100,4)</f>
        <v>2.3099999999999999E-2</v>
      </c>
      <c r="AE18" s="2429">
        <f>ROUND(AVERAGE(J18:J$36)/100,4)</f>
        <v>1.61E-2</v>
      </c>
      <c r="AF18" s="2429">
        <f t="shared" ref="AF18" si="159">AE18</f>
        <v>1.61E-2</v>
      </c>
      <c r="AG18" s="2429">
        <f>ROUND(AVERAGE(K18:K$36)/100,4)</f>
        <v>2.53E-2</v>
      </c>
      <c r="AH18" s="2429">
        <f>ROUND(AVERAGE(L18:L$36)/100,4)</f>
        <v>1.4999999999999999E-2</v>
      </c>
    </row>
    <row r="19" spans="1:34" s="2430" customFormat="1" ht="14.45" customHeight="1">
      <c r="A19" s="2423" t="s">
        <v>2857</v>
      </c>
      <c r="B19" s="2424">
        <f t="shared" ref="B19" si="160">B20*(1+N19)</f>
        <v>453.11529869999993</v>
      </c>
      <c r="C19" s="2424">
        <f t="shared" ref="C19" si="161">C20*(1+O19)</f>
        <v>336.47787264000004</v>
      </c>
      <c r="D19" s="2424">
        <f t="shared" ref="D19" si="162">C19</f>
        <v>336.47787264000004</v>
      </c>
      <c r="E19" s="2424">
        <f t="shared" ref="E19" si="163">E20*(1+P19)</f>
        <v>647.35186823999993</v>
      </c>
      <c r="F19" s="2424">
        <f t="shared" ref="F19" si="164">F20*(1+Q19)</f>
        <v>295.73229452000004</v>
      </c>
      <c r="G19" s="3489"/>
      <c r="H19" s="2436">
        <v>2</v>
      </c>
      <c r="I19" s="2436">
        <v>1.49</v>
      </c>
      <c r="J19" s="2436">
        <v>0.96</v>
      </c>
      <c r="K19" s="2436">
        <v>1.58</v>
      </c>
      <c r="L19" s="2437">
        <v>2.44</v>
      </c>
      <c r="M19" s="2410"/>
      <c r="N19" s="2426">
        <f t="shared" ref="N19" si="165">I19/100</f>
        <v>1.49E-2</v>
      </c>
      <c r="O19" s="2411">
        <f t="shared" ref="O19" si="166">J19/100</f>
        <v>9.5999999999999992E-3</v>
      </c>
      <c r="P19" s="2411">
        <f t="shared" ref="P19" si="167">K19/100</f>
        <v>1.5800000000000002E-2</v>
      </c>
      <c r="Q19" s="2411">
        <f t="shared" ref="Q19" si="168">L19/100</f>
        <v>2.4399999999999998E-2</v>
      </c>
      <c r="R19" s="2427"/>
      <c r="S19" s="2426"/>
      <c r="T19" s="2411"/>
      <c r="U19" s="2411"/>
      <c r="V19" s="2411"/>
      <c r="W19" s="2428"/>
      <c r="X19" s="2428">
        <f>ROUND(SUMPRODUCT(PRODUCT(1+N19:N$35)),4)</f>
        <v>1.4733000000000001</v>
      </c>
      <c r="Y19" s="2428">
        <f>ROUND(SUMPRODUCT(PRODUCT(1+O19:O$35)),4)</f>
        <v>1.3052999999999999</v>
      </c>
      <c r="Z19" s="2428">
        <f t="shared" ref="Z19" si="169">Y19</f>
        <v>1.3052999999999999</v>
      </c>
      <c r="AA19" s="2428">
        <f>ROUND(SUMPRODUCT(PRODUCT(1+P19:P$35)),4)</f>
        <v>1.5306999999999999</v>
      </c>
      <c r="AB19" s="2428">
        <f>ROUND(SUMPRODUCT(PRODUCT(1+Q19:Q$35)),4)</f>
        <v>1.2863</v>
      </c>
      <c r="AC19" s="2428"/>
      <c r="AD19" s="2429">
        <f>ROUND(AVERAGE(I19:I$36)/100,4)</f>
        <v>2.35E-2</v>
      </c>
      <c r="AE19" s="2429">
        <f>ROUND(AVERAGE(J19:J$36)/100,4)</f>
        <v>1.6199999999999999E-2</v>
      </c>
      <c r="AF19" s="2429">
        <f t="shared" ref="AF19" si="170">AE19</f>
        <v>1.6199999999999999E-2</v>
      </c>
      <c r="AG19" s="2429">
        <f>ROUND(AVERAGE(K19:K$36)/100,4)</f>
        <v>2.5899999999999999E-2</v>
      </c>
      <c r="AH19" s="2429">
        <f>ROUND(AVERAGE(L19:L$36)/100,4)</f>
        <v>1.49E-2</v>
      </c>
    </row>
    <row r="20" spans="1:34" s="2430" customFormat="1" ht="15" customHeight="1" thickBot="1">
      <c r="A20" s="2423" t="s">
        <v>2850</v>
      </c>
      <c r="B20" s="2424">
        <f t="shared" ref="B20" si="171">B21*(1+N20)</f>
        <v>446.46299999999997</v>
      </c>
      <c r="C20" s="2424">
        <f t="shared" ref="C20" si="172">C21*(1+O20)</f>
        <v>333.27840000000003</v>
      </c>
      <c r="D20" s="2424">
        <f t="shared" ref="D20" si="173">C20</f>
        <v>333.27840000000003</v>
      </c>
      <c r="E20" s="2424">
        <f t="shared" ref="E20" si="174">E21*(1+P20)</f>
        <v>637.28279999999995</v>
      </c>
      <c r="F20" s="2424">
        <f t="shared" ref="F20" si="175">F21*(1+Q20)</f>
        <v>288.68830000000003</v>
      </c>
      <c r="G20" s="3498"/>
      <c r="H20" s="2425">
        <v>1</v>
      </c>
      <c r="I20" s="2425">
        <v>1.7</v>
      </c>
      <c r="J20" s="2425">
        <v>1.92</v>
      </c>
      <c r="K20" s="2425">
        <v>1.64</v>
      </c>
      <c r="L20" s="2431">
        <v>2.0099999999999998</v>
      </c>
      <c r="M20" s="2410"/>
      <c r="N20" s="2426">
        <f t="shared" ref="N20:N25" si="176">I20/100</f>
        <v>1.7000000000000001E-2</v>
      </c>
      <c r="O20" s="2411">
        <f t="shared" ref="O20" si="177">J20/100</f>
        <v>1.9199999999999998E-2</v>
      </c>
      <c r="P20" s="2411">
        <f t="shared" ref="P20" si="178">K20/100</f>
        <v>1.6399999999999998E-2</v>
      </c>
      <c r="Q20" s="2411">
        <f t="shared" ref="Q20" si="179">L20/100</f>
        <v>2.0099999999999996E-2</v>
      </c>
      <c r="R20" s="2427"/>
      <c r="S20" s="2426">
        <f>B20/B21-1</f>
        <v>1.6999999999999904E-2</v>
      </c>
      <c r="T20" s="2411">
        <f t="shared" ref="T20" si="180">C20/C21-1</f>
        <v>1.9200000000000106E-2</v>
      </c>
      <c r="U20" s="2411">
        <f t="shared" ref="U20" si="181">D20/D21-1</f>
        <v>1.9200000000000106E-2</v>
      </c>
      <c r="V20" s="2411">
        <f t="shared" ref="V20" si="182">E20/E21-1</f>
        <v>1.639999999999997E-2</v>
      </c>
      <c r="W20" s="2428"/>
      <c r="X20" s="2428">
        <f>ROUND(SUMPRODUCT(PRODUCT(1+N20:N$35)),4)</f>
        <v>1.4517</v>
      </c>
      <c r="Y20" s="2428">
        <f>ROUND(SUMPRODUCT(PRODUCT(1+O20:O$35)),4)</f>
        <v>1.2928999999999999</v>
      </c>
      <c r="Z20" s="2428">
        <f t="shared" ref="Z20" si="183">Y20</f>
        <v>1.2928999999999999</v>
      </c>
      <c r="AA20" s="2428">
        <f>ROUND(SUMPRODUCT(PRODUCT(1+P20:P$35)),4)</f>
        <v>1.5068999999999999</v>
      </c>
      <c r="AB20" s="2428">
        <f>ROUND(SUMPRODUCT(PRODUCT(1+Q20:Q$35)),4)</f>
        <v>1.2557</v>
      </c>
      <c r="AC20" s="2428"/>
      <c r="AD20" s="2429">
        <f>ROUND(AVERAGE(I20:I$36)/100,4)</f>
        <v>2.4E-2</v>
      </c>
      <c r="AE20" s="2429">
        <f>ROUND(AVERAGE(J20:J$36)/100,4)</f>
        <v>1.66E-2</v>
      </c>
      <c r="AF20" s="2429">
        <f t="shared" ref="AF20" si="184">AE20</f>
        <v>1.66E-2</v>
      </c>
      <c r="AG20" s="2429">
        <f>ROUND(AVERAGE(K20:K$36)/100,4)</f>
        <v>2.6499999999999999E-2</v>
      </c>
      <c r="AH20" s="2429">
        <f>ROUND(AVERAGE(L20:L$36)/100,4)</f>
        <v>1.43E-2</v>
      </c>
    </row>
    <row r="21" spans="1:34">
      <c r="A21" s="2423" t="s">
        <v>2848</v>
      </c>
      <c r="B21" s="2438">
        <v>439</v>
      </c>
      <c r="C21" s="2438">
        <v>327</v>
      </c>
      <c r="D21" s="2438">
        <f>C21</f>
        <v>327</v>
      </c>
      <c r="E21" s="2438">
        <v>627</v>
      </c>
      <c r="F21" s="2439">
        <v>283</v>
      </c>
      <c r="G21" s="3494">
        <v>2017</v>
      </c>
      <c r="H21" s="2432">
        <v>4</v>
      </c>
      <c r="I21" s="2432">
        <v>1.71</v>
      </c>
      <c r="J21" s="2432">
        <v>1.78</v>
      </c>
      <c r="K21" s="2432">
        <v>1.71</v>
      </c>
      <c r="L21" s="2433">
        <v>1.43</v>
      </c>
      <c r="N21" s="2426">
        <f t="shared" si="176"/>
        <v>1.7100000000000001E-2</v>
      </c>
      <c r="O21" s="2411">
        <f t="shared" ref="O21" si="185">J21/100</f>
        <v>1.78E-2</v>
      </c>
      <c r="P21" s="2411">
        <f t="shared" ref="P21" si="186">K21/100</f>
        <v>1.7100000000000001E-2</v>
      </c>
      <c r="Q21" s="2411">
        <f t="shared" ref="Q21" si="187">L21/100</f>
        <v>1.43E-2</v>
      </c>
      <c r="R21" s="2427"/>
      <c r="S21" s="2440"/>
      <c r="T21" s="2441"/>
      <c r="U21" s="2441"/>
      <c r="V21" s="2441"/>
      <c r="X21" s="2410">
        <f>ROUND(SUMPRODUCT(PRODUCT(1+N21:N$35)),4)</f>
        <v>1.4274</v>
      </c>
      <c r="Y21" s="2410">
        <f>ROUND(SUMPRODUCT(PRODUCT(1+O21:O$35)),4)</f>
        <v>1.2685</v>
      </c>
      <c r="Z21" s="2410">
        <f t="shared" si="0"/>
        <v>1.2685</v>
      </c>
      <c r="AA21" s="2410">
        <f>ROUND(SUMPRODUCT(PRODUCT(1+P21:P$35)),4)</f>
        <v>1.4825999999999999</v>
      </c>
      <c r="AB21" s="2410">
        <f>ROUND(SUMPRODUCT(PRODUCT(1+Q21:Q$35)),4)</f>
        <v>1.2309000000000001</v>
      </c>
      <c r="AD21" s="2411">
        <f>ROUND(AVERAGE(I21:I$36)/100,4)</f>
        <v>2.4500000000000001E-2</v>
      </c>
      <c r="AE21" s="2411">
        <f>ROUND(AVERAGE(J21:J$36)/100,4)</f>
        <v>1.6500000000000001E-2</v>
      </c>
      <c r="AF21" s="2411">
        <f t="shared" si="1"/>
        <v>1.6500000000000001E-2</v>
      </c>
      <c r="AG21" s="2411">
        <f>ROUND(AVERAGE(K21:K$36)/100,4)</f>
        <v>2.7099999999999999E-2</v>
      </c>
      <c r="AH21" s="2411">
        <f>ROUND(AVERAGE(L21:L$36)/100,4)</f>
        <v>1.3899999999999999E-2</v>
      </c>
    </row>
    <row r="22" spans="1:34" s="2430" customFormat="1" ht="14.45" customHeight="1">
      <c r="A22" s="2423" t="s">
        <v>2849</v>
      </c>
      <c r="B22" s="2424">
        <f t="shared" ref="B22:B23" si="188">B23*(1+N22)</f>
        <v>431.80730811680002</v>
      </c>
      <c r="C22" s="2424">
        <f t="shared" ref="C22:C23" si="189">C23*(1+O22)</f>
        <v>320.57880516480003</v>
      </c>
      <c r="D22" s="2424">
        <f t="shared" ref="D22:D23" si="190">C22</f>
        <v>320.57880516480003</v>
      </c>
      <c r="E22" s="2424">
        <f t="shared" ref="E22:E23" si="191">E23*(1+P22)</f>
        <v>615.96110553196797</v>
      </c>
      <c r="F22" s="2424">
        <f t="shared" ref="F22:F23" si="192">F23*(1+Q22)</f>
        <v>279.46777300108801</v>
      </c>
      <c r="G22" s="3489"/>
      <c r="H22" s="2425">
        <v>3</v>
      </c>
      <c r="I22" s="2425">
        <v>2.98</v>
      </c>
      <c r="J22" s="2425">
        <v>2.11</v>
      </c>
      <c r="K22" s="2425">
        <v>3.24</v>
      </c>
      <c r="L22" s="2431">
        <v>1.72</v>
      </c>
      <c r="M22" s="2410"/>
      <c r="N22" s="2426">
        <f t="shared" si="176"/>
        <v>2.98E-2</v>
      </c>
      <c r="O22" s="2411">
        <f t="shared" ref="O22" si="193">J22/100</f>
        <v>2.1099999999999997E-2</v>
      </c>
      <c r="P22" s="2411">
        <f t="shared" ref="P22" si="194">K22/100</f>
        <v>3.2400000000000005E-2</v>
      </c>
      <c r="Q22" s="2411">
        <f t="shared" ref="Q22" si="195">L22/100</f>
        <v>1.72E-2</v>
      </c>
      <c r="R22" s="2427"/>
      <c r="S22" s="2426"/>
      <c r="T22" s="2411"/>
      <c r="U22" s="2411"/>
      <c r="V22" s="2411"/>
      <c r="W22" s="2428"/>
      <c r="X22" s="2428">
        <f>ROUND(SUMPRODUCT(PRODUCT(1+N22:N$35)),4)</f>
        <v>1.4034</v>
      </c>
      <c r="Y22" s="2428">
        <f>ROUND(SUMPRODUCT(PRODUCT(1+O22:O$35)),4)</f>
        <v>1.2463</v>
      </c>
      <c r="Z22" s="2428">
        <f t="shared" si="0"/>
        <v>1.2463</v>
      </c>
      <c r="AA22" s="2428">
        <f>ROUND(SUMPRODUCT(PRODUCT(1+P22:P$35)),4)</f>
        <v>1.4577</v>
      </c>
      <c r="AB22" s="2428">
        <f>ROUND(SUMPRODUCT(PRODUCT(1+Q22:Q$35)),4)</f>
        <v>1.2136</v>
      </c>
      <c r="AC22" s="2428"/>
      <c r="AD22" s="2429">
        <f>ROUND(AVERAGE(I22:I$36)/100,4)</f>
        <v>2.4899999999999999E-2</v>
      </c>
      <c r="AE22" s="2429">
        <f>ROUND(AVERAGE(J22:J$36)/100,4)</f>
        <v>1.6400000000000001E-2</v>
      </c>
      <c r="AF22" s="2429">
        <f t="shared" si="1"/>
        <v>1.6400000000000001E-2</v>
      </c>
      <c r="AG22" s="2429">
        <f>ROUND(AVERAGE(K22:K$36)/100,4)</f>
        <v>2.7799999999999998E-2</v>
      </c>
      <c r="AH22" s="2429">
        <f>ROUND(AVERAGE(L22:L$36)/100,4)</f>
        <v>1.3899999999999999E-2</v>
      </c>
    </row>
    <row r="23" spans="1:34" s="2417" customFormat="1" ht="14.45" customHeight="1">
      <c r="A23" s="2423" t="s">
        <v>1347</v>
      </c>
      <c r="B23" s="2424">
        <f t="shared" si="188"/>
        <v>419.31181600000002</v>
      </c>
      <c r="C23" s="2424">
        <f t="shared" si="189"/>
        <v>313.95436800000004</v>
      </c>
      <c r="D23" s="2424">
        <f t="shared" si="190"/>
        <v>313.95436800000004</v>
      </c>
      <c r="E23" s="2424">
        <f t="shared" si="191"/>
        <v>596.63028431999999</v>
      </c>
      <c r="F23" s="2424">
        <f t="shared" si="192"/>
        <v>274.74220703999998</v>
      </c>
      <c r="G23" s="3489"/>
      <c r="H23" s="2436">
        <v>2</v>
      </c>
      <c r="I23" s="2436">
        <v>3.4</v>
      </c>
      <c r="J23" s="2436">
        <v>2</v>
      </c>
      <c r="K23" s="2436">
        <v>3.82</v>
      </c>
      <c r="L23" s="2437">
        <v>1.68</v>
      </c>
      <c r="M23" s="2410"/>
      <c r="N23" s="2426">
        <f t="shared" si="176"/>
        <v>3.4000000000000002E-2</v>
      </c>
      <c r="O23" s="2411">
        <f t="shared" ref="O23" si="196">J23/100</f>
        <v>0.02</v>
      </c>
      <c r="P23" s="2411">
        <f t="shared" ref="P23" si="197">K23/100</f>
        <v>3.8199999999999998E-2</v>
      </c>
      <c r="Q23" s="2411">
        <f t="shared" ref="Q23" si="198">L23/100</f>
        <v>1.6799999999999999E-2</v>
      </c>
      <c r="R23" s="2427"/>
      <c r="S23" s="2440"/>
      <c r="T23" s="2441"/>
      <c r="U23" s="2441"/>
      <c r="V23" s="2441"/>
      <c r="W23" s="2404"/>
      <c r="X23" s="2428">
        <f>ROUND(SUMPRODUCT(PRODUCT(1+N23:N$35)),4)</f>
        <v>1.3628</v>
      </c>
      <c r="Y23" s="2428">
        <f>ROUND(SUMPRODUCT(PRODUCT(1+O23:O$35)),4)</f>
        <v>1.2205999999999999</v>
      </c>
      <c r="Z23" s="2428">
        <f t="shared" si="0"/>
        <v>1.2205999999999999</v>
      </c>
      <c r="AA23" s="2428">
        <f>ROUND(SUMPRODUCT(PRODUCT(1+P23:P$35)),4)</f>
        <v>1.4118999999999999</v>
      </c>
      <c r="AB23" s="2428">
        <f>ROUND(SUMPRODUCT(PRODUCT(1+Q23:Q$35)),4)</f>
        <v>1.1930000000000001</v>
      </c>
      <c r="AC23" s="2404"/>
      <c r="AD23" s="2429">
        <f>ROUND(AVERAGE(I23:I$36)/100,4)</f>
        <v>2.46E-2</v>
      </c>
      <c r="AE23" s="2429">
        <f>ROUND(AVERAGE(J23:J$36)/100,4)</f>
        <v>1.6E-2</v>
      </c>
      <c r="AF23" s="2429">
        <f t="shared" si="1"/>
        <v>1.6E-2</v>
      </c>
      <c r="AG23" s="2429">
        <f>ROUND(AVERAGE(K23:K$36)/100,4)</f>
        <v>2.75E-2</v>
      </c>
      <c r="AH23" s="2429">
        <f>ROUND(AVERAGE(L23:L$36)/100,4)</f>
        <v>1.37E-2</v>
      </c>
    </row>
    <row r="24" spans="1:34" s="2430" customFormat="1" ht="15" customHeight="1" thickBot="1">
      <c r="A24" s="2423" t="s">
        <v>1128</v>
      </c>
      <c r="B24" s="2424">
        <f>B25*(1+N24)</f>
        <v>405.524</v>
      </c>
      <c r="C24" s="2424">
        <f>C25*(1+O24)</f>
        <v>307.79840000000002</v>
      </c>
      <c r="D24" s="2424">
        <f>C24</f>
        <v>307.79840000000002</v>
      </c>
      <c r="E24" s="2424">
        <f>E25*(1+P24)</f>
        <v>574.67759999999998</v>
      </c>
      <c r="F24" s="2424">
        <f>F25*(1+Q24)</f>
        <v>270.20280000000002</v>
      </c>
      <c r="G24" s="3498"/>
      <c r="H24" s="2425">
        <v>1</v>
      </c>
      <c r="I24" s="2425">
        <v>3.45</v>
      </c>
      <c r="J24" s="2425">
        <v>1.92</v>
      </c>
      <c r="K24" s="2425">
        <v>3.92</v>
      </c>
      <c r="L24" s="2431">
        <v>1.58</v>
      </c>
      <c r="M24" s="2410"/>
      <c r="N24" s="2426">
        <f t="shared" si="176"/>
        <v>3.4500000000000003E-2</v>
      </c>
      <c r="O24" s="2411">
        <f t="shared" ref="O24:Q39" si="199">J24/100</f>
        <v>1.9199999999999998E-2</v>
      </c>
      <c r="P24" s="2411">
        <f t="shared" si="199"/>
        <v>3.9199999999999999E-2</v>
      </c>
      <c r="Q24" s="2411">
        <f t="shared" si="199"/>
        <v>1.5800000000000002E-2</v>
      </c>
      <c r="R24" s="2427"/>
      <c r="S24" s="2426">
        <f>B24/B25-1</f>
        <v>3.4499999999999975E-2</v>
      </c>
      <c r="T24" s="2411">
        <f t="shared" ref="T24:V24" si="200">C24/C25-1</f>
        <v>1.9200000000000106E-2</v>
      </c>
      <c r="U24" s="2411">
        <f t="shared" si="200"/>
        <v>1.9200000000000106E-2</v>
      </c>
      <c r="V24" s="2411">
        <f t="shared" si="200"/>
        <v>3.9199999999999902E-2</v>
      </c>
      <c r="W24" s="2428"/>
      <c r="X24" s="2428">
        <f>ROUND(SUMPRODUCT(PRODUCT(1+N24:N$35)),4)</f>
        <v>1.3180000000000001</v>
      </c>
      <c r="Y24" s="2428">
        <f>ROUND(SUMPRODUCT(PRODUCT(1+O24:O$35)),4)</f>
        <v>1.1966000000000001</v>
      </c>
      <c r="Z24" s="2428">
        <f t="shared" si="0"/>
        <v>1.1966000000000001</v>
      </c>
      <c r="AA24" s="2428">
        <f>ROUND(SUMPRODUCT(PRODUCT(1+P24:P$35)),4)</f>
        <v>1.36</v>
      </c>
      <c r="AB24" s="2428">
        <f>ROUND(SUMPRODUCT(PRODUCT(1+Q24:Q$35)),4)</f>
        <v>1.1733</v>
      </c>
      <c r="AC24" s="2428"/>
      <c r="AD24" s="2429">
        <f>ROUND(AVERAGE(I24:I$36)/100,4)</f>
        <v>2.3900000000000001E-2</v>
      </c>
      <c r="AE24" s="2429">
        <f>ROUND(AVERAGE(J24:J$36)/100,4)</f>
        <v>1.5699999999999999E-2</v>
      </c>
      <c r="AF24" s="2429">
        <f t="shared" si="1"/>
        <v>1.5699999999999999E-2</v>
      </c>
      <c r="AG24" s="2429">
        <f>ROUND(AVERAGE(K24:K$36)/100,4)</f>
        <v>2.6599999999999999E-2</v>
      </c>
      <c r="AH24" s="2429">
        <f>ROUND(AVERAGE(L24:L$36)/100,4)</f>
        <v>1.34E-2</v>
      </c>
    </row>
    <row r="25" spans="1:34">
      <c r="A25" s="2423" t="s">
        <v>154</v>
      </c>
      <c r="B25" s="2438">
        <v>392</v>
      </c>
      <c r="C25" s="2438">
        <v>302</v>
      </c>
      <c r="D25" s="2438">
        <f>C25</f>
        <v>302</v>
      </c>
      <c r="E25" s="2438">
        <v>553</v>
      </c>
      <c r="F25" s="2439">
        <v>266</v>
      </c>
      <c r="G25" s="3494">
        <v>2016</v>
      </c>
      <c r="H25" s="2432">
        <v>4</v>
      </c>
      <c r="I25" s="2432">
        <v>4.5599999999999996</v>
      </c>
      <c r="J25" s="2432">
        <v>2.15</v>
      </c>
      <c r="K25" s="2432">
        <v>5.32</v>
      </c>
      <c r="L25" s="2433">
        <v>1.57</v>
      </c>
      <c r="N25" s="2426">
        <f t="shared" si="176"/>
        <v>4.5599999999999995E-2</v>
      </c>
      <c r="O25" s="2411">
        <f t="shared" si="199"/>
        <v>2.1499999999999998E-2</v>
      </c>
      <c r="P25" s="2411">
        <f t="shared" si="199"/>
        <v>5.3200000000000004E-2</v>
      </c>
      <c r="Q25" s="2411">
        <f t="shared" si="199"/>
        <v>1.5700000000000002E-2</v>
      </c>
      <c r="R25" s="2427"/>
      <c r="S25" s="2440"/>
      <c r="T25" s="2441"/>
      <c r="U25" s="2441"/>
      <c r="V25" s="2441"/>
      <c r="X25" s="2410">
        <f>ROUND(SUMPRODUCT(PRODUCT(1+N25:N$35)),4)</f>
        <v>1.274</v>
      </c>
      <c r="Y25" s="2410">
        <f>ROUND(SUMPRODUCT(PRODUCT(1+O25:O$35)),4)</f>
        <v>1.1740999999999999</v>
      </c>
      <c r="Z25" s="2410">
        <f t="shared" si="0"/>
        <v>1.1740999999999999</v>
      </c>
      <c r="AA25" s="2410">
        <f>ROUND(SUMPRODUCT(PRODUCT(1+P25:P$35)),4)</f>
        <v>1.3087</v>
      </c>
      <c r="AB25" s="2410">
        <f>ROUND(SUMPRODUCT(PRODUCT(1+Q25:Q$35)),4)</f>
        <v>1.1551</v>
      </c>
      <c r="AD25" s="2411">
        <f>ROUND(AVERAGE(I25:I$36)/100,4)</f>
        <v>2.3E-2</v>
      </c>
      <c r="AE25" s="2411">
        <f>ROUND(AVERAGE(J25:J$36)/100,4)</f>
        <v>1.55E-2</v>
      </c>
      <c r="AF25" s="2411">
        <f t="shared" si="1"/>
        <v>1.55E-2</v>
      </c>
      <c r="AG25" s="2411">
        <f>ROUND(AVERAGE(K25:K$36)/100,4)</f>
        <v>2.5600000000000001E-2</v>
      </c>
      <c r="AH25" s="2411">
        <f>ROUND(AVERAGE(L25:L$36)/100,4)</f>
        <v>1.32E-2</v>
      </c>
    </row>
    <row r="26" spans="1:34">
      <c r="A26" s="2423" t="s">
        <v>153</v>
      </c>
      <c r="B26" s="2424">
        <f t="shared" ref="B26:C28" si="201">B25/(1+N25)</f>
        <v>374.90436113236416</v>
      </c>
      <c r="C26" s="2424">
        <f t="shared" si="201"/>
        <v>295.64366128242779</v>
      </c>
      <c r="D26" s="2424">
        <f t="shared" ref="D26:D85" si="202">C26</f>
        <v>295.64366128242779</v>
      </c>
      <c r="E26" s="2424">
        <f t="shared" ref="E26:F28" si="203">E25/(1+P25)</f>
        <v>525.06646410938095</v>
      </c>
      <c r="F26" s="2424">
        <f t="shared" si="203"/>
        <v>261.88835286009646</v>
      </c>
      <c r="G26" s="3489"/>
      <c r="H26" s="2425">
        <v>3</v>
      </c>
      <c r="I26" s="2425">
        <v>4.12</v>
      </c>
      <c r="J26" s="2425">
        <v>2</v>
      </c>
      <c r="K26" s="2425">
        <v>4.79</v>
      </c>
      <c r="L26" s="2431">
        <v>1.97</v>
      </c>
      <c r="N26" s="2426">
        <f t="shared" ref="N26:Q60" si="204">I26/100</f>
        <v>4.1200000000000001E-2</v>
      </c>
      <c r="O26" s="2411">
        <f t="shared" si="199"/>
        <v>0.02</v>
      </c>
      <c r="P26" s="2411">
        <f t="shared" si="199"/>
        <v>4.7899999999999998E-2</v>
      </c>
      <c r="Q26" s="2411">
        <f t="shared" si="199"/>
        <v>1.9699999999999999E-2</v>
      </c>
      <c r="R26" s="2427"/>
      <c r="S26" s="2426"/>
      <c r="T26" s="2411"/>
      <c r="U26" s="2411"/>
      <c r="V26" s="2411"/>
      <c r="X26" s="2410">
        <f>ROUND(SUMPRODUCT(PRODUCT(1+N26:N$35)),4)</f>
        <v>1.2184999999999999</v>
      </c>
      <c r="Y26" s="2410">
        <f>ROUND(SUMPRODUCT(PRODUCT(1+O26:O$35)),4)</f>
        <v>1.1494</v>
      </c>
      <c r="Z26" s="2410">
        <f t="shared" si="0"/>
        <v>1.1494</v>
      </c>
      <c r="AA26" s="2410">
        <f>ROUND(SUMPRODUCT(PRODUCT(1+P26:P$35)),4)</f>
        <v>1.2425999999999999</v>
      </c>
      <c r="AB26" s="2410">
        <f>ROUND(SUMPRODUCT(PRODUCT(1+Q26:Q$35)),4)</f>
        <v>1.1372</v>
      </c>
      <c r="AD26" s="2411">
        <f>ROUND(AVERAGE(I26:I$36)/100,4)</f>
        <v>2.0899999999999998E-2</v>
      </c>
      <c r="AE26" s="2411">
        <f>ROUND(AVERAGE(J26:J$36)/100,4)</f>
        <v>1.49E-2</v>
      </c>
      <c r="AF26" s="2411">
        <f t="shared" si="1"/>
        <v>1.49E-2</v>
      </c>
      <c r="AG26" s="2411">
        <f>ROUND(AVERAGE(K26:K$36)/100,4)</f>
        <v>2.3099999999999999E-2</v>
      </c>
      <c r="AH26" s="2411">
        <f>ROUND(AVERAGE(L26:L$36)/100,4)</f>
        <v>1.2999999999999999E-2</v>
      </c>
    </row>
    <row r="27" spans="1:34">
      <c r="A27" s="2423" t="s">
        <v>143</v>
      </c>
      <c r="B27" s="2424">
        <f t="shared" si="201"/>
        <v>360.06949782209392</v>
      </c>
      <c r="C27" s="2424">
        <f t="shared" si="201"/>
        <v>289.84672674747821</v>
      </c>
      <c r="D27" s="2424">
        <f t="shared" si="202"/>
        <v>289.84672674747821</v>
      </c>
      <c r="E27" s="2424">
        <f t="shared" si="203"/>
        <v>501.06543001181495</v>
      </c>
      <c r="F27" s="2424">
        <f t="shared" si="203"/>
        <v>256.82882500744967</v>
      </c>
      <c r="G27" s="3489"/>
      <c r="H27" s="2436">
        <v>2</v>
      </c>
      <c r="I27" s="2436">
        <v>3.85</v>
      </c>
      <c r="J27" s="2436">
        <v>1.95</v>
      </c>
      <c r="K27" s="2436">
        <v>4.4800000000000004</v>
      </c>
      <c r="L27" s="2437">
        <v>1.41</v>
      </c>
      <c r="N27" s="2426">
        <f t="shared" si="204"/>
        <v>3.85E-2</v>
      </c>
      <c r="O27" s="2411">
        <f t="shared" si="199"/>
        <v>1.95E-2</v>
      </c>
      <c r="P27" s="2411">
        <f t="shared" si="199"/>
        <v>4.4800000000000006E-2</v>
      </c>
      <c r="Q27" s="2411">
        <f t="shared" si="199"/>
        <v>1.41E-2</v>
      </c>
      <c r="R27" s="2427"/>
      <c r="S27" s="2426"/>
      <c r="T27" s="2411"/>
      <c r="U27" s="2411"/>
      <c r="V27" s="2411"/>
      <c r="X27" s="2410">
        <f>ROUND(SUMPRODUCT(PRODUCT(1+N27:N$35)),4)</f>
        <v>1.1702999999999999</v>
      </c>
      <c r="Y27" s="2410">
        <f>ROUND(SUMPRODUCT(PRODUCT(1+O27:O$35)),4)</f>
        <v>1.1269</v>
      </c>
      <c r="Z27" s="2410">
        <f t="shared" si="0"/>
        <v>1.1269</v>
      </c>
      <c r="AA27" s="2410">
        <f>ROUND(SUMPRODUCT(PRODUCT(1+P27:P$35)),4)</f>
        <v>1.1858</v>
      </c>
      <c r="AB27" s="2410">
        <f>ROUND(SUMPRODUCT(PRODUCT(1+Q27:Q$35)),4)</f>
        <v>1.1152</v>
      </c>
      <c r="AD27" s="2411">
        <f>ROUND(AVERAGE(I27:I$36)/100,4)</f>
        <v>1.89E-2</v>
      </c>
      <c r="AE27" s="2411">
        <f>ROUND(AVERAGE(J27:J$36)/100,4)</f>
        <v>1.44E-2</v>
      </c>
      <c r="AF27" s="2411">
        <f t="shared" si="1"/>
        <v>1.44E-2</v>
      </c>
      <c r="AG27" s="2411">
        <f>ROUND(AVERAGE(K27:K$36)/100,4)</f>
        <v>2.06E-2</v>
      </c>
      <c r="AH27" s="2411">
        <f>ROUND(AVERAGE(L27:L$36)/100,4)</f>
        <v>1.23E-2</v>
      </c>
    </row>
    <row r="28" spans="1:34" ht="13.5" thickBot="1">
      <c r="A28" s="2423" t="s">
        <v>152</v>
      </c>
      <c r="B28" s="2424">
        <f t="shared" si="201"/>
        <v>346.720748986128</v>
      </c>
      <c r="C28" s="2424">
        <f t="shared" si="201"/>
        <v>284.30282172386285</v>
      </c>
      <c r="D28" s="2424">
        <f t="shared" si="202"/>
        <v>284.30282172386285</v>
      </c>
      <c r="E28" s="2424">
        <f t="shared" si="203"/>
        <v>479.58023546306947</v>
      </c>
      <c r="F28" s="2424">
        <f t="shared" si="203"/>
        <v>253.25788877571213</v>
      </c>
      <c r="G28" s="3490"/>
      <c r="H28" s="2425">
        <v>1</v>
      </c>
      <c r="I28" s="2425">
        <v>4.09</v>
      </c>
      <c r="J28" s="2425">
        <v>2.93</v>
      </c>
      <c r="K28" s="2425">
        <v>4.54</v>
      </c>
      <c r="L28" s="2431">
        <v>1.48</v>
      </c>
      <c r="N28" s="2426">
        <f t="shared" si="204"/>
        <v>4.0899999999999999E-2</v>
      </c>
      <c r="O28" s="2411">
        <f t="shared" si="199"/>
        <v>2.9300000000000003E-2</v>
      </c>
      <c r="P28" s="2411">
        <f t="shared" si="199"/>
        <v>4.5400000000000003E-2</v>
      </c>
      <c r="Q28" s="2411">
        <f t="shared" si="199"/>
        <v>1.4800000000000001E-2</v>
      </c>
      <c r="R28" s="2427"/>
      <c r="S28" s="2442">
        <f>B28/B29-1</f>
        <v>4.1203450408792808E-2</v>
      </c>
      <c r="T28" s="2443">
        <f>C28/C29-1</f>
        <v>2.6363977342465095E-2</v>
      </c>
      <c r="U28" s="2443">
        <f>E28/E29-1</f>
        <v>4.4837114298626357E-2</v>
      </c>
      <c r="V28" s="2443">
        <f>F28/F29-1</f>
        <v>1.7099954922538574E-2</v>
      </c>
      <c r="X28" s="2410">
        <f>ROUND(SUMPRODUCT(PRODUCT(1+N28:N$35)),4)</f>
        <v>1.1269</v>
      </c>
      <c r="Y28" s="2410">
        <f>ROUND(SUMPRODUCT(PRODUCT(1+O28:O$35)),4)</f>
        <v>1.1052999999999999</v>
      </c>
      <c r="Z28" s="2410">
        <f t="shared" si="0"/>
        <v>1.1052999999999999</v>
      </c>
      <c r="AA28" s="2410">
        <f>ROUND(SUMPRODUCT(PRODUCT(1+P28:P$35)),4)</f>
        <v>1.1349</v>
      </c>
      <c r="AB28" s="2410">
        <f>ROUND(SUMPRODUCT(PRODUCT(1+Q28:Q$35)),4)</f>
        <v>1.0996999999999999</v>
      </c>
      <c r="AD28" s="2411">
        <f>ROUND(AVERAGE(I28:I$36)/100,4)</f>
        <v>1.67E-2</v>
      </c>
      <c r="AE28" s="2411">
        <f>ROUND(AVERAGE(J28:J$36)/100,4)</f>
        <v>1.38E-2</v>
      </c>
      <c r="AF28" s="2411">
        <f t="shared" si="1"/>
        <v>1.38E-2</v>
      </c>
      <c r="AG28" s="2411">
        <f>ROUND(AVERAGE(K28:K$36)/100,4)</f>
        <v>1.7899999999999999E-2</v>
      </c>
      <c r="AH28" s="2411">
        <f>ROUND(AVERAGE(L28:L$36)/100,4)</f>
        <v>1.21E-2</v>
      </c>
    </row>
    <row r="29" spans="1:34" ht="13.5" thickBot="1">
      <c r="A29" s="2423" t="s">
        <v>151</v>
      </c>
      <c r="B29" s="2438">
        <v>333</v>
      </c>
      <c r="C29" s="2438">
        <v>277</v>
      </c>
      <c r="D29" s="2438">
        <f t="shared" si="202"/>
        <v>277</v>
      </c>
      <c r="E29" s="2438">
        <v>459</v>
      </c>
      <c r="F29" s="2439">
        <v>249</v>
      </c>
      <c r="G29" s="3488">
        <v>2015</v>
      </c>
      <c r="H29" s="2444">
        <v>4</v>
      </c>
      <c r="I29" s="2444">
        <v>1.63</v>
      </c>
      <c r="J29" s="2444">
        <v>1.1100000000000001</v>
      </c>
      <c r="K29" s="2444">
        <v>1.77</v>
      </c>
      <c r="L29" s="2445">
        <v>1.89</v>
      </c>
      <c r="N29" s="2446">
        <f t="shared" si="204"/>
        <v>1.6299999999999999E-2</v>
      </c>
      <c r="O29" s="2447">
        <f t="shared" si="199"/>
        <v>1.11E-2</v>
      </c>
      <c r="P29" s="2447">
        <f t="shared" si="199"/>
        <v>1.77E-2</v>
      </c>
      <c r="Q29" s="2447">
        <f t="shared" si="199"/>
        <v>1.89E-2</v>
      </c>
      <c r="R29" s="2427"/>
      <c r="X29" s="2410">
        <f>ROUND(SUMPRODUCT(PRODUCT(1+N29:N$35)),4)</f>
        <v>1.0826</v>
      </c>
      <c r="Y29" s="2410">
        <f>ROUND(SUMPRODUCT(PRODUCT(1+O29:O$35)),4)</f>
        <v>1.0738000000000001</v>
      </c>
      <c r="Z29" s="2410">
        <f t="shared" si="0"/>
        <v>1.0738000000000001</v>
      </c>
      <c r="AA29" s="2410">
        <f>ROUND(SUMPRODUCT(PRODUCT(1+P29:P$35)),4)</f>
        <v>1.0855999999999999</v>
      </c>
      <c r="AB29" s="2410">
        <f>ROUND(SUMPRODUCT(PRODUCT(1+Q29:Q$35)),4)</f>
        <v>1.0837000000000001</v>
      </c>
      <c r="AD29" s="2411">
        <f>ROUND(AVERAGE(I29:I$36)/100,4)</f>
        <v>1.37E-2</v>
      </c>
      <c r="AE29" s="2411">
        <f>ROUND(AVERAGE(J29:J$36)/100,4)</f>
        <v>1.1900000000000001E-2</v>
      </c>
      <c r="AF29" s="2411">
        <f t="shared" si="1"/>
        <v>1.1900000000000001E-2</v>
      </c>
      <c r="AG29" s="2411">
        <f>ROUND(AVERAGE(K29:K$36)/100,4)</f>
        <v>1.4500000000000001E-2</v>
      </c>
      <c r="AH29" s="2411">
        <f>ROUND(AVERAGE(L29:L$36)/100,4)</f>
        <v>1.18E-2</v>
      </c>
    </row>
    <row r="30" spans="1:34">
      <c r="A30" s="2423" t="s">
        <v>150</v>
      </c>
      <c r="B30" s="2424">
        <f t="shared" ref="B30:C32" si="205">B29/(1+N29)</f>
        <v>327.65915576109415</v>
      </c>
      <c r="C30" s="2424">
        <f t="shared" si="205"/>
        <v>273.95905449510434</v>
      </c>
      <c r="D30" s="2424">
        <f t="shared" si="202"/>
        <v>273.95905449510434</v>
      </c>
      <c r="E30" s="2424">
        <f t="shared" ref="E30:F32" si="206">E29/(1+P29)</f>
        <v>451.01699911565294</v>
      </c>
      <c r="F30" s="2424">
        <f t="shared" si="206"/>
        <v>244.38119540681129</v>
      </c>
      <c r="G30" s="3489"/>
      <c r="H30" s="2449">
        <v>3</v>
      </c>
      <c r="I30" s="2449">
        <v>1.65</v>
      </c>
      <c r="J30" s="2449">
        <v>0.92</v>
      </c>
      <c r="K30" s="2449">
        <v>1.88</v>
      </c>
      <c r="L30" s="2450">
        <v>1.26</v>
      </c>
      <c r="N30" s="2426">
        <f t="shared" si="204"/>
        <v>1.6500000000000001E-2</v>
      </c>
      <c r="O30" s="2451">
        <f t="shared" si="199"/>
        <v>9.1999999999999998E-3</v>
      </c>
      <c r="P30" s="2451">
        <f t="shared" si="199"/>
        <v>1.8799999999999997E-2</v>
      </c>
      <c r="Q30" s="2451">
        <f t="shared" si="199"/>
        <v>1.26E-2</v>
      </c>
      <c r="R30" s="2427"/>
      <c r="S30" s="2426"/>
      <c r="T30" s="2411"/>
      <c r="U30" s="2411"/>
      <c r="V30" s="2411"/>
      <c r="X30" s="2410">
        <f>ROUND(SUMPRODUCT(PRODUCT(1+N30:N$35)),4)</f>
        <v>1.0651999999999999</v>
      </c>
      <c r="Y30" s="2410">
        <f>ROUND(SUMPRODUCT(PRODUCT(1+O30:O$35)),4)</f>
        <v>1.0621</v>
      </c>
      <c r="Z30" s="2410">
        <f t="shared" si="0"/>
        <v>1.0621</v>
      </c>
      <c r="AA30" s="2410">
        <f>ROUND(SUMPRODUCT(PRODUCT(1+P30:P$35)),4)</f>
        <v>1.0668</v>
      </c>
      <c r="AB30" s="2410">
        <f>ROUND(SUMPRODUCT(PRODUCT(1+Q30:Q$35)),4)</f>
        <v>1.0636000000000001</v>
      </c>
      <c r="AD30" s="2411">
        <f>ROUND(AVERAGE(I30:I$36)/100,4)</f>
        <v>1.3299999999999999E-2</v>
      </c>
      <c r="AE30" s="2411">
        <f>ROUND(AVERAGE(J30:J$36)/100,4)</f>
        <v>1.2E-2</v>
      </c>
      <c r="AF30" s="2411">
        <f t="shared" si="1"/>
        <v>1.2E-2</v>
      </c>
      <c r="AG30" s="2411">
        <f>ROUND(AVERAGE(K30:K$36)/100,4)</f>
        <v>1.4E-2</v>
      </c>
      <c r="AH30" s="2411">
        <f>ROUND(AVERAGE(L30:L$36)/100,4)</f>
        <v>1.0800000000000001E-2</v>
      </c>
    </row>
    <row r="31" spans="1:34">
      <c r="A31" s="2423" t="s">
        <v>149</v>
      </c>
      <c r="B31" s="2424">
        <f t="shared" si="205"/>
        <v>322.34053690220776</v>
      </c>
      <c r="C31" s="2424">
        <f t="shared" si="205"/>
        <v>271.46160770422546</v>
      </c>
      <c r="D31" s="2424">
        <f t="shared" si="202"/>
        <v>271.46160770422546</v>
      </c>
      <c r="E31" s="2424">
        <f t="shared" si="206"/>
        <v>442.69434542172456</v>
      </c>
      <c r="F31" s="2424">
        <f t="shared" si="206"/>
        <v>241.34030753190925</v>
      </c>
      <c r="G31" s="3489"/>
      <c r="H31" s="2436">
        <v>2</v>
      </c>
      <c r="I31" s="2436">
        <v>0.77</v>
      </c>
      <c r="J31" s="2436">
        <v>0.69</v>
      </c>
      <c r="K31" s="2436">
        <v>0.8</v>
      </c>
      <c r="L31" s="2437">
        <v>0.88</v>
      </c>
      <c r="N31" s="2426">
        <f t="shared" si="204"/>
        <v>7.7000000000000002E-3</v>
      </c>
      <c r="O31" s="2451">
        <f t="shared" si="199"/>
        <v>6.8999999999999999E-3</v>
      </c>
      <c r="P31" s="2451">
        <f t="shared" si="199"/>
        <v>8.0000000000000002E-3</v>
      </c>
      <c r="Q31" s="2451">
        <f t="shared" si="199"/>
        <v>8.8000000000000005E-3</v>
      </c>
      <c r="R31" s="2427"/>
      <c r="S31" s="2426"/>
      <c r="T31" s="2411"/>
      <c r="U31" s="2411"/>
      <c r="V31" s="2411"/>
      <c r="X31" s="2410">
        <f>ROUND(SUMPRODUCT(PRODUCT(1+N31:N$35)),4)</f>
        <v>1.048</v>
      </c>
      <c r="Y31" s="2410">
        <f>ROUND(SUMPRODUCT(PRODUCT(1+O31:O$35)),4)</f>
        <v>1.0524</v>
      </c>
      <c r="Z31" s="2410">
        <f t="shared" si="0"/>
        <v>1.0524</v>
      </c>
      <c r="AA31" s="2410">
        <f>ROUND(SUMPRODUCT(PRODUCT(1+P31:P$35)),4)</f>
        <v>1.0470999999999999</v>
      </c>
      <c r="AB31" s="2410">
        <f>ROUND(SUMPRODUCT(PRODUCT(1+Q31:Q$35)),4)</f>
        <v>1.0504</v>
      </c>
      <c r="AD31" s="2411">
        <f>ROUND(AVERAGE(I31:I$36)/100,4)</f>
        <v>1.2800000000000001E-2</v>
      </c>
      <c r="AE31" s="2411">
        <f>ROUND(AVERAGE(J31:J$36)/100,4)</f>
        <v>1.2500000000000001E-2</v>
      </c>
      <c r="AF31" s="2411">
        <f t="shared" si="1"/>
        <v>1.2500000000000001E-2</v>
      </c>
      <c r="AG31" s="2411">
        <f>ROUND(AVERAGE(K31:K$36)/100,4)</f>
        <v>1.32E-2</v>
      </c>
      <c r="AH31" s="2411">
        <f>ROUND(AVERAGE(L31:L$36)/100,4)</f>
        <v>1.0500000000000001E-2</v>
      </c>
    </row>
    <row r="32" spans="1:34">
      <c r="A32" s="2423" t="s">
        <v>148</v>
      </c>
      <c r="B32" s="2424">
        <f t="shared" si="205"/>
        <v>319.87748030386797</v>
      </c>
      <c r="C32" s="2424">
        <f t="shared" si="205"/>
        <v>269.60135833173649</v>
      </c>
      <c r="D32" s="2424">
        <f t="shared" si="202"/>
        <v>269.60135833173649</v>
      </c>
      <c r="E32" s="2424">
        <f t="shared" si="206"/>
        <v>439.18089823583784</v>
      </c>
      <c r="F32" s="2424">
        <f t="shared" si="206"/>
        <v>239.23503918706311</v>
      </c>
      <c r="G32" s="3490"/>
      <c r="H32" s="2425">
        <v>1</v>
      </c>
      <c r="I32" s="2425">
        <v>0.51</v>
      </c>
      <c r="J32" s="2425">
        <v>0.54</v>
      </c>
      <c r="K32" s="2425">
        <v>0.48</v>
      </c>
      <c r="L32" s="2431">
        <v>0.93</v>
      </c>
      <c r="N32" s="2442">
        <f t="shared" si="204"/>
        <v>5.1000000000000004E-3</v>
      </c>
      <c r="O32" s="2443">
        <f t="shared" si="199"/>
        <v>5.4000000000000003E-3</v>
      </c>
      <c r="P32" s="2443">
        <f t="shared" si="199"/>
        <v>4.7999999999999996E-3</v>
      </c>
      <c r="Q32" s="2443">
        <f t="shared" si="199"/>
        <v>9.300000000000001E-3</v>
      </c>
      <c r="R32" s="2427"/>
      <c r="S32" s="2442">
        <f>B32/B33-1</f>
        <v>5.9040261127922822E-3</v>
      </c>
      <c r="T32" s="2443">
        <f>C32/C33-1</f>
        <v>5.9752176557332781E-3</v>
      </c>
      <c r="U32" s="2443">
        <f>E32/E33-1</f>
        <v>4.9906138119859556E-3</v>
      </c>
      <c r="V32" s="2443">
        <f>F32/F33-1</f>
        <v>9.4305450930933787E-3</v>
      </c>
      <c r="X32" s="2410">
        <f>ROUND(SUMPRODUCT(PRODUCT(1+N32:N$35)),4)</f>
        <v>1.0399</v>
      </c>
      <c r="Y32" s="2410">
        <f>ROUND(SUMPRODUCT(PRODUCT(1+O32:O$35)),4)</f>
        <v>1.0451999999999999</v>
      </c>
      <c r="Z32" s="2410">
        <f t="shared" si="0"/>
        <v>1.0451999999999999</v>
      </c>
      <c r="AA32" s="2410">
        <f>ROUND(SUMPRODUCT(PRODUCT(1+P32:P$35)),4)</f>
        <v>1.0387999999999999</v>
      </c>
      <c r="AB32" s="2410">
        <f>ROUND(SUMPRODUCT(PRODUCT(1+Q32:Q$35)),4)</f>
        <v>1.0411999999999999</v>
      </c>
      <c r="AD32" s="2411">
        <f>ROUND(AVERAGE(I32:I$36)/100,4)</f>
        <v>1.38E-2</v>
      </c>
      <c r="AE32" s="2411">
        <f>ROUND(AVERAGE(J32:J$36)/100,4)</f>
        <v>1.3599999999999999E-2</v>
      </c>
      <c r="AF32" s="2411">
        <f t="shared" si="1"/>
        <v>1.3599999999999999E-2</v>
      </c>
      <c r="AG32" s="2411">
        <f>ROUND(AVERAGE(K32:K$36)/100,4)</f>
        <v>1.4200000000000001E-2</v>
      </c>
      <c r="AH32" s="2411">
        <f>ROUND(AVERAGE(L32:L$36)/100,4)</f>
        <v>1.0800000000000001E-2</v>
      </c>
    </row>
    <row r="33" spans="1:34" ht="13.5" thickBot="1">
      <c r="A33" s="2423" t="s">
        <v>147</v>
      </c>
      <c r="B33" s="2452">
        <v>318</v>
      </c>
      <c r="C33" s="2452">
        <v>268</v>
      </c>
      <c r="D33" s="2452">
        <f t="shared" si="202"/>
        <v>268</v>
      </c>
      <c r="E33" s="2452">
        <v>437</v>
      </c>
      <c r="F33" s="2453">
        <v>237</v>
      </c>
      <c r="G33" s="3488">
        <v>2014</v>
      </c>
      <c r="H33" s="2444">
        <v>4</v>
      </c>
      <c r="I33" s="2444">
        <v>0.21</v>
      </c>
      <c r="J33" s="2444">
        <v>0.41</v>
      </c>
      <c r="K33" s="2444">
        <v>0.12</v>
      </c>
      <c r="L33" s="2445">
        <v>0.89</v>
      </c>
      <c r="N33" s="2426">
        <f t="shared" si="204"/>
        <v>2.0999999999999999E-3</v>
      </c>
      <c r="O33" s="2411">
        <f t="shared" si="199"/>
        <v>4.0999999999999995E-3</v>
      </c>
      <c r="P33" s="2411">
        <f t="shared" si="199"/>
        <v>1.1999999999999999E-3</v>
      </c>
      <c r="Q33" s="2411">
        <f t="shared" si="199"/>
        <v>8.8999999999999999E-3</v>
      </c>
      <c r="R33" s="2427"/>
      <c r="S33" s="2440"/>
      <c r="T33" s="2441"/>
      <c r="U33" s="2441"/>
      <c r="V33" s="2441"/>
      <c r="X33" s="2410">
        <f>ROUND(SUMPRODUCT(PRODUCT(1+N33:N$35)),4)</f>
        <v>1.0347</v>
      </c>
      <c r="Y33" s="2410">
        <f>ROUND(SUMPRODUCT(PRODUCT(1+O33:O$35)),4)</f>
        <v>1.0395000000000001</v>
      </c>
      <c r="Z33" s="2410">
        <f t="shared" si="0"/>
        <v>1.0395000000000001</v>
      </c>
      <c r="AA33" s="2410">
        <f>ROUND(SUMPRODUCT(PRODUCT(1+P33:P$35)),4)</f>
        <v>1.0338000000000001</v>
      </c>
      <c r="AB33" s="2410">
        <f>ROUND(SUMPRODUCT(PRODUCT(1+Q33:Q$35)),4)</f>
        <v>1.0316000000000001</v>
      </c>
      <c r="AD33" s="2411">
        <f>ROUND(AVERAGE(I33:I$36)/100,4)</f>
        <v>1.6E-2</v>
      </c>
      <c r="AE33" s="2411">
        <f>ROUND(AVERAGE(J33:J$36)/100,4)</f>
        <v>1.5599999999999999E-2</v>
      </c>
      <c r="AF33" s="2411">
        <f t="shared" si="1"/>
        <v>1.5599999999999999E-2</v>
      </c>
      <c r="AG33" s="2411">
        <f>ROUND(AVERAGE(K33:K$36)/100,4)</f>
        <v>1.66E-2</v>
      </c>
      <c r="AH33" s="2411">
        <f>ROUND(AVERAGE(L33:L$36)/100,4)</f>
        <v>1.12E-2</v>
      </c>
    </row>
    <row r="34" spans="1:34">
      <c r="A34" s="2423" t="s">
        <v>146</v>
      </c>
      <c r="B34" s="2424">
        <f t="shared" ref="B34:C36" si="207">B33/(1+N33)</f>
        <v>317.33359944117353</v>
      </c>
      <c r="C34" s="2424">
        <f t="shared" si="207"/>
        <v>266.90568668459315</v>
      </c>
      <c r="D34" s="2424">
        <f t="shared" si="202"/>
        <v>266.90568668459315</v>
      </c>
      <c r="E34" s="2424">
        <f t="shared" ref="E34:F36" si="208">E33/(1+P33)</f>
        <v>436.47622852576905</v>
      </c>
      <c r="F34" s="2424">
        <f t="shared" si="208"/>
        <v>234.90930716622066</v>
      </c>
      <c r="G34" s="3489"/>
      <c r="H34" s="2454">
        <v>3</v>
      </c>
      <c r="I34" s="2454">
        <v>0.83</v>
      </c>
      <c r="J34" s="2454">
        <v>1.47</v>
      </c>
      <c r="K34" s="2454">
        <v>0.65</v>
      </c>
      <c r="L34" s="2455">
        <v>0.72</v>
      </c>
      <c r="N34" s="2426">
        <f t="shared" si="204"/>
        <v>8.3000000000000001E-3</v>
      </c>
      <c r="O34" s="2411">
        <f t="shared" si="199"/>
        <v>1.47E-2</v>
      </c>
      <c r="P34" s="2411">
        <f t="shared" si="199"/>
        <v>6.5000000000000006E-3</v>
      </c>
      <c r="Q34" s="2411">
        <f t="shared" si="199"/>
        <v>7.1999999999999998E-3</v>
      </c>
      <c r="R34" s="2427"/>
      <c r="S34" s="2426"/>
      <c r="T34" s="2411"/>
      <c r="U34" s="2411"/>
      <c r="V34" s="2411"/>
      <c r="X34" s="2410">
        <f>ROUND(SUMPRODUCT(PRODUCT(1+N34:N$35)),4)</f>
        <v>1.0325</v>
      </c>
      <c r="Y34" s="2410">
        <f>ROUND(SUMPRODUCT(PRODUCT(1+O34:O$35)),4)</f>
        <v>1.0353000000000001</v>
      </c>
      <c r="Z34" s="2410">
        <f t="shared" ref="Z34:Z35" si="209">Y34</f>
        <v>1.0353000000000001</v>
      </c>
      <c r="AA34" s="2410">
        <f>ROUND(SUMPRODUCT(PRODUCT(1+P34:P$35)),4)</f>
        <v>1.0326</v>
      </c>
      <c r="AB34" s="2410">
        <f>ROUND(SUMPRODUCT(PRODUCT(1+Q34:Q$35)),4)</f>
        <v>1.0225</v>
      </c>
      <c r="AD34" s="2411">
        <f>ROUND(AVERAGE(I34:I$36)/100,4)</f>
        <v>2.07E-2</v>
      </c>
      <c r="AE34" s="2411">
        <f>ROUND(AVERAGE(J34:J$36)/100,4)</f>
        <v>1.95E-2</v>
      </c>
      <c r="AF34" s="2411">
        <f t="shared" si="1"/>
        <v>1.95E-2</v>
      </c>
      <c r="AG34" s="2411">
        <f>ROUND(AVERAGE(K34:K$36)/100,4)</f>
        <v>2.1700000000000001E-2</v>
      </c>
      <c r="AH34" s="2411">
        <f>ROUND(AVERAGE(L34:L$36)/100,4)</f>
        <v>1.2E-2</v>
      </c>
    </row>
    <row r="35" spans="1:34" ht="13.5" thickBot="1">
      <c r="A35" s="2423" t="s">
        <v>145</v>
      </c>
      <c r="B35" s="2424">
        <f t="shared" si="207"/>
        <v>314.72141172386546</v>
      </c>
      <c r="C35" s="2424">
        <f t="shared" si="207"/>
        <v>263.03901319069001</v>
      </c>
      <c r="D35" s="2424">
        <f t="shared" si="202"/>
        <v>263.03901319069001</v>
      </c>
      <c r="E35" s="2424">
        <f t="shared" si="208"/>
        <v>433.65745506782821</v>
      </c>
      <c r="F35" s="2424">
        <f t="shared" si="208"/>
        <v>233.23005080045735</v>
      </c>
      <c r="G35" s="3489"/>
      <c r="H35" s="2444">
        <v>2</v>
      </c>
      <c r="I35" s="2444">
        <v>2.4</v>
      </c>
      <c r="J35" s="2444">
        <v>2.0299999999999998</v>
      </c>
      <c r="K35" s="2444">
        <v>2.59</v>
      </c>
      <c r="L35" s="2445">
        <v>1.52</v>
      </c>
      <c r="N35" s="2426">
        <f t="shared" si="204"/>
        <v>2.4E-2</v>
      </c>
      <c r="O35" s="2411">
        <f t="shared" si="199"/>
        <v>2.0299999999999999E-2</v>
      </c>
      <c r="P35" s="2411">
        <f t="shared" si="199"/>
        <v>2.5899999999999999E-2</v>
      </c>
      <c r="Q35" s="2411">
        <f t="shared" si="199"/>
        <v>1.52E-2</v>
      </c>
      <c r="R35" s="2427"/>
      <c r="S35" s="2426"/>
      <c r="T35" s="2411"/>
      <c r="U35" s="2411"/>
      <c r="V35" s="2411"/>
      <c r="X35" s="2410">
        <f>1+N35</f>
        <v>1.024</v>
      </c>
      <c r="Y35" s="2410">
        <f>1+O35</f>
        <v>1.0203</v>
      </c>
      <c r="Z35" s="2410">
        <f t="shared" si="209"/>
        <v>1.0203</v>
      </c>
      <c r="AA35" s="2410">
        <f>1+P35</f>
        <v>1.0259</v>
      </c>
      <c r="AB35" s="2410">
        <f>1+Q35</f>
        <v>1.0152000000000001</v>
      </c>
      <c r="AD35" s="2411">
        <f>ROUND(AVERAGE(I35:I$36)/100,4)</f>
        <v>2.69E-2</v>
      </c>
      <c r="AE35" s="2411">
        <f>ROUND(AVERAGE(J35:J$36)/100,4)</f>
        <v>2.1899999999999999E-2</v>
      </c>
      <c r="AF35" s="2411">
        <f t="shared" ref="AF35" si="210">AE35</f>
        <v>2.1899999999999999E-2</v>
      </c>
      <c r="AG35" s="2411">
        <f>ROUND(AVERAGE(K35:K$36)/100,4)</f>
        <v>2.9399999999999999E-2</v>
      </c>
      <c r="AH35" s="2411">
        <f>ROUND(AVERAGE(L35:L$36)/100,4)</f>
        <v>1.44E-2</v>
      </c>
    </row>
    <row r="36" spans="1:34" s="2460" customFormat="1" ht="13.5" thickBot="1">
      <c r="A36" s="2456" t="s">
        <v>144</v>
      </c>
      <c r="B36" s="2457">
        <f t="shared" si="207"/>
        <v>307.34512863658733</v>
      </c>
      <c r="C36" s="2457">
        <f t="shared" si="207"/>
        <v>257.80556031626975</v>
      </c>
      <c r="D36" s="2457">
        <f t="shared" si="202"/>
        <v>257.80556031626975</v>
      </c>
      <c r="E36" s="2457">
        <f t="shared" si="208"/>
        <v>422.70928459677179</v>
      </c>
      <c r="F36" s="2457">
        <f t="shared" si="208"/>
        <v>229.73803270336617</v>
      </c>
      <c r="G36" s="3490"/>
      <c r="H36" s="2458">
        <v>1</v>
      </c>
      <c r="I36" s="2458">
        <v>2.97</v>
      </c>
      <c r="J36" s="2458">
        <v>2.34</v>
      </c>
      <c r="K36" s="2458">
        <v>3.28</v>
      </c>
      <c r="L36" s="2459">
        <v>1.36</v>
      </c>
      <c r="N36" s="2461">
        <f t="shared" si="204"/>
        <v>2.9700000000000001E-2</v>
      </c>
      <c r="O36" s="2462">
        <f t="shared" si="199"/>
        <v>2.3399999999999997E-2</v>
      </c>
      <c r="P36" s="2462">
        <f t="shared" si="199"/>
        <v>3.2799999999999996E-2</v>
      </c>
      <c r="Q36" s="2462">
        <f t="shared" si="199"/>
        <v>1.3600000000000001E-2</v>
      </c>
      <c r="R36" s="2463"/>
      <c r="S36" s="2464">
        <f>B36/B37-1</f>
        <v>2.7910129219355539E-2</v>
      </c>
      <c r="T36" s="2465">
        <f>C36/C37-1</f>
        <v>2.3037937762975247E-2</v>
      </c>
      <c r="U36" s="2465">
        <f>E36/E37-1</f>
        <v>3.3519033243940788E-2</v>
      </c>
      <c r="V36" s="2465">
        <f>F36/F37-1</f>
        <v>1.2061818076502862E-2</v>
      </c>
      <c r="W36" s="2466" t="s">
        <v>1129</v>
      </c>
      <c r="X36" s="2467">
        <v>1</v>
      </c>
      <c r="Y36" s="2467">
        <v>1</v>
      </c>
      <c r="Z36" s="2467">
        <v>1</v>
      </c>
      <c r="AA36" s="2467">
        <v>1</v>
      </c>
      <c r="AB36" s="2467">
        <v>1</v>
      </c>
      <c r="AD36" s="2462">
        <f>I36/100</f>
        <v>2.9700000000000001E-2</v>
      </c>
      <c r="AE36" s="2462">
        <f>J36/100</f>
        <v>2.3399999999999997E-2</v>
      </c>
      <c r="AF36" s="2462">
        <f>AE36</f>
        <v>2.3399999999999997E-2</v>
      </c>
      <c r="AG36" s="2462">
        <f>K36/100</f>
        <v>3.2799999999999996E-2</v>
      </c>
      <c r="AH36" s="2462">
        <f>L36/100</f>
        <v>1.3600000000000001E-2</v>
      </c>
    </row>
    <row r="37" spans="1:34" ht="13.5" thickBot="1">
      <c r="A37" s="2423" t="s">
        <v>1130</v>
      </c>
      <c r="B37" s="2438">
        <v>299</v>
      </c>
      <c r="C37" s="2438">
        <v>252</v>
      </c>
      <c r="D37" s="2438">
        <f t="shared" si="202"/>
        <v>252</v>
      </c>
      <c r="E37" s="2438">
        <v>409</v>
      </c>
      <c r="F37" s="2439">
        <v>227</v>
      </c>
      <c r="G37" s="3495">
        <v>2013</v>
      </c>
      <c r="H37" s="2468">
        <v>4</v>
      </c>
      <c r="I37" s="2468">
        <v>1.83</v>
      </c>
      <c r="J37" s="2468">
        <v>1.68</v>
      </c>
      <c r="K37" s="2468">
        <v>1.97</v>
      </c>
      <c r="L37" s="2469">
        <v>0.87</v>
      </c>
      <c r="N37" s="2446">
        <f t="shared" si="204"/>
        <v>1.83E-2</v>
      </c>
      <c r="O37" s="2447">
        <f t="shared" si="199"/>
        <v>1.6799999999999999E-2</v>
      </c>
      <c r="P37" s="2447">
        <f t="shared" si="199"/>
        <v>1.9699999999999999E-2</v>
      </c>
      <c r="Q37" s="2447">
        <f t="shared" si="199"/>
        <v>8.6999999999999994E-3</v>
      </c>
      <c r="R37" s="2427"/>
      <c r="S37" s="2440"/>
      <c r="T37" s="2441"/>
      <c r="U37" s="2441"/>
      <c r="V37" s="2441"/>
      <c r="X37" s="2441"/>
      <c r="Y37" s="2441"/>
      <c r="Z37" s="2441"/>
    </row>
    <row r="38" spans="1:34">
      <c r="A38" s="2423" t="s">
        <v>1131</v>
      </c>
      <c r="B38" s="2424">
        <f t="shared" ref="B38:C40" si="211">B37/(1+N37)</f>
        <v>293.62663262299913</v>
      </c>
      <c r="C38" s="2424">
        <f t="shared" si="211"/>
        <v>247.83634933123525</v>
      </c>
      <c r="D38" s="2424">
        <f t="shared" si="202"/>
        <v>247.83634933123525</v>
      </c>
      <c r="E38" s="2424">
        <f t="shared" ref="E38:F40" si="212">E37/(1+P37)</f>
        <v>401.09836226341076</v>
      </c>
      <c r="F38" s="2424">
        <f t="shared" si="212"/>
        <v>225.04213343908003</v>
      </c>
      <c r="G38" s="3496"/>
      <c r="H38" s="2449">
        <v>3</v>
      </c>
      <c r="I38" s="2449">
        <v>1.86</v>
      </c>
      <c r="J38" s="2449">
        <v>1.72</v>
      </c>
      <c r="K38" s="2449">
        <v>1.98</v>
      </c>
      <c r="L38" s="2450">
        <v>0.88</v>
      </c>
      <c r="N38" s="2426">
        <f t="shared" si="204"/>
        <v>1.8600000000000002E-2</v>
      </c>
      <c r="O38" s="2451">
        <f t="shared" si="199"/>
        <v>1.72E-2</v>
      </c>
      <c r="P38" s="2451">
        <f t="shared" si="199"/>
        <v>1.9799999999999998E-2</v>
      </c>
      <c r="Q38" s="2451">
        <f t="shared" si="199"/>
        <v>8.8000000000000005E-3</v>
      </c>
      <c r="R38" s="2427"/>
      <c r="S38" s="2426"/>
      <c r="T38" s="2411"/>
      <c r="U38" s="2411"/>
      <c r="V38" s="2411"/>
    </row>
    <row r="39" spans="1:34">
      <c r="A39" s="2423" t="s">
        <v>1132</v>
      </c>
      <c r="B39" s="2424">
        <f t="shared" si="211"/>
        <v>288.2649053828776</v>
      </c>
      <c r="C39" s="2424">
        <f t="shared" si="211"/>
        <v>243.64564425013293</v>
      </c>
      <c r="D39" s="2424">
        <f t="shared" si="202"/>
        <v>243.64564425013293</v>
      </c>
      <c r="E39" s="2424">
        <f t="shared" si="212"/>
        <v>393.31080825986544</v>
      </c>
      <c r="F39" s="2424">
        <f t="shared" si="212"/>
        <v>223.07903790551154</v>
      </c>
      <c r="G39" s="3496"/>
      <c r="H39" s="2436">
        <v>2</v>
      </c>
      <c r="I39" s="2436">
        <v>2.04</v>
      </c>
      <c r="J39" s="2436">
        <v>2.33</v>
      </c>
      <c r="K39" s="2436">
        <v>2.0699999999999998</v>
      </c>
      <c r="L39" s="2437">
        <v>0.69</v>
      </c>
      <c r="N39" s="2426">
        <f t="shared" si="204"/>
        <v>2.0400000000000001E-2</v>
      </c>
      <c r="O39" s="2451">
        <f t="shared" si="199"/>
        <v>2.3300000000000001E-2</v>
      </c>
      <c r="P39" s="2451">
        <f t="shared" si="199"/>
        <v>2.07E-2</v>
      </c>
      <c r="Q39" s="2451">
        <f t="shared" si="199"/>
        <v>6.8999999999999999E-3</v>
      </c>
      <c r="R39" s="2427"/>
      <c r="S39" s="2426"/>
      <c r="T39" s="2411"/>
      <c r="U39" s="2411"/>
      <c r="V39" s="2411"/>
      <c r="X39" s="2470"/>
      <c r="Y39" s="2471"/>
    </row>
    <row r="40" spans="1:34">
      <c r="A40" s="2423" t="s">
        <v>1133</v>
      </c>
      <c r="B40" s="2424">
        <f t="shared" si="211"/>
        <v>282.50186729015837</v>
      </c>
      <c r="C40" s="2424">
        <f t="shared" si="211"/>
        <v>238.09796174155468</v>
      </c>
      <c r="D40" s="2424">
        <f t="shared" si="202"/>
        <v>238.09796174155468</v>
      </c>
      <c r="E40" s="2424">
        <f t="shared" si="212"/>
        <v>385.33438646014054</v>
      </c>
      <c r="F40" s="2424">
        <f t="shared" si="212"/>
        <v>221.55034055567739</v>
      </c>
      <c r="G40" s="3497"/>
      <c r="H40" s="2425">
        <v>1</v>
      </c>
      <c r="I40" s="2425">
        <v>1.67</v>
      </c>
      <c r="J40" s="2425">
        <v>1.31</v>
      </c>
      <c r="K40" s="2425">
        <v>1.85</v>
      </c>
      <c r="L40" s="2431">
        <v>0.96</v>
      </c>
      <c r="N40" s="2442">
        <f t="shared" si="204"/>
        <v>1.67E-2</v>
      </c>
      <c r="O40" s="2443">
        <f t="shared" si="204"/>
        <v>1.3100000000000001E-2</v>
      </c>
      <c r="P40" s="2443">
        <f t="shared" si="204"/>
        <v>1.8500000000000003E-2</v>
      </c>
      <c r="Q40" s="2443">
        <f t="shared" si="204"/>
        <v>9.5999999999999992E-3</v>
      </c>
      <c r="R40" s="2427"/>
      <c r="S40" s="2442">
        <f>B40/B41-1</f>
        <v>1.6193767230785472E-2</v>
      </c>
      <c r="T40" s="2443">
        <f>C40/C41-1</f>
        <v>1.7512657015190891E-2</v>
      </c>
      <c r="U40" s="2443">
        <f>E40/E41-1</f>
        <v>1.6713420739157048E-2</v>
      </c>
      <c r="V40" s="2443">
        <f>F40/F41-1</f>
        <v>7.0470025258062563E-3</v>
      </c>
      <c r="X40" s="2472"/>
      <c r="Y40" s="2411"/>
      <c r="Z40" s="2411"/>
    </row>
    <row r="41" spans="1:34" ht="13.5" thickBot="1">
      <c r="A41" s="2423" t="s">
        <v>1134</v>
      </c>
      <c r="B41" s="2473">
        <v>278</v>
      </c>
      <c r="C41" s="2473">
        <v>234</v>
      </c>
      <c r="D41" s="2473">
        <f t="shared" si="202"/>
        <v>234</v>
      </c>
      <c r="E41" s="2473">
        <v>379</v>
      </c>
      <c r="F41" s="2474">
        <v>220</v>
      </c>
      <c r="G41" s="3488">
        <v>2012</v>
      </c>
      <c r="H41" s="2444">
        <v>4</v>
      </c>
      <c r="I41" s="2444">
        <v>0.91</v>
      </c>
      <c r="J41" s="2444">
        <v>0.68</v>
      </c>
      <c r="K41" s="2444">
        <v>0.98</v>
      </c>
      <c r="L41" s="2445">
        <v>0.9</v>
      </c>
      <c r="N41" s="2426">
        <f t="shared" si="204"/>
        <v>9.1000000000000004E-3</v>
      </c>
      <c r="O41" s="2411">
        <f t="shared" si="204"/>
        <v>6.8000000000000005E-3</v>
      </c>
      <c r="P41" s="2411">
        <f t="shared" si="204"/>
        <v>9.7999999999999997E-3</v>
      </c>
      <c r="Q41" s="2411">
        <f t="shared" si="204"/>
        <v>9.0000000000000011E-3</v>
      </c>
      <c r="R41" s="2427"/>
      <c r="S41" s="2440"/>
      <c r="T41" s="2441"/>
      <c r="U41" s="2441"/>
      <c r="V41" s="2441"/>
      <c r="X41" s="2441"/>
      <c r="Y41" s="2441"/>
      <c r="Z41" s="2441"/>
    </row>
    <row r="42" spans="1:34">
      <c r="A42" s="2423" t="s">
        <v>1135</v>
      </c>
      <c r="B42" s="2424">
        <f>B41/(1+N41)</f>
        <v>275.49301357645425</v>
      </c>
      <c r="C42" s="2424">
        <f>C41/(1+O41)</f>
        <v>232.41954707985698</v>
      </c>
      <c r="D42" s="2424">
        <f t="shared" si="202"/>
        <v>232.41954707985698</v>
      </c>
      <c r="E42" s="2424">
        <f t="shared" ref="E42:F44" si="213">E41/(1+P41)</f>
        <v>375.32184591008121</v>
      </c>
      <c r="F42" s="2424">
        <f t="shared" si="213"/>
        <v>218.03766105054513</v>
      </c>
      <c r="G42" s="3489"/>
      <c r="H42" s="2449">
        <v>3</v>
      </c>
      <c r="I42" s="2449">
        <v>0.09</v>
      </c>
      <c r="J42" s="2449">
        <v>0.28999999999999998</v>
      </c>
      <c r="K42" s="2449">
        <v>-0.01</v>
      </c>
      <c r="L42" s="2450">
        <v>0.57999999999999996</v>
      </c>
      <c r="N42" s="2426">
        <f t="shared" si="204"/>
        <v>8.9999999999999998E-4</v>
      </c>
      <c r="O42" s="2411">
        <f t="shared" si="204"/>
        <v>2.8999999999999998E-3</v>
      </c>
      <c r="P42" s="2411">
        <f t="shared" si="204"/>
        <v>-1E-4</v>
      </c>
      <c r="Q42" s="2411">
        <f t="shared" si="204"/>
        <v>5.7999999999999996E-3</v>
      </c>
      <c r="R42" s="2427"/>
      <c r="S42" s="2426"/>
      <c r="T42" s="2411"/>
      <c r="U42" s="2411"/>
      <c r="V42" s="2411"/>
    </row>
    <row r="43" spans="1:34">
      <c r="A43" s="2423" t="s">
        <v>1136</v>
      </c>
      <c r="B43" s="2424">
        <f>B42/(1+N42)</f>
        <v>275.24529281292263</v>
      </c>
      <c r="C43" s="2424">
        <f>C42/(1+O42)</f>
        <v>231.74747938962707</v>
      </c>
      <c r="D43" s="2424">
        <f t="shared" si="202"/>
        <v>231.74747938962707</v>
      </c>
      <c r="E43" s="2424">
        <f t="shared" si="213"/>
        <v>375.35938184826603</v>
      </c>
      <c r="F43" s="2424">
        <f t="shared" si="213"/>
        <v>216.78033510692495</v>
      </c>
      <c r="G43" s="3489"/>
      <c r="H43" s="2436">
        <v>2</v>
      </c>
      <c r="I43" s="2436">
        <v>0.02</v>
      </c>
      <c r="J43" s="2436">
        <v>0.12</v>
      </c>
      <c r="K43" s="2436">
        <v>-0.08</v>
      </c>
      <c r="L43" s="2437">
        <v>1.24</v>
      </c>
      <c r="N43" s="2426">
        <f t="shared" si="204"/>
        <v>2.0000000000000001E-4</v>
      </c>
      <c r="O43" s="2411">
        <f t="shared" si="204"/>
        <v>1.1999999999999999E-3</v>
      </c>
      <c r="P43" s="2411">
        <f t="shared" si="204"/>
        <v>-8.0000000000000004E-4</v>
      </c>
      <c r="Q43" s="2411">
        <f t="shared" si="204"/>
        <v>1.24E-2</v>
      </c>
      <c r="R43" s="2427"/>
      <c r="S43" s="2426"/>
      <c r="T43" s="2411"/>
      <c r="U43" s="2411"/>
      <c r="V43" s="2411"/>
    </row>
    <row r="44" spans="1:34" ht="13.5" thickBot="1">
      <c r="A44" s="2423" t="s">
        <v>1137</v>
      </c>
      <c r="B44" s="2424">
        <f>B43/(1+N43)</f>
        <v>275.19025476197027</v>
      </c>
      <c r="C44" s="2475">
        <v>232</v>
      </c>
      <c r="D44" s="2475">
        <f t="shared" si="202"/>
        <v>232</v>
      </c>
      <c r="E44" s="2424">
        <f t="shared" si="213"/>
        <v>375.65990977608692</v>
      </c>
      <c r="F44" s="2424">
        <f t="shared" si="213"/>
        <v>214.12518283971252</v>
      </c>
      <c r="G44" s="3490"/>
      <c r="H44" s="2425">
        <v>1</v>
      </c>
      <c r="I44" s="2425">
        <v>0.02</v>
      </c>
      <c r="J44" s="2425">
        <v>0.13</v>
      </c>
      <c r="K44" s="2425">
        <v>-0.04</v>
      </c>
      <c r="L44" s="2431">
        <v>0.46</v>
      </c>
      <c r="N44" s="2426">
        <f t="shared" si="204"/>
        <v>2.0000000000000001E-4</v>
      </c>
      <c r="O44" s="2411">
        <f t="shared" si="204"/>
        <v>1.2999999999999999E-3</v>
      </c>
      <c r="P44" s="2411">
        <f t="shared" si="204"/>
        <v>-4.0000000000000002E-4</v>
      </c>
      <c r="Q44" s="2411">
        <f t="shared" si="204"/>
        <v>4.5999999999999999E-3</v>
      </c>
      <c r="R44" s="2427"/>
      <c r="S44" s="2442">
        <f>B44/B45-1</f>
        <v>6.9183549807361189E-4</v>
      </c>
      <c r="T44" s="2443">
        <f>C44/C45-1</f>
        <v>0</v>
      </c>
      <c r="U44" s="2443">
        <f>E44/E45-1</f>
        <v>-9.0449527636460303E-4</v>
      </c>
      <c r="V44" s="2443">
        <f>F44/F45-1</f>
        <v>5.2825485432512753E-3</v>
      </c>
      <c r="X44" s="2411"/>
      <c r="Y44" s="2411"/>
      <c r="Z44" s="2411"/>
    </row>
    <row r="45" spans="1:34" ht="13.5" thickBot="1">
      <c r="A45" s="2423" t="s">
        <v>1138</v>
      </c>
      <c r="B45" s="2438">
        <v>275</v>
      </c>
      <c r="C45" s="2438">
        <v>232</v>
      </c>
      <c r="D45" s="2438">
        <f t="shared" si="202"/>
        <v>232</v>
      </c>
      <c r="E45" s="2438">
        <v>376</v>
      </c>
      <c r="F45" s="2439">
        <v>213</v>
      </c>
      <c r="G45" s="3488">
        <v>2011</v>
      </c>
      <c r="H45" s="2444">
        <v>4</v>
      </c>
      <c r="I45" s="2444">
        <v>-0.2</v>
      </c>
      <c r="J45" s="2444">
        <v>0.04</v>
      </c>
      <c r="K45" s="2444">
        <v>-0.34</v>
      </c>
      <c r="L45" s="2445">
        <v>0.46</v>
      </c>
      <c r="N45" s="2446">
        <f t="shared" si="204"/>
        <v>-2E-3</v>
      </c>
      <c r="O45" s="2447">
        <f t="shared" si="204"/>
        <v>4.0000000000000002E-4</v>
      </c>
      <c r="P45" s="2447">
        <f t="shared" si="204"/>
        <v>-3.4000000000000002E-3</v>
      </c>
      <c r="Q45" s="2447">
        <f t="shared" si="204"/>
        <v>4.5999999999999999E-3</v>
      </c>
      <c r="R45" s="2427"/>
      <c r="S45" s="2440"/>
      <c r="T45" s="2441"/>
      <c r="U45" s="2441"/>
      <c r="V45" s="2441"/>
      <c r="X45" s="2441"/>
      <c r="Y45" s="2441"/>
      <c r="Z45" s="2441"/>
    </row>
    <row r="46" spans="1:34">
      <c r="A46" s="2423" t="s">
        <v>1139</v>
      </c>
      <c r="B46" s="2424">
        <f t="shared" ref="B46:C48" si="214">B45/(1+N45)</f>
        <v>275.55110220440883</v>
      </c>
      <c r="C46" s="2424">
        <f t="shared" si="214"/>
        <v>231.90723710515795</v>
      </c>
      <c r="D46" s="2424">
        <f t="shared" si="202"/>
        <v>231.90723710515795</v>
      </c>
      <c r="E46" s="2424">
        <f t="shared" ref="E46:F48" si="215">E45/(1+P45)</f>
        <v>377.28276138872161</v>
      </c>
      <c r="F46" s="2424">
        <f t="shared" si="215"/>
        <v>212.02468644236512</v>
      </c>
      <c r="G46" s="3489">
        <v>2011</v>
      </c>
      <c r="H46" s="2449">
        <v>3</v>
      </c>
      <c r="I46" s="2449">
        <v>0.13</v>
      </c>
      <c r="J46" s="2449">
        <v>0.75</v>
      </c>
      <c r="K46" s="2449">
        <v>-0.08</v>
      </c>
      <c r="L46" s="2450">
        <v>0.53</v>
      </c>
      <c r="N46" s="2426">
        <f t="shared" si="204"/>
        <v>1.2999999999999999E-3</v>
      </c>
      <c r="O46" s="2451">
        <f t="shared" si="204"/>
        <v>7.4999999999999997E-3</v>
      </c>
      <c r="P46" s="2451">
        <f t="shared" si="204"/>
        <v>-8.0000000000000004E-4</v>
      </c>
      <c r="Q46" s="2451">
        <f t="shared" si="204"/>
        <v>5.3E-3</v>
      </c>
      <c r="R46" s="2427"/>
      <c r="S46" s="2426"/>
      <c r="T46" s="2411"/>
      <c r="U46" s="2411"/>
      <c r="V46" s="2411"/>
    </row>
    <row r="47" spans="1:34">
      <c r="A47" s="2423" t="s">
        <v>1140</v>
      </c>
      <c r="B47" s="2424">
        <f t="shared" si="214"/>
        <v>275.19335084830601</v>
      </c>
      <c r="C47" s="2424">
        <f t="shared" si="214"/>
        <v>230.18088050139744</v>
      </c>
      <c r="D47" s="2424">
        <f t="shared" si="202"/>
        <v>230.18088050139744</v>
      </c>
      <c r="E47" s="2424">
        <f t="shared" si="215"/>
        <v>377.58482925212331</v>
      </c>
      <c r="F47" s="2424">
        <f t="shared" si="215"/>
        <v>210.90687997847917</v>
      </c>
      <c r="G47" s="3489">
        <v>2011</v>
      </c>
      <c r="H47" s="2436">
        <v>2</v>
      </c>
      <c r="I47" s="2436">
        <v>-0.4</v>
      </c>
      <c r="J47" s="2436">
        <v>0.17</v>
      </c>
      <c r="K47" s="2436">
        <v>-0.57999999999999996</v>
      </c>
      <c r="L47" s="2437">
        <v>-0.2</v>
      </c>
      <c r="N47" s="2426">
        <f t="shared" si="204"/>
        <v>-4.0000000000000001E-3</v>
      </c>
      <c r="O47" s="2451">
        <f t="shared" si="204"/>
        <v>1.7000000000000001E-3</v>
      </c>
      <c r="P47" s="2451">
        <f t="shared" si="204"/>
        <v>-5.7999999999999996E-3</v>
      </c>
      <c r="Q47" s="2451">
        <f t="shared" si="204"/>
        <v>-2E-3</v>
      </c>
      <c r="R47" s="2427"/>
      <c r="S47" s="2426"/>
      <c r="T47" s="2411"/>
      <c r="U47" s="2411"/>
      <c r="V47" s="2411"/>
    </row>
    <row r="48" spans="1:34" ht="13.5" thickBot="1">
      <c r="A48" s="2423" t="s">
        <v>1141</v>
      </c>
      <c r="B48" s="2424">
        <f t="shared" si="214"/>
        <v>276.29854502841971</v>
      </c>
      <c r="C48" s="2424">
        <f t="shared" si="214"/>
        <v>229.79023709833027</v>
      </c>
      <c r="D48" s="2424">
        <f t="shared" si="202"/>
        <v>229.79023709833027</v>
      </c>
      <c r="E48" s="2424">
        <f t="shared" si="215"/>
        <v>379.78759731655936</v>
      </c>
      <c r="F48" s="2424">
        <f t="shared" si="215"/>
        <v>211.32953905659235</v>
      </c>
      <c r="G48" s="3490">
        <v>2011</v>
      </c>
      <c r="H48" s="2425">
        <v>1</v>
      </c>
      <c r="I48" s="2425">
        <v>2.65</v>
      </c>
      <c r="J48" s="2425">
        <v>3.76</v>
      </c>
      <c r="K48" s="2425">
        <v>1.89</v>
      </c>
      <c r="L48" s="2431">
        <v>7.95</v>
      </c>
      <c r="N48" s="2442">
        <f t="shared" si="204"/>
        <v>2.6499999999999999E-2</v>
      </c>
      <c r="O48" s="2443">
        <f t="shared" si="204"/>
        <v>3.7599999999999995E-2</v>
      </c>
      <c r="P48" s="2443">
        <f t="shared" si="204"/>
        <v>1.89E-2</v>
      </c>
      <c r="Q48" s="2443">
        <f t="shared" si="204"/>
        <v>7.9500000000000001E-2</v>
      </c>
      <c r="R48" s="2427"/>
      <c r="S48" s="2442">
        <f>B48/B49-1</f>
        <v>2.713213765211786E-2</v>
      </c>
      <c r="T48" s="2443">
        <f>C48/C49-1</f>
        <v>3.9774828499231862E-2</v>
      </c>
      <c r="U48" s="2443">
        <f>E48/E49-1</f>
        <v>1.8197311840641772E-2</v>
      </c>
      <c r="V48" s="2443">
        <f>F48/F49-1</f>
        <v>7.8211933962205826E-2</v>
      </c>
      <c r="X48" s="2411"/>
      <c r="Y48" s="2411"/>
      <c r="Z48" s="2411"/>
    </row>
    <row r="49" spans="1:26" ht="13.5" thickBot="1">
      <c r="A49" s="2423" t="s">
        <v>1142</v>
      </c>
      <c r="B49" s="2438">
        <v>269</v>
      </c>
      <c r="C49" s="2438">
        <v>221</v>
      </c>
      <c r="D49" s="2438">
        <f t="shared" si="202"/>
        <v>221</v>
      </c>
      <c r="E49" s="2438">
        <v>373</v>
      </c>
      <c r="F49" s="2439">
        <v>196</v>
      </c>
      <c r="G49" s="3488">
        <v>2010</v>
      </c>
      <c r="H49" s="2444">
        <v>4</v>
      </c>
      <c r="I49" s="2444">
        <v>5.72</v>
      </c>
      <c r="J49" s="2444">
        <v>6.57</v>
      </c>
      <c r="K49" s="2444">
        <v>5.72</v>
      </c>
      <c r="L49" s="2445">
        <v>2.72</v>
      </c>
      <c r="N49" s="2426">
        <f t="shared" si="204"/>
        <v>5.7200000000000001E-2</v>
      </c>
      <c r="O49" s="2411">
        <f t="shared" si="204"/>
        <v>6.5700000000000008E-2</v>
      </c>
      <c r="P49" s="2411">
        <f t="shared" si="204"/>
        <v>5.7200000000000001E-2</v>
      </c>
      <c r="Q49" s="2411">
        <f t="shared" si="204"/>
        <v>2.7200000000000002E-2</v>
      </c>
      <c r="R49" s="2427"/>
      <c r="S49" s="2440"/>
      <c r="T49" s="2441"/>
      <c r="U49" s="2441"/>
      <c r="V49" s="2441"/>
      <c r="X49" s="2441"/>
      <c r="Y49" s="2441"/>
      <c r="Z49" s="2441"/>
    </row>
    <row r="50" spans="1:26">
      <c r="A50" s="2423" t="s">
        <v>1143</v>
      </c>
      <c r="B50" s="2424">
        <f t="shared" ref="B50:C52" si="216">B49/(1+N49)</f>
        <v>254.44570563753314</v>
      </c>
      <c r="C50" s="2424">
        <f t="shared" si="216"/>
        <v>207.37543398705074</v>
      </c>
      <c r="D50" s="2424">
        <f t="shared" si="202"/>
        <v>207.37543398705074</v>
      </c>
      <c r="E50" s="2424">
        <f t="shared" ref="E50:F52" si="217">E49/(1+P49)</f>
        <v>352.81876655315932</v>
      </c>
      <c r="F50" s="2424">
        <f t="shared" si="217"/>
        <v>190.809968847352</v>
      </c>
      <c r="G50" s="3489">
        <v>2010</v>
      </c>
      <c r="H50" s="2449">
        <v>3</v>
      </c>
      <c r="I50" s="2449">
        <v>4.7300000000000004</v>
      </c>
      <c r="J50" s="2449">
        <v>3.9</v>
      </c>
      <c r="K50" s="2449">
        <v>5.03</v>
      </c>
      <c r="L50" s="2450">
        <v>4.21</v>
      </c>
      <c r="N50" s="2426">
        <f t="shared" si="204"/>
        <v>4.7300000000000002E-2</v>
      </c>
      <c r="O50" s="2411">
        <f t="shared" si="204"/>
        <v>3.9E-2</v>
      </c>
      <c r="P50" s="2411">
        <f t="shared" si="204"/>
        <v>5.0300000000000004E-2</v>
      </c>
      <c r="Q50" s="2411">
        <f t="shared" si="204"/>
        <v>4.2099999999999999E-2</v>
      </c>
      <c r="R50" s="2427"/>
      <c r="S50" s="2426"/>
      <c r="T50" s="2411"/>
      <c r="U50" s="2411"/>
      <c r="V50" s="2411"/>
    </row>
    <row r="51" spans="1:26">
      <c r="A51" s="2423" t="s">
        <v>1144</v>
      </c>
      <c r="B51" s="2424">
        <f t="shared" si="216"/>
        <v>242.95398227588385</v>
      </c>
      <c r="C51" s="2424">
        <f t="shared" si="216"/>
        <v>199.59137053614126</v>
      </c>
      <c r="D51" s="2424">
        <f t="shared" si="202"/>
        <v>199.59137053614126</v>
      </c>
      <c r="E51" s="2424">
        <f t="shared" si="217"/>
        <v>335.92189522342125</v>
      </c>
      <c r="F51" s="2424">
        <f t="shared" si="217"/>
        <v>183.10139991109489</v>
      </c>
      <c r="G51" s="3489">
        <v>2010</v>
      </c>
      <c r="H51" s="2436">
        <v>2</v>
      </c>
      <c r="I51" s="2436">
        <v>4.6900000000000004</v>
      </c>
      <c r="J51" s="2436">
        <v>3.55</v>
      </c>
      <c r="K51" s="2436">
        <v>5.07</v>
      </c>
      <c r="L51" s="2437">
        <v>4.2300000000000004</v>
      </c>
      <c r="N51" s="2426">
        <f t="shared" si="204"/>
        <v>4.6900000000000004E-2</v>
      </c>
      <c r="O51" s="2411">
        <f t="shared" si="204"/>
        <v>3.5499999999999997E-2</v>
      </c>
      <c r="P51" s="2411">
        <f t="shared" si="204"/>
        <v>5.0700000000000002E-2</v>
      </c>
      <c r="Q51" s="2411">
        <f t="shared" si="204"/>
        <v>4.2300000000000004E-2</v>
      </c>
      <c r="R51" s="2427"/>
      <c r="S51" s="2426"/>
      <c r="T51" s="2411"/>
      <c r="U51" s="2411"/>
      <c r="V51" s="2411"/>
    </row>
    <row r="52" spans="1:26" ht="13.5" thickBot="1">
      <c r="A52" s="2423" t="s">
        <v>1145</v>
      </c>
      <c r="B52" s="2424">
        <f t="shared" si="216"/>
        <v>232.06990378821649</v>
      </c>
      <c r="C52" s="2424">
        <f t="shared" si="216"/>
        <v>192.74878854286936</v>
      </c>
      <c r="D52" s="2424">
        <f t="shared" si="202"/>
        <v>192.74878854286936</v>
      </c>
      <c r="E52" s="2424">
        <f t="shared" si="217"/>
        <v>319.71247284992984</v>
      </c>
      <c r="F52" s="2424">
        <f t="shared" si="217"/>
        <v>175.67053622862409</v>
      </c>
      <c r="G52" s="3490">
        <v>2010</v>
      </c>
      <c r="H52" s="2425">
        <v>1</v>
      </c>
      <c r="I52" s="2425">
        <v>5.4</v>
      </c>
      <c r="J52" s="2425">
        <v>3.2</v>
      </c>
      <c r="K52" s="2425">
        <v>6.16</v>
      </c>
      <c r="L52" s="2431">
        <v>4.51</v>
      </c>
      <c r="N52" s="2426">
        <f t="shared" si="204"/>
        <v>5.4000000000000006E-2</v>
      </c>
      <c r="O52" s="2411">
        <f t="shared" si="204"/>
        <v>3.2000000000000001E-2</v>
      </c>
      <c r="P52" s="2411">
        <f t="shared" si="204"/>
        <v>6.1600000000000002E-2</v>
      </c>
      <c r="Q52" s="2411">
        <f t="shared" si="204"/>
        <v>4.5100000000000001E-2</v>
      </c>
      <c r="R52" s="2427"/>
      <c r="S52" s="2442">
        <f>B52/B53-1</f>
        <v>5.4863199037347599E-2</v>
      </c>
      <c r="T52" s="2443">
        <f>C52/C53-1</f>
        <v>3.0742184721226584E-2</v>
      </c>
      <c r="U52" s="2443">
        <f>E52/E53-1</f>
        <v>6.2167683886810154E-2</v>
      </c>
      <c r="V52" s="2443">
        <f>F52/F53-1</f>
        <v>4.5657953741810031E-2</v>
      </c>
      <c r="X52" s="2411"/>
      <c r="Y52" s="2411"/>
      <c r="Z52" s="2411"/>
    </row>
    <row r="53" spans="1:26" ht="13.5" thickBot="1">
      <c r="A53" s="2423" t="s">
        <v>1146</v>
      </c>
      <c r="B53" s="2438">
        <v>220</v>
      </c>
      <c r="C53" s="2438">
        <v>187</v>
      </c>
      <c r="D53" s="2438">
        <f t="shared" si="202"/>
        <v>187</v>
      </c>
      <c r="E53" s="2438">
        <v>301</v>
      </c>
      <c r="F53" s="2439">
        <v>168</v>
      </c>
      <c r="G53" s="3488">
        <v>2009</v>
      </c>
      <c r="H53" s="2444">
        <v>4</v>
      </c>
      <c r="I53" s="2444">
        <v>2.2999999999999998</v>
      </c>
      <c r="J53" s="2444">
        <v>1.04</v>
      </c>
      <c r="K53" s="2444">
        <v>2.84</v>
      </c>
      <c r="L53" s="2445">
        <v>0.67</v>
      </c>
      <c r="N53" s="2446">
        <f t="shared" si="204"/>
        <v>2.3E-2</v>
      </c>
      <c r="O53" s="2447">
        <f t="shared" si="204"/>
        <v>1.04E-2</v>
      </c>
      <c r="P53" s="2447">
        <f t="shared" si="204"/>
        <v>2.8399999999999998E-2</v>
      </c>
      <c r="Q53" s="2447">
        <f t="shared" si="204"/>
        <v>6.7000000000000002E-3</v>
      </c>
      <c r="R53" s="2427"/>
      <c r="S53" s="2440"/>
      <c r="T53" s="2441"/>
      <c r="U53" s="2441"/>
      <c r="V53" s="2441"/>
      <c r="X53" s="2441"/>
      <c r="Y53" s="2441"/>
      <c r="Z53" s="2441"/>
    </row>
    <row r="54" spans="1:26">
      <c r="A54" s="2423" t="s">
        <v>1147</v>
      </c>
      <c r="B54" s="2424">
        <f t="shared" ref="B54:C56" si="218">B53/(1+N53)</f>
        <v>215.05376344086022</v>
      </c>
      <c r="C54" s="2424">
        <f t="shared" si="218"/>
        <v>185.0752177355503</v>
      </c>
      <c r="D54" s="2424">
        <f t="shared" si="202"/>
        <v>185.0752177355503</v>
      </c>
      <c r="E54" s="2424">
        <f t="shared" ref="E54:F56" si="219">E53/(1+P53)</f>
        <v>292.68767016725008</v>
      </c>
      <c r="F54" s="2424">
        <f t="shared" si="219"/>
        <v>166.88189132810174</v>
      </c>
      <c r="G54" s="3489">
        <v>2009</v>
      </c>
      <c r="H54" s="2449">
        <v>3</v>
      </c>
      <c r="I54" s="2449">
        <v>2.1</v>
      </c>
      <c r="J54" s="2449">
        <v>1.86</v>
      </c>
      <c r="K54" s="2449">
        <v>2.29</v>
      </c>
      <c r="L54" s="2450">
        <v>0.85</v>
      </c>
      <c r="N54" s="2426">
        <f t="shared" si="204"/>
        <v>2.1000000000000001E-2</v>
      </c>
      <c r="O54" s="2451">
        <f t="shared" si="204"/>
        <v>1.8600000000000002E-2</v>
      </c>
      <c r="P54" s="2451">
        <f t="shared" si="204"/>
        <v>2.29E-2</v>
      </c>
      <c r="Q54" s="2451">
        <f t="shared" si="204"/>
        <v>8.5000000000000006E-3</v>
      </c>
      <c r="R54" s="2427"/>
      <c r="S54" s="2426"/>
      <c r="T54" s="2411"/>
      <c r="U54" s="2411"/>
      <c r="V54" s="2411"/>
    </row>
    <row r="55" spans="1:26">
      <c r="A55" s="2423" t="s">
        <v>1148</v>
      </c>
      <c r="B55" s="2424">
        <f t="shared" si="218"/>
        <v>210.630522469011</v>
      </c>
      <c r="C55" s="2424">
        <f t="shared" si="218"/>
        <v>181.69567812247232</v>
      </c>
      <c r="D55" s="2424">
        <f t="shared" si="202"/>
        <v>181.69567812247232</v>
      </c>
      <c r="E55" s="2424">
        <f t="shared" si="219"/>
        <v>286.13517466736738</v>
      </c>
      <c r="F55" s="2424">
        <f t="shared" si="219"/>
        <v>165.47535084591149</v>
      </c>
      <c r="G55" s="3489">
        <v>2009</v>
      </c>
      <c r="H55" s="2436">
        <v>2</v>
      </c>
      <c r="I55" s="2436">
        <v>0.86</v>
      </c>
      <c r="J55" s="2436">
        <v>-1.1299999999999999</v>
      </c>
      <c r="K55" s="2436">
        <v>1.79</v>
      </c>
      <c r="L55" s="2437">
        <v>-2.0699999999999998</v>
      </c>
      <c r="N55" s="2426">
        <f t="shared" si="204"/>
        <v>8.6E-3</v>
      </c>
      <c r="O55" s="2451">
        <f t="shared" si="204"/>
        <v>-1.1299999999999999E-2</v>
      </c>
      <c r="P55" s="2451">
        <f t="shared" si="204"/>
        <v>1.7899999999999999E-2</v>
      </c>
      <c r="Q55" s="2451">
        <f t="shared" si="204"/>
        <v>-2.07E-2</v>
      </c>
      <c r="R55" s="2427"/>
      <c r="S55" s="2426"/>
      <c r="T55" s="2411"/>
      <c r="U55" s="2411"/>
      <c r="V55" s="2411"/>
    </row>
    <row r="56" spans="1:26">
      <c r="A56" s="2423" t="s">
        <v>1149</v>
      </c>
      <c r="B56" s="2424">
        <f t="shared" si="218"/>
        <v>208.83454537875372</v>
      </c>
      <c r="C56" s="2424">
        <f t="shared" si="218"/>
        <v>183.77230517090351</v>
      </c>
      <c r="D56" s="2424">
        <f t="shared" si="202"/>
        <v>183.77230517090351</v>
      </c>
      <c r="E56" s="2424">
        <f t="shared" si="219"/>
        <v>281.10342338870947</v>
      </c>
      <c r="F56" s="2424">
        <f t="shared" si="219"/>
        <v>168.97309388942256</v>
      </c>
      <c r="G56" s="3490">
        <v>2009</v>
      </c>
      <c r="H56" s="2425">
        <v>1</v>
      </c>
      <c r="I56" s="2425">
        <v>-2.64</v>
      </c>
      <c r="J56" s="2425">
        <v>-2.5299999999999998</v>
      </c>
      <c r="K56" s="2425">
        <v>-3.02</v>
      </c>
      <c r="L56" s="2431">
        <v>1.52</v>
      </c>
      <c r="N56" s="2442">
        <f t="shared" si="204"/>
        <v>-2.64E-2</v>
      </c>
      <c r="O56" s="2443">
        <f t="shared" si="204"/>
        <v>-2.53E-2</v>
      </c>
      <c r="P56" s="2443">
        <f t="shared" si="204"/>
        <v>-3.0200000000000001E-2</v>
      </c>
      <c r="Q56" s="2443">
        <f t="shared" si="204"/>
        <v>1.52E-2</v>
      </c>
      <c r="R56" s="2427"/>
      <c r="S56" s="2442">
        <f>B56/B57-1</f>
        <v>-2.4137638417038754E-2</v>
      </c>
      <c r="T56" s="2443">
        <f>C56/C57-1</f>
        <v>-2.248773845264096E-2</v>
      </c>
      <c r="U56" s="2443">
        <f>E56/E57-1</f>
        <v>-2.7323794502735366E-2</v>
      </c>
      <c r="V56" s="2443">
        <f>F56/F57-1</f>
        <v>1.7910204153148035E-2</v>
      </c>
      <c r="X56" s="2411"/>
      <c r="Y56" s="2411"/>
      <c r="Z56" s="2411"/>
    </row>
    <row r="57" spans="1:26" ht="13.5" thickBot="1">
      <c r="A57" s="2423" t="s">
        <v>1150</v>
      </c>
      <c r="B57" s="2473">
        <v>214</v>
      </c>
      <c r="C57" s="2473">
        <v>188</v>
      </c>
      <c r="D57" s="2473">
        <f t="shared" si="202"/>
        <v>188</v>
      </c>
      <c r="E57" s="2473">
        <v>289</v>
      </c>
      <c r="F57" s="2474">
        <v>166</v>
      </c>
      <c r="G57" s="3488">
        <v>2008</v>
      </c>
      <c r="H57" s="2444">
        <v>4</v>
      </c>
      <c r="I57" s="2444">
        <v>1.73</v>
      </c>
      <c r="J57" s="2444">
        <v>0.03</v>
      </c>
      <c r="K57" s="2444">
        <v>2.59</v>
      </c>
      <c r="L57" s="2445">
        <v>-1.66</v>
      </c>
      <c r="N57" s="2426">
        <f t="shared" si="204"/>
        <v>1.7299999999999999E-2</v>
      </c>
      <c r="O57" s="2411">
        <f t="shared" si="204"/>
        <v>2.9999999999999997E-4</v>
      </c>
      <c r="P57" s="2411">
        <f t="shared" si="204"/>
        <v>2.5899999999999999E-2</v>
      </c>
      <c r="Q57" s="2411">
        <f t="shared" si="204"/>
        <v>-1.66E-2</v>
      </c>
      <c r="R57" s="2427"/>
      <c r="S57" s="2440"/>
      <c r="T57" s="2441"/>
      <c r="U57" s="2441"/>
      <c r="V57" s="2441"/>
      <c r="X57" s="2441"/>
      <c r="Y57" s="2441"/>
      <c r="Z57" s="2441"/>
    </row>
    <row r="58" spans="1:26">
      <c r="A58" s="2423" t="s">
        <v>1151</v>
      </c>
      <c r="B58" s="2424">
        <f t="shared" ref="B58:C60" si="220">B57/(1+N57)</f>
        <v>210.36075887152265</v>
      </c>
      <c r="C58" s="2424">
        <f t="shared" si="220"/>
        <v>187.94361691492554</v>
      </c>
      <c r="D58" s="2424">
        <f t="shared" si="202"/>
        <v>187.94361691492554</v>
      </c>
      <c r="E58" s="2424">
        <f t="shared" ref="E58:F60" si="221">E57/(1+P57)</f>
        <v>281.70386977288234</v>
      </c>
      <c r="F58" s="2424">
        <f t="shared" si="221"/>
        <v>168.80211511083994</v>
      </c>
      <c r="G58" s="3489">
        <v>2008</v>
      </c>
      <c r="H58" s="2449">
        <v>3</v>
      </c>
      <c r="I58" s="2449">
        <v>1.96</v>
      </c>
      <c r="J58" s="2449">
        <v>2.36</v>
      </c>
      <c r="K58" s="2449">
        <v>1.82</v>
      </c>
      <c r="L58" s="2450">
        <v>2.2200000000000002</v>
      </c>
      <c r="N58" s="2426">
        <f t="shared" si="204"/>
        <v>1.9599999999999999E-2</v>
      </c>
      <c r="O58" s="2411">
        <f t="shared" si="204"/>
        <v>2.3599999999999999E-2</v>
      </c>
      <c r="P58" s="2411">
        <f t="shared" si="204"/>
        <v>1.8200000000000001E-2</v>
      </c>
      <c r="Q58" s="2411">
        <f t="shared" si="204"/>
        <v>2.2200000000000001E-2</v>
      </c>
      <c r="R58" s="2427"/>
      <c r="S58" s="2426"/>
      <c r="T58" s="2411"/>
      <c r="U58" s="2411"/>
      <c r="V58" s="2411"/>
    </row>
    <row r="59" spans="1:26">
      <c r="A59" s="2423" t="s">
        <v>1152</v>
      </c>
      <c r="B59" s="2424">
        <f t="shared" si="220"/>
        <v>206.31694671589116</v>
      </c>
      <c r="C59" s="2424">
        <f t="shared" si="220"/>
        <v>183.61041121036101</v>
      </c>
      <c r="D59" s="2424">
        <f t="shared" si="202"/>
        <v>183.61041121036101</v>
      </c>
      <c r="E59" s="2424">
        <f t="shared" si="221"/>
        <v>276.66850301795557</v>
      </c>
      <c r="F59" s="2424">
        <f t="shared" si="221"/>
        <v>165.1360938278614</v>
      </c>
      <c r="G59" s="3489">
        <v>2008</v>
      </c>
      <c r="H59" s="2436">
        <v>2</v>
      </c>
      <c r="I59" s="2436">
        <v>4.93</v>
      </c>
      <c r="J59" s="2436">
        <v>7.38</v>
      </c>
      <c r="K59" s="2436">
        <v>3.98</v>
      </c>
      <c r="L59" s="2437">
        <v>6.86</v>
      </c>
      <c r="N59" s="2426">
        <f t="shared" si="204"/>
        <v>4.9299999999999997E-2</v>
      </c>
      <c r="O59" s="2411">
        <f t="shared" si="204"/>
        <v>7.3800000000000004E-2</v>
      </c>
      <c r="P59" s="2411">
        <f t="shared" si="204"/>
        <v>3.9800000000000002E-2</v>
      </c>
      <c r="Q59" s="2411">
        <f t="shared" si="204"/>
        <v>6.8600000000000008E-2</v>
      </c>
      <c r="R59" s="2427"/>
      <c r="S59" s="2426"/>
      <c r="T59" s="2411"/>
      <c r="U59" s="2411"/>
      <c r="V59" s="2411"/>
    </row>
    <row r="60" spans="1:26" s="2479" customFormat="1" ht="13.5" thickBot="1">
      <c r="A60" s="2423" t="s">
        <v>1153</v>
      </c>
      <c r="B60" s="2476">
        <f t="shared" si="220"/>
        <v>196.62341248059772</v>
      </c>
      <c r="C60" s="2476">
        <f t="shared" si="220"/>
        <v>170.99125648199012</v>
      </c>
      <c r="D60" s="2476">
        <f t="shared" si="202"/>
        <v>170.99125648199012</v>
      </c>
      <c r="E60" s="2476">
        <f t="shared" si="221"/>
        <v>266.07857570490052</v>
      </c>
      <c r="F60" s="2476">
        <f t="shared" si="221"/>
        <v>154.53499328828505</v>
      </c>
      <c r="G60" s="3490">
        <v>2008</v>
      </c>
      <c r="H60" s="2477">
        <v>1</v>
      </c>
      <c r="I60" s="2477">
        <v>4.1399999999999997</v>
      </c>
      <c r="J60" s="2477">
        <v>3.45</v>
      </c>
      <c r="K60" s="2477">
        <v>4.95</v>
      </c>
      <c r="L60" s="2478">
        <v>4.82</v>
      </c>
      <c r="N60" s="2480">
        <f t="shared" si="204"/>
        <v>4.1399999999999999E-2</v>
      </c>
      <c r="O60" s="2481">
        <f t="shared" si="204"/>
        <v>3.4500000000000003E-2</v>
      </c>
      <c r="P60" s="2481">
        <f t="shared" si="204"/>
        <v>4.9500000000000002E-2</v>
      </c>
      <c r="Q60" s="2481">
        <f t="shared" si="204"/>
        <v>4.82E-2</v>
      </c>
      <c r="R60" s="2482"/>
      <c r="S60" s="2480">
        <f>B60/B61-1</f>
        <v>4.5869215322328349E-2</v>
      </c>
      <c r="T60" s="2481">
        <f>C60/C61-1</f>
        <v>3.6310645345394743E-2</v>
      </c>
      <c r="U60" s="2481">
        <f>E60/E61-1</f>
        <v>4.7553447657088688E-2</v>
      </c>
      <c r="V60" s="2481">
        <f>F60/F61-1</f>
        <v>4.4155360055980086E-2</v>
      </c>
      <c r="X60" s="2481"/>
      <c r="Y60" s="2481"/>
      <c r="Z60" s="2481"/>
    </row>
    <row r="61" spans="1:26" ht="13.5" thickBot="1">
      <c r="A61" s="2423" t="s">
        <v>1154</v>
      </c>
      <c r="B61" s="2438">
        <v>188</v>
      </c>
      <c r="C61" s="2438">
        <v>165</v>
      </c>
      <c r="D61" s="2438">
        <f t="shared" si="202"/>
        <v>165</v>
      </c>
      <c r="E61" s="2438">
        <v>254</v>
      </c>
      <c r="F61" s="2439">
        <v>148</v>
      </c>
      <c r="G61" s="3488">
        <v>2007</v>
      </c>
      <c r="H61" s="2483">
        <v>4</v>
      </c>
      <c r="I61" s="2483">
        <v>5.51</v>
      </c>
      <c r="J61" s="2483">
        <v>4.8899999999999997</v>
      </c>
      <c r="K61" s="2483">
        <v>6.43</v>
      </c>
      <c r="L61" s="2484">
        <v>5.36</v>
      </c>
      <c r="N61" s="2485">
        <f t="shared" ref="N61:O64" si="222">B61/B62-1</f>
        <v>4.1339718365245526E-2</v>
      </c>
      <c r="O61" s="2486">
        <f t="shared" si="222"/>
        <v>4.0324492593776018E-2</v>
      </c>
      <c r="P61" s="2486">
        <f t="shared" ref="P61:Q64" si="223">E61/E62-1</f>
        <v>6.1625555347990968E-2</v>
      </c>
      <c r="Q61" s="2486">
        <f t="shared" si="223"/>
        <v>4.6757569250590603E-2</v>
      </c>
      <c r="R61" s="2427"/>
      <c r="S61" s="2440"/>
      <c r="T61" s="2441"/>
      <c r="U61" s="2441"/>
      <c r="V61" s="2441"/>
      <c r="X61" s="2441"/>
      <c r="Y61" s="2441"/>
      <c r="Z61" s="2441"/>
    </row>
    <row r="62" spans="1:26">
      <c r="A62" s="2423" t="s">
        <v>1155</v>
      </c>
      <c r="B62" s="2424">
        <f t="shared" ref="B62:C64" si="224">B63+(B$61-B$65)*I62/SUM(I$61:I$64)</f>
        <v>180.5366651097618</v>
      </c>
      <c r="C62" s="2424">
        <f t="shared" si="224"/>
        <v>158.60435967302453</v>
      </c>
      <c r="D62" s="2424">
        <f t="shared" si="202"/>
        <v>158.60435967302453</v>
      </c>
      <c r="E62" s="2424">
        <f t="shared" ref="E62:F64" si="225">E63+(E$61-E$65)*K62/SUM(K$61:K$64)</f>
        <v>239.25573260785075</v>
      </c>
      <c r="F62" s="2424">
        <f t="shared" si="225"/>
        <v>141.38899430740037</v>
      </c>
      <c r="G62" s="3489">
        <v>2007</v>
      </c>
      <c r="H62" s="2449">
        <v>3</v>
      </c>
      <c r="I62" s="2449">
        <v>8.65</v>
      </c>
      <c r="J62" s="2449">
        <v>8.06</v>
      </c>
      <c r="K62" s="2449">
        <v>9.94</v>
      </c>
      <c r="L62" s="2450">
        <v>5.8</v>
      </c>
      <c r="N62" s="2485">
        <f t="shared" si="222"/>
        <v>6.940217571740015E-2</v>
      </c>
      <c r="O62" s="2486">
        <f t="shared" si="222"/>
        <v>7.1197482471153428E-2</v>
      </c>
      <c r="P62" s="2486">
        <f t="shared" si="223"/>
        <v>0.10529679922579582</v>
      </c>
      <c r="Q62" s="2486">
        <f t="shared" si="223"/>
        <v>5.3292245059512133E-2</v>
      </c>
      <c r="R62" s="2427"/>
      <c r="S62" s="2426"/>
      <c r="T62" s="2411"/>
      <c r="U62" s="2411"/>
      <c r="V62" s="2411"/>
      <c r="X62" s="2487"/>
      <c r="Y62" s="2487"/>
      <c r="Z62" s="2487"/>
    </row>
    <row r="63" spans="1:26">
      <c r="A63" s="2423" t="s">
        <v>1156</v>
      </c>
      <c r="B63" s="2424">
        <f t="shared" si="224"/>
        <v>168.82017748715555</v>
      </c>
      <c r="C63" s="2424">
        <f t="shared" si="224"/>
        <v>148.06267029972753</v>
      </c>
      <c r="D63" s="2424">
        <f t="shared" si="202"/>
        <v>148.06267029972753</v>
      </c>
      <c r="E63" s="2424">
        <f t="shared" si="225"/>
        <v>216.46288379323747</v>
      </c>
      <c r="F63" s="2424">
        <f t="shared" si="225"/>
        <v>134.23529411764704</v>
      </c>
      <c r="G63" s="3489">
        <v>2007</v>
      </c>
      <c r="H63" s="2436">
        <v>2</v>
      </c>
      <c r="I63" s="2436">
        <v>3.67</v>
      </c>
      <c r="J63" s="2436">
        <v>2.3199999999999998</v>
      </c>
      <c r="K63" s="2436">
        <v>5.0199999999999996</v>
      </c>
      <c r="L63" s="2437">
        <v>6.71</v>
      </c>
      <c r="N63" s="2485">
        <f t="shared" si="222"/>
        <v>3.0339138143848032E-2</v>
      </c>
      <c r="O63" s="2486">
        <f t="shared" si="222"/>
        <v>2.0922341588790472E-2</v>
      </c>
      <c r="P63" s="2486">
        <f t="shared" si="223"/>
        <v>5.6164796592717003E-2</v>
      </c>
      <c r="Q63" s="2486">
        <f t="shared" si="223"/>
        <v>6.5704536723887319E-2</v>
      </c>
      <c r="R63" s="2427"/>
      <c r="S63" s="2426"/>
      <c r="T63" s="2411"/>
      <c r="U63" s="2411"/>
      <c r="V63" s="2411"/>
      <c r="X63" s="2487"/>
      <c r="Y63" s="2487"/>
      <c r="Z63" s="2487"/>
    </row>
    <row r="64" spans="1:26">
      <c r="A64" s="2423" t="s">
        <v>1157</v>
      </c>
      <c r="B64" s="2424">
        <f t="shared" si="224"/>
        <v>163.84913591779542</v>
      </c>
      <c r="C64" s="2424">
        <f t="shared" si="224"/>
        <v>145.0283378746594</v>
      </c>
      <c r="D64" s="2424">
        <f t="shared" si="202"/>
        <v>145.0283378746594</v>
      </c>
      <c r="E64" s="2424">
        <f t="shared" si="225"/>
        <v>204.95180722891567</v>
      </c>
      <c r="F64" s="2424">
        <f t="shared" si="225"/>
        <v>125.95920303605313</v>
      </c>
      <c r="G64" s="3490">
        <v>2007</v>
      </c>
      <c r="H64" s="2425">
        <v>1</v>
      </c>
      <c r="I64" s="2425">
        <v>3.58</v>
      </c>
      <c r="J64" s="2425">
        <v>3.08</v>
      </c>
      <c r="K64" s="2425">
        <v>4.34</v>
      </c>
      <c r="L64" s="2431">
        <v>3.21</v>
      </c>
      <c r="N64" s="2488">
        <f t="shared" si="222"/>
        <v>3.0497710174814063E-2</v>
      </c>
      <c r="O64" s="2489">
        <f t="shared" si="222"/>
        <v>2.8569772160704998E-2</v>
      </c>
      <c r="P64" s="2489">
        <f t="shared" si="223"/>
        <v>5.1034908866234296E-2</v>
      </c>
      <c r="Q64" s="2489">
        <f t="shared" si="223"/>
        <v>3.245248390207478E-2</v>
      </c>
      <c r="R64" s="2427"/>
      <c r="S64" s="2442">
        <f>B64/B65-1</f>
        <v>3.0497710174814063E-2</v>
      </c>
      <c r="T64" s="2443">
        <f>C64/C65-1</f>
        <v>2.8569772160704998E-2</v>
      </c>
      <c r="U64" s="2443">
        <f>E64/E65-1</f>
        <v>5.1034908866234296E-2</v>
      </c>
      <c r="V64" s="2443">
        <f>F64/F65-1</f>
        <v>3.245248390207478E-2</v>
      </c>
      <c r="X64" s="2487"/>
      <c r="Y64" s="2487"/>
      <c r="Z64" s="2487"/>
    </row>
    <row r="65" spans="1:26" ht="13.5" thickBot="1">
      <c r="A65" s="2423" t="s">
        <v>1158</v>
      </c>
      <c r="B65" s="2452">
        <v>159</v>
      </c>
      <c r="C65" s="2452">
        <v>141</v>
      </c>
      <c r="D65" s="2452">
        <f t="shared" si="202"/>
        <v>141</v>
      </c>
      <c r="E65" s="2452">
        <v>195</v>
      </c>
      <c r="F65" s="2453">
        <v>122</v>
      </c>
      <c r="G65" s="3488">
        <v>2006</v>
      </c>
      <c r="H65" s="2444">
        <v>4</v>
      </c>
      <c r="I65" s="2444">
        <v>3.79</v>
      </c>
      <c r="J65" s="2444">
        <v>2.21</v>
      </c>
      <c r="K65" s="2444">
        <v>5.65</v>
      </c>
      <c r="L65" s="2445">
        <v>5.41</v>
      </c>
      <c r="N65" s="2485">
        <f t="shared" ref="N65:O68" si="226">I65/SUM(I$65:I$68)*(B$65/B$69-1)</f>
        <v>7.245466462748526E-2</v>
      </c>
      <c r="O65" s="2486">
        <f t="shared" si="226"/>
        <v>2.3237230038062766E-2</v>
      </c>
      <c r="P65" s="2486">
        <f t="shared" ref="P65:Q68" si="227">K65/SUM(K$65:K$68)*(E$65/E$69-1)</f>
        <v>0.16146893866323722</v>
      </c>
      <c r="Q65" s="2486">
        <f t="shared" si="227"/>
        <v>5.0755230321793784E-2</v>
      </c>
      <c r="R65" s="2427"/>
      <c r="S65" s="2440"/>
      <c r="T65" s="2441"/>
      <c r="U65" s="2441"/>
      <c r="V65" s="2441"/>
      <c r="X65" s="2487"/>
      <c r="Y65" s="2487"/>
      <c r="Z65" s="2487"/>
    </row>
    <row r="66" spans="1:26">
      <c r="A66" s="2423" t="s">
        <v>1159</v>
      </c>
      <c r="B66" s="2424">
        <f t="shared" ref="B66:C68" si="228">B67+(B$65-B$69)*I66/SUM(I$65:I$68)</f>
        <v>149.00125628140702</v>
      </c>
      <c r="C66" s="2424">
        <f t="shared" si="228"/>
        <v>137.95592286501378</v>
      </c>
      <c r="D66" s="2424">
        <f t="shared" si="202"/>
        <v>137.95592286501378</v>
      </c>
      <c r="E66" s="2424">
        <f t="shared" ref="E66:F68" si="229">E67+(E$65-E$69)*K66/SUM(K$65:K$68)</f>
        <v>169.97231450719823</v>
      </c>
      <c r="F66" s="2424">
        <f t="shared" si="229"/>
        <v>116.21390374331551</v>
      </c>
      <c r="G66" s="3489">
        <v>2006</v>
      </c>
      <c r="H66" s="2449">
        <v>3</v>
      </c>
      <c r="I66" s="2449">
        <v>0.92</v>
      </c>
      <c r="J66" s="2449">
        <v>1.08</v>
      </c>
      <c r="K66" s="2449">
        <v>0.73</v>
      </c>
      <c r="L66" s="2450">
        <v>1.08</v>
      </c>
      <c r="N66" s="2485">
        <f t="shared" si="226"/>
        <v>1.7587939698492462E-2</v>
      </c>
      <c r="O66" s="2486">
        <f t="shared" si="226"/>
        <v>1.1355750425840628E-2</v>
      </c>
      <c r="P66" s="2486">
        <f t="shared" si="227"/>
        <v>2.0862358446754544E-2</v>
      </c>
      <c r="Q66" s="2486">
        <f t="shared" si="227"/>
        <v>1.0132282578103011E-2</v>
      </c>
      <c r="R66" s="2427"/>
      <c r="S66" s="2426"/>
      <c r="T66" s="2411"/>
      <c r="U66" s="2411"/>
      <c r="V66" s="2411"/>
      <c r="X66" s="2487"/>
      <c r="Y66" s="2487"/>
      <c r="Z66" s="2487"/>
    </row>
    <row r="67" spans="1:26">
      <c r="A67" s="2423" t="s">
        <v>1160</v>
      </c>
      <c r="B67" s="2424">
        <f t="shared" si="228"/>
        <v>146.57412060301507</v>
      </c>
      <c r="C67" s="2424">
        <f t="shared" si="228"/>
        <v>136.46831955922866</v>
      </c>
      <c r="D67" s="2424">
        <f t="shared" si="202"/>
        <v>136.46831955922866</v>
      </c>
      <c r="E67" s="2424">
        <f t="shared" si="229"/>
        <v>166.73864894795128</v>
      </c>
      <c r="F67" s="2424">
        <f t="shared" si="229"/>
        <v>115.05882352941177</v>
      </c>
      <c r="G67" s="3489">
        <v>2006</v>
      </c>
      <c r="H67" s="2436">
        <v>2</v>
      </c>
      <c r="I67" s="2436">
        <v>0.96</v>
      </c>
      <c r="J67" s="2436">
        <v>0.25</v>
      </c>
      <c r="K67" s="2436">
        <v>1.9</v>
      </c>
      <c r="L67" s="2437">
        <v>0.95</v>
      </c>
      <c r="N67" s="2485">
        <f t="shared" si="226"/>
        <v>1.8352632728861701E-2</v>
      </c>
      <c r="O67" s="2486">
        <f t="shared" si="226"/>
        <v>2.6286459319075526E-3</v>
      </c>
      <c r="P67" s="2486">
        <f t="shared" si="227"/>
        <v>5.4299289107991269E-2</v>
      </c>
      <c r="Q67" s="2486">
        <f t="shared" si="227"/>
        <v>8.9126559714794995E-3</v>
      </c>
      <c r="R67" s="2427"/>
      <c r="S67" s="2426"/>
      <c r="T67" s="2411"/>
      <c r="U67" s="2411"/>
      <c r="V67" s="2411"/>
      <c r="X67" s="2487"/>
      <c r="Y67" s="2487"/>
      <c r="Z67" s="2487"/>
    </row>
    <row r="68" spans="1:26">
      <c r="A68" s="2423" t="s">
        <v>1161</v>
      </c>
      <c r="B68" s="2424">
        <f t="shared" si="228"/>
        <v>144.04145728643215</v>
      </c>
      <c r="C68" s="2424">
        <f t="shared" si="228"/>
        <v>136.12396694214877</v>
      </c>
      <c r="D68" s="2424">
        <f t="shared" si="202"/>
        <v>136.12396694214877</v>
      </c>
      <c r="E68" s="2424">
        <f t="shared" si="229"/>
        <v>158.32225913621264</v>
      </c>
      <c r="F68" s="2424">
        <f t="shared" si="229"/>
        <v>114.04278074866311</v>
      </c>
      <c r="G68" s="3490">
        <v>2006</v>
      </c>
      <c r="H68" s="2425">
        <v>1</v>
      </c>
      <c r="I68" s="2425">
        <v>2.29</v>
      </c>
      <c r="J68" s="2425">
        <v>3.72</v>
      </c>
      <c r="K68" s="2425">
        <v>0.75</v>
      </c>
      <c r="L68" s="2431">
        <v>0.04</v>
      </c>
      <c r="N68" s="2488">
        <f t="shared" si="226"/>
        <v>4.3778675988638847E-2</v>
      </c>
      <c r="O68" s="2489">
        <f t="shared" si="226"/>
        <v>3.9114251466784385E-2</v>
      </c>
      <c r="P68" s="2489">
        <f t="shared" si="227"/>
        <v>2.1433929911049188E-2</v>
      </c>
      <c r="Q68" s="2489">
        <f t="shared" si="227"/>
        <v>3.7526972511492629E-4</v>
      </c>
      <c r="R68" s="2427"/>
      <c r="S68" s="2442">
        <f>B68/B69-1</f>
        <v>4.3778675988638716E-2</v>
      </c>
      <c r="T68" s="2443">
        <f>C68/C69-1</f>
        <v>3.91142514667846E-2</v>
      </c>
      <c r="U68" s="2443">
        <f>E68/E69-1</f>
        <v>2.143392991104931E-2</v>
      </c>
      <c r="V68" s="2443">
        <f>F68/F69-1</f>
        <v>3.7526972511492396E-4</v>
      </c>
      <c r="X68" s="2487"/>
      <c r="Y68" s="2487"/>
      <c r="Z68" s="2487"/>
    </row>
    <row r="69" spans="1:26" ht="13.5" thickBot="1">
      <c r="A69" s="2423" t="s">
        <v>1162</v>
      </c>
      <c r="B69" s="2452">
        <v>138</v>
      </c>
      <c r="C69" s="2452">
        <v>131</v>
      </c>
      <c r="D69" s="2452">
        <f t="shared" si="202"/>
        <v>131</v>
      </c>
      <c r="E69" s="2452">
        <v>155</v>
      </c>
      <c r="F69" s="2453">
        <v>114</v>
      </c>
      <c r="G69" s="3488">
        <v>2005</v>
      </c>
      <c r="H69" s="2444">
        <v>4</v>
      </c>
      <c r="I69" s="2444">
        <v>3.29</v>
      </c>
      <c r="J69" s="2444">
        <v>1.44</v>
      </c>
      <c r="K69" s="2444">
        <v>0.66</v>
      </c>
      <c r="L69" s="2445">
        <v>7.78</v>
      </c>
      <c r="N69" s="2485">
        <f t="shared" ref="N69:O72" si="230">I69/SUM(I$69:I$72)*(B$69/B$73-1)</f>
        <v>9.9404603216919935E-2</v>
      </c>
      <c r="O69" s="2486">
        <f t="shared" si="230"/>
        <v>4.7636550760861554E-2</v>
      </c>
      <c r="P69" s="2486">
        <f t="shared" ref="P69:Q72" si="231">K69/SUM(K$69:K$72)*(E$69/E$73-1)</f>
        <v>8.3756345177664976E-2</v>
      </c>
      <c r="Q69" s="2486">
        <f t="shared" si="231"/>
        <v>5.2148766661559584E-2</v>
      </c>
      <c r="R69" s="2427"/>
      <c r="S69" s="2440"/>
      <c r="T69" s="2441"/>
      <c r="U69" s="2441"/>
      <c r="V69" s="2441"/>
      <c r="X69" s="2487"/>
      <c r="Y69" s="2487"/>
      <c r="Z69" s="2487"/>
    </row>
    <row r="70" spans="1:26">
      <c r="A70" s="2423" t="s">
        <v>1163</v>
      </c>
      <c r="B70" s="2424">
        <f t="shared" ref="B70:C72" si="232">B71+(B$69-B$73)*I70/SUM(I$69:I$72)</f>
        <v>125.9720430107527</v>
      </c>
      <c r="C70" s="2424">
        <f t="shared" si="232"/>
        <v>125.1883408071749</v>
      </c>
      <c r="D70" s="2424">
        <f t="shared" si="202"/>
        <v>125.1883408071749</v>
      </c>
      <c r="E70" s="2424">
        <f t="shared" ref="E70:F72" si="233">E71+(E$69-E$73)*K70/SUM(K$69:K$72)</f>
        <v>144.61421319796952</v>
      </c>
      <c r="F70" s="2424">
        <f t="shared" si="233"/>
        <v>108.42008196721311</v>
      </c>
      <c r="G70" s="3489">
        <v>2005</v>
      </c>
      <c r="H70" s="2449">
        <v>3</v>
      </c>
      <c r="I70" s="2449">
        <v>0.46</v>
      </c>
      <c r="J70" s="2449">
        <v>0.32</v>
      </c>
      <c r="K70" s="2449">
        <v>0.42</v>
      </c>
      <c r="L70" s="2450">
        <v>0.64</v>
      </c>
      <c r="N70" s="2485">
        <f t="shared" si="230"/>
        <v>1.3898515951301874E-2</v>
      </c>
      <c r="O70" s="2486">
        <f t="shared" si="230"/>
        <v>1.0585900169080346E-2</v>
      </c>
      <c r="P70" s="2486">
        <f t="shared" si="231"/>
        <v>5.3299492385786795E-2</v>
      </c>
      <c r="Q70" s="2486">
        <f t="shared" si="231"/>
        <v>4.2898728359123568E-3</v>
      </c>
      <c r="R70" s="2427"/>
      <c r="S70" s="2426"/>
      <c r="T70" s="2411"/>
      <c r="U70" s="2411"/>
      <c r="V70" s="2411"/>
      <c r="X70" s="2487"/>
      <c r="Y70" s="2487"/>
      <c r="Z70" s="2487"/>
    </row>
    <row r="71" spans="1:26">
      <c r="A71" s="2423" t="s">
        <v>1164</v>
      </c>
      <c r="B71" s="2424">
        <f t="shared" si="232"/>
        <v>124.29032258064517</v>
      </c>
      <c r="C71" s="2424">
        <f t="shared" si="232"/>
        <v>123.8968609865471</v>
      </c>
      <c r="D71" s="2424">
        <f t="shared" si="202"/>
        <v>123.8968609865471</v>
      </c>
      <c r="E71" s="2424">
        <f t="shared" si="233"/>
        <v>138.00507614213197</v>
      </c>
      <c r="F71" s="2424">
        <f t="shared" si="233"/>
        <v>107.96106557377048</v>
      </c>
      <c r="G71" s="3489">
        <v>2005</v>
      </c>
      <c r="H71" s="2436">
        <v>2</v>
      </c>
      <c r="I71" s="2436">
        <v>0.47</v>
      </c>
      <c r="J71" s="2436">
        <v>0.1</v>
      </c>
      <c r="K71" s="2436">
        <v>0.52</v>
      </c>
      <c r="L71" s="2437">
        <v>0.79</v>
      </c>
      <c r="N71" s="2485">
        <f t="shared" si="230"/>
        <v>1.420065760241713E-2</v>
      </c>
      <c r="O71" s="2486">
        <f t="shared" si="230"/>
        <v>3.3080938028376083E-3</v>
      </c>
      <c r="P71" s="2486">
        <f t="shared" si="231"/>
        <v>6.598984771573603E-2</v>
      </c>
      <c r="Q71" s="2486">
        <f t="shared" si="231"/>
        <v>5.2953117818293153E-3</v>
      </c>
      <c r="R71" s="2427"/>
      <c r="S71" s="2426"/>
      <c r="T71" s="2411"/>
      <c r="U71" s="2411"/>
      <c r="V71" s="2411"/>
      <c r="X71" s="2487"/>
      <c r="Y71" s="2487"/>
      <c r="Z71" s="2487"/>
    </row>
    <row r="72" spans="1:26">
      <c r="A72" s="2423" t="s">
        <v>1165</v>
      </c>
      <c r="B72" s="2424">
        <f t="shared" si="232"/>
        <v>122.57204301075269</v>
      </c>
      <c r="C72" s="2424">
        <f t="shared" si="232"/>
        <v>123.4932735426009</v>
      </c>
      <c r="D72" s="2424">
        <f t="shared" si="202"/>
        <v>123.4932735426009</v>
      </c>
      <c r="E72" s="2424">
        <f t="shared" si="233"/>
        <v>129.82233502538071</v>
      </c>
      <c r="F72" s="2424">
        <f t="shared" si="233"/>
        <v>107.39446721311475</v>
      </c>
      <c r="G72" s="3490">
        <v>2005</v>
      </c>
      <c r="H72" s="2425">
        <v>1</v>
      </c>
      <c r="I72" s="2425">
        <v>0.43</v>
      </c>
      <c r="J72" s="2425">
        <v>0.37</v>
      </c>
      <c r="K72" s="2425">
        <v>0.37</v>
      </c>
      <c r="L72" s="2431">
        <v>0.55000000000000004</v>
      </c>
      <c r="N72" s="2488">
        <f t="shared" si="230"/>
        <v>1.2992090997956099E-2</v>
      </c>
      <c r="O72" s="2489">
        <f t="shared" si="230"/>
        <v>1.2239947070499151E-2</v>
      </c>
      <c r="P72" s="2489">
        <f t="shared" si="231"/>
        <v>4.6954314720812178E-2</v>
      </c>
      <c r="Q72" s="2489">
        <f t="shared" si="231"/>
        <v>3.6866094683621815E-3</v>
      </c>
      <c r="R72" s="2427"/>
      <c r="S72" s="2442">
        <f>B72/B73-1</f>
        <v>1.2992090997956174E-2</v>
      </c>
      <c r="T72" s="2443">
        <f>C72/C73-1</f>
        <v>1.2239947070499246E-2</v>
      </c>
      <c r="U72" s="2443">
        <f>E72/E73-1</f>
        <v>4.695431472081224E-2</v>
      </c>
      <c r="V72" s="2443">
        <f>F72/F73-1</f>
        <v>3.6866094683620787E-3</v>
      </c>
      <c r="X72" s="2487"/>
      <c r="Y72" s="2487"/>
      <c r="Z72" s="2487"/>
    </row>
    <row r="73" spans="1:26" ht="13.5" thickBot="1">
      <c r="A73" s="2423" t="s">
        <v>1166</v>
      </c>
      <c r="B73" s="2473">
        <v>121</v>
      </c>
      <c r="C73" s="2473">
        <v>122</v>
      </c>
      <c r="D73" s="2473">
        <f t="shared" si="202"/>
        <v>122</v>
      </c>
      <c r="E73" s="2473">
        <v>124</v>
      </c>
      <c r="F73" s="2474">
        <v>107</v>
      </c>
      <c r="G73" s="3488">
        <v>2004</v>
      </c>
      <c r="H73" s="2444">
        <v>4</v>
      </c>
      <c r="I73" s="2444">
        <v>0.33</v>
      </c>
      <c r="J73" s="2444">
        <v>0.5</v>
      </c>
      <c r="K73" s="2444">
        <v>0.5</v>
      </c>
      <c r="L73" s="2445">
        <v>0</v>
      </c>
      <c r="N73" s="2485">
        <f t="shared" ref="N73:O76" si="234">I73/SUM(I$73:I$76)*(B$73/B$77-1)</f>
        <v>1.3391770148526898E-2</v>
      </c>
      <c r="O73" s="2486">
        <f t="shared" si="234"/>
        <v>1.063264221158958E-2</v>
      </c>
      <c r="P73" s="2486">
        <f t="shared" ref="P73:Q76" si="235">K73/SUM(K$73:K$76)*(E$73/E$77-1)</f>
        <v>2.2244466688911134E-2</v>
      </c>
      <c r="Q73" s="2486">
        <f t="shared" si="235"/>
        <v>0</v>
      </c>
      <c r="R73" s="2427"/>
      <c r="S73" s="2440"/>
      <c r="T73" s="2441"/>
      <c r="U73" s="2441"/>
      <c r="V73" s="2441"/>
      <c r="X73" s="2487"/>
      <c r="Y73" s="2487"/>
      <c r="Z73" s="2487"/>
    </row>
    <row r="74" spans="1:26">
      <c r="A74" s="2423" t="s">
        <v>1167</v>
      </c>
      <c r="B74" s="2424">
        <f t="shared" ref="B74:C76" si="236">B75+(B$73-B$77)*I74/SUM(I$73:I$76)</f>
        <v>119.51351351351352</v>
      </c>
      <c r="C74" s="2424">
        <f t="shared" si="236"/>
        <v>120.7878787878788</v>
      </c>
      <c r="D74" s="2424">
        <f t="shared" si="202"/>
        <v>120.7878787878788</v>
      </c>
      <c r="E74" s="2424">
        <f t="shared" ref="E74:F76" si="237">E75+(E$73-E$77)*K74/SUM(K$73:K$76)</f>
        <v>121.5975975975976</v>
      </c>
      <c r="F74" s="2424">
        <f t="shared" si="237"/>
        <v>107</v>
      </c>
      <c r="G74" s="3489">
        <v>2004</v>
      </c>
      <c r="H74" s="2449">
        <v>3</v>
      </c>
      <c r="I74" s="2449">
        <v>0.56000000000000005</v>
      </c>
      <c r="J74" s="2449">
        <v>0.8</v>
      </c>
      <c r="K74" s="2449">
        <v>0.83</v>
      </c>
      <c r="L74" s="2450">
        <v>0.06</v>
      </c>
      <c r="N74" s="2485">
        <f t="shared" si="234"/>
        <v>2.2725428130833527E-2</v>
      </c>
      <c r="O74" s="2486">
        <f t="shared" si="234"/>
        <v>1.7012227538543329E-2</v>
      </c>
      <c r="P74" s="2486">
        <f t="shared" si="235"/>
        <v>3.6925814703592477E-2</v>
      </c>
      <c r="Q74" s="2486">
        <f t="shared" si="235"/>
        <v>2.8846153846153744E-2</v>
      </c>
      <c r="R74" s="2427"/>
      <c r="S74" s="2426"/>
      <c r="T74" s="2411"/>
      <c r="U74" s="2411"/>
      <c r="V74" s="2411"/>
      <c r="X74" s="2487"/>
      <c r="Y74" s="2487"/>
      <c r="Z74" s="2487"/>
    </row>
    <row r="75" spans="1:26">
      <c r="A75" s="2423" t="s">
        <v>1168</v>
      </c>
      <c r="B75" s="2424">
        <f t="shared" si="236"/>
        <v>116.99099099099099</v>
      </c>
      <c r="C75" s="2424">
        <f t="shared" si="236"/>
        <v>118.84848484848486</v>
      </c>
      <c r="D75" s="2424">
        <f t="shared" si="202"/>
        <v>118.84848484848486</v>
      </c>
      <c r="E75" s="2424">
        <f t="shared" si="237"/>
        <v>117.60960960960961</v>
      </c>
      <c r="F75" s="2424">
        <f t="shared" si="237"/>
        <v>104</v>
      </c>
      <c r="G75" s="3489">
        <v>2004</v>
      </c>
      <c r="H75" s="2436">
        <v>2</v>
      </c>
      <c r="I75" s="2436">
        <v>1</v>
      </c>
      <c r="J75" s="2436">
        <v>1.5</v>
      </c>
      <c r="K75" s="2436">
        <v>1.5</v>
      </c>
      <c r="L75" s="2437">
        <v>0</v>
      </c>
      <c r="N75" s="2485">
        <f t="shared" si="234"/>
        <v>4.0581121662202721E-2</v>
      </c>
      <c r="O75" s="2486">
        <f t="shared" si="234"/>
        <v>3.1897926634768738E-2</v>
      </c>
      <c r="P75" s="2486">
        <f t="shared" si="235"/>
        <v>6.6733400066733395E-2</v>
      </c>
      <c r="Q75" s="2486">
        <f t="shared" si="235"/>
        <v>0</v>
      </c>
      <c r="R75" s="2427"/>
      <c r="S75" s="2426"/>
      <c r="T75" s="2411"/>
      <c r="U75" s="2411"/>
      <c r="V75" s="2411"/>
      <c r="X75" s="2487"/>
      <c r="Y75" s="2487"/>
      <c r="Z75" s="2487"/>
    </row>
    <row r="76" spans="1:26" s="2479" customFormat="1" ht="13.5" thickBot="1">
      <c r="A76" s="2423" t="s">
        <v>1169</v>
      </c>
      <c r="B76" s="2476">
        <f t="shared" si="236"/>
        <v>112.48648648648648</v>
      </c>
      <c r="C76" s="2476">
        <f t="shared" si="236"/>
        <v>115.21212121212122</v>
      </c>
      <c r="D76" s="2476">
        <f t="shared" si="202"/>
        <v>115.21212121212122</v>
      </c>
      <c r="E76" s="2476">
        <f t="shared" si="237"/>
        <v>110.4024024024024</v>
      </c>
      <c r="F76" s="2476">
        <f t="shared" si="237"/>
        <v>104</v>
      </c>
      <c r="G76" s="3490">
        <v>2004</v>
      </c>
      <c r="H76" s="2477">
        <v>1</v>
      </c>
      <c r="I76" s="2477">
        <v>0.33</v>
      </c>
      <c r="J76" s="2477">
        <v>0.5</v>
      </c>
      <c r="K76" s="2477">
        <v>0.5</v>
      </c>
      <c r="L76" s="2478">
        <v>0</v>
      </c>
      <c r="N76" s="2490">
        <f t="shared" si="234"/>
        <v>1.3391770148526898E-2</v>
      </c>
      <c r="O76" s="2491">
        <f t="shared" si="234"/>
        <v>1.063264221158958E-2</v>
      </c>
      <c r="P76" s="2491">
        <f t="shared" si="235"/>
        <v>2.2244466688911134E-2</v>
      </c>
      <c r="Q76" s="2491">
        <f t="shared" si="235"/>
        <v>0</v>
      </c>
      <c r="R76" s="2482"/>
      <c r="S76" s="2480">
        <f>B76/B77-1</f>
        <v>1.3391770148526883E-2</v>
      </c>
      <c r="T76" s="2481">
        <f>C76/C77-1</f>
        <v>1.063264221158966E-2</v>
      </c>
      <c r="U76" s="2481">
        <f>E76/E77-1</f>
        <v>2.2244466688911224E-2</v>
      </c>
      <c r="V76" s="2481">
        <f>F76/F77-1</f>
        <v>0</v>
      </c>
      <c r="X76" s="2492"/>
      <c r="Y76" s="2492"/>
      <c r="Z76" s="2492"/>
    </row>
    <row r="77" spans="1:26" ht="13.5" thickBot="1">
      <c r="A77" s="2423" t="s">
        <v>1170</v>
      </c>
      <c r="B77" s="2493">
        <v>111</v>
      </c>
      <c r="C77" s="2493">
        <v>114</v>
      </c>
      <c r="D77" s="2493">
        <f t="shared" si="202"/>
        <v>114</v>
      </c>
      <c r="E77" s="2493">
        <v>108</v>
      </c>
      <c r="F77" s="2494">
        <v>104</v>
      </c>
      <c r="G77" s="3488">
        <v>2003</v>
      </c>
      <c r="H77" s="2483">
        <v>4</v>
      </c>
      <c r="I77" s="2495"/>
      <c r="J77" s="2495"/>
      <c r="K77" s="2495"/>
      <c r="L77" s="2495"/>
      <c r="N77" s="2496"/>
      <c r="O77" s="2495"/>
      <c r="P77" s="2495"/>
      <c r="Q77" s="2495"/>
      <c r="S77" s="2496"/>
      <c r="T77" s="2495"/>
      <c r="U77" s="2495"/>
      <c r="V77" s="2495"/>
      <c r="X77" s="2487"/>
      <c r="Y77" s="2487"/>
      <c r="Z77" s="2487"/>
    </row>
    <row r="78" spans="1:26">
      <c r="A78" s="2423" t="s">
        <v>1171</v>
      </c>
      <c r="B78" s="2497">
        <f t="shared" ref="B78:C80" si="238">B79+(B$77-B$81)/4</f>
        <v>109.75</v>
      </c>
      <c r="C78" s="2497">
        <f t="shared" si="238"/>
        <v>112.25</v>
      </c>
      <c r="D78" s="2497">
        <f t="shared" si="202"/>
        <v>112.25</v>
      </c>
      <c r="E78" s="2497">
        <f t="shared" ref="E78:F80" si="239">E79+(E$77-E$81)/4</f>
        <v>107.25</v>
      </c>
      <c r="F78" s="2497">
        <f t="shared" si="239"/>
        <v>103.5</v>
      </c>
      <c r="G78" s="3489">
        <v>2003</v>
      </c>
      <c r="H78" s="2449">
        <v>3</v>
      </c>
      <c r="I78" s="2495"/>
      <c r="J78" s="2495"/>
      <c r="K78" s="2495"/>
      <c r="L78" s="2495"/>
      <c r="X78" s="2487"/>
      <c r="Y78" s="2487"/>
      <c r="Z78" s="2487"/>
    </row>
    <row r="79" spans="1:26">
      <c r="A79" s="2423" t="s">
        <v>1172</v>
      </c>
      <c r="B79" s="2497">
        <f t="shared" si="238"/>
        <v>108.5</v>
      </c>
      <c r="C79" s="2497">
        <f t="shared" si="238"/>
        <v>110.5</v>
      </c>
      <c r="D79" s="2497">
        <f t="shared" si="202"/>
        <v>110.5</v>
      </c>
      <c r="E79" s="2497">
        <f t="shared" si="239"/>
        <v>106.5</v>
      </c>
      <c r="F79" s="2497">
        <f t="shared" si="239"/>
        <v>103</v>
      </c>
      <c r="G79" s="3489">
        <v>2003</v>
      </c>
      <c r="H79" s="2436">
        <v>2</v>
      </c>
      <c r="I79" s="2495"/>
      <c r="J79" s="2495"/>
      <c r="K79" s="2495"/>
      <c r="L79" s="2495"/>
      <c r="X79" s="2487"/>
      <c r="Y79" s="2487"/>
      <c r="Z79" s="2487"/>
    </row>
    <row r="80" spans="1:26" ht="13.5" thickBot="1">
      <c r="A80" s="2423" t="s">
        <v>1173</v>
      </c>
      <c r="B80" s="2497">
        <f t="shared" si="238"/>
        <v>107.25</v>
      </c>
      <c r="C80" s="2497">
        <f t="shared" si="238"/>
        <v>108.75</v>
      </c>
      <c r="D80" s="2497">
        <f t="shared" si="202"/>
        <v>108.75</v>
      </c>
      <c r="E80" s="2497">
        <f t="shared" si="239"/>
        <v>105.75</v>
      </c>
      <c r="F80" s="2497">
        <f t="shared" si="239"/>
        <v>102.5</v>
      </c>
      <c r="G80" s="3490">
        <v>2003</v>
      </c>
      <c r="H80" s="2498">
        <v>1</v>
      </c>
      <c r="I80" s="2495"/>
      <c r="J80" s="2495"/>
      <c r="K80" s="2495"/>
      <c r="L80" s="2495"/>
      <c r="S80" s="2426"/>
      <c r="T80" s="2411"/>
      <c r="U80" s="2411"/>
      <c r="X80" s="2487"/>
      <c r="Y80" s="2487"/>
      <c r="Z80" s="2487"/>
    </row>
    <row r="81" spans="1:26" ht="13.5" thickBot="1">
      <c r="A81" s="2423" t="s">
        <v>1174</v>
      </c>
      <c r="B81" s="2499">
        <v>106</v>
      </c>
      <c r="C81" s="2499">
        <v>107</v>
      </c>
      <c r="D81" s="2499">
        <f t="shared" si="202"/>
        <v>107</v>
      </c>
      <c r="E81" s="2499">
        <v>105</v>
      </c>
      <c r="F81" s="2500">
        <v>102</v>
      </c>
      <c r="G81" s="3488">
        <v>2002</v>
      </c>
      <c r="H81" s="2444">
        <v>4</v>
      </c>
      <c r="I81" s="2495"/>
      <c r="J81" s="2495"/>
      <c r="K81" s="2495"/>
      <c r="L81" s="2495"/>
      <c r="N81" s="2496"/>
      <c r="O81" s="2495"/>
      <c r="P81" s="2495"/>
      <c r="Q81" s="2495"/>
      <c r="S81" s="2496"/>
      <c r="T81" s="2495"/>
      <c r="U81" s="2495"/>
      <c r="V81" s="2495"/>
      <c r="X81" s="2487"/>
      <c r="Y81" s="2487"/>
      <c r="Z81" s="2487"/>
    </row>
    <row r="82" spans="1:26">
      <c r="A82" s="2423" t="s">
        <v>1175</v>
      </c>
      <c r="B82" s="2497">
        <f t="shared" ref="B82:C84" si="240">B83+(B$81-B$85)/4</f>
        <v>105</v>
      </c>
      <c r="C82" s="2497">
        <f t="shared" si="240"/>
        <v>106</v>
      </c>
      <c r="D82" s="2497">
        <f t="shared" si="202"/>
        <v>106</v>
      </c>
      <c r="E82" s="2497">
        <f t="shared" ref="E82:F84" si="241">E83+(E$81-E$85)/4</f>
        <v>104.5</v>
      </c>
      <c r="F82" s="2497">
        <f t="shared" si="241"/>
        <v>101.5</v>
      </c>
      <c r="G82" s="3489">
        <v>2002</v>
      </c>
      <c r="H82" s="2449">
        <v>3</v>
      </c>
      <c r="I82" s="2495"/>
      <c r="J82" s="2495"/>
      <c r="K82" s="2495"/>
      <c r="L82" s="2495"/>
      <c r="X82" s="2487"/>
      <c r="Y82" s="2487"/>
      <c r="Z82" s="2487"/>
    </row>
    <row r="83" spans="1:26">
      <c r="A83" s="2423" t="s">
        <v>1176</v>
      </c>
      <c r="B83" s="2497">
        <f t="shared" si="240"/>
        <v>104</v>
      </c>
      <c r="C83" s="2497">
        <f t="shared" si="240"/>
        <v>105</v>
      </c>
      <c r="D83" s="2497">
        <f t="shared" si="202"/>
        <v>105</v>
      </c>
      <c r="E83" s="2497">
        <f t="shared" si="241"/>
        <v>104</v>
      </c>
      <c r="F83" s="2497">
        <f t="shared" si="241"/>
        <v>101</v>
      </c>
      <c r="G83" s="3489">
        <v>2002</v>
      </c>
      <c r="H83" s="2436">
        <v>2</v>
      </c>
      <c r="I83" s="2495"/>
      <c r="J83" s="2495"/>
      <c r="K83" s="2495"/>
      <c r="L83" s="2495"/>
      <c r="X83" s="2487"/>
      <c r="Y83" s="2487"/>
      <c r="Z83" s="2487"/>
    </row>
    <row r="84" spans="1:26" s="2460" customFormat="1" ht="13.5" thickBot="1">
      <c r="A84" s="2456" t="s">
        <v>1177</v>
      </c>
      <c r="B84" s="2463">
        <f t="shared" si="240"/>
        <v>103</v>
      </c>
      <c r="C84" s="2463">
        <f t="shared" si="240"/>
        <v>104</v>
      </c>
      <c r="D84" s="2463">
        <f t="shared" si="202"/>
        <v>104</v>
      </c>
      <c r="E84" s="2463">
        <f t="shared" si="241"/>
        <v>103.5</v>
      </c>
      <c r="F84" s="2463">
        <f t="shared" si="241"/>
        <v>100.5</v>
      </c>
      <c r="G84" s="3490">
        <v>2002</v>
      </c>
      <c r="H84" s="2501">
        <v>1</v>
      </c>
      <c r="I84" s="2502"/>
      <c r="J84" s="2502"/>
      <c r="K84" s="2502"/>
      <c r="L84" s="2502"/>
      <c r="N84" s="2503"/>
      <c r="S84" s="2503"/>
      <c r="X84" s="2504"/>
      <c r="Y84" s="2504"/>
      <c r="Z84" s="2504"/>
    </row>
    <row r="85" spans="1:26" ht="13.5" thickBot="1">
      <c r="B85" s="2505">
        <v>102</v>
      </c>
      <c r="C85" s="2506">
        <v>103</v>
      </c>
      <c r="D85" s="2506">
        <f t="shared" si="202"/>
        <v>103</v>
      </c>
      <c r="E85" s="2506">
        <v>103</v>
      </c>
      <c r="F85" s="2507">
        <v>100</v>
      </c>
      <c r="I85" s="2495"/>
      <c r="J85" s="2495"/>
      <c r="K85" s="2495"/>
      <c r="L85" s="2495"/>
      <c r="N85" s="2496"/>
      <c r="O85" s="2495"/>
      <c r="P85" s="2495"/>
      <c r="Q85" s="2495"/>
      <c r="S85" s="2496"/>
      <c r="T85" s="2495"/>
      <c r="U85" s="2495"/>
      <c r="V85" s="2495"/>
      <c r="X85" s="2441"/>
      <c r="Y85" s="2441"/>
      <c r="Z85" s="2441"/>
    </row>
    <row r="87" spans="1:26" s="2509" customFormat="1">
      <c r="A87" s="2508" t="s">
        <v>1178</v>
      </c>
      <c r="G87" s="2510"/>
      <c r="N87" s="2510"/>
      <c r="S87" s="2510"/>
    </row>
    <row r="88" spans="1:26" s="2509" customFormat="1">
      <c r="A88" s="2509" t="s">
        <v>1179</v>
      </c>
      <c r="G88" s="2510"/>
      <c r="N88" s="2510"/>
      <c r="S88" s="2510"/>
    </row>
    <row r="89" spans="1:26" s="2509" customFormat="1">
      <c r="A89" s="2509" t="s">
        <v>1180</v>
      </c>
      <c r="G89" s="2510"/>
      <c r="I89" s="2511"/>
      <c r="J89" s="2511"/>
      <c r="K89" s="2511"/>
      <c r="L89" s="2511"/>
      <c r="N89" s="2512"/>
      <c r="O89" s="2511"/>
      <c r="P89" s="2511"/>
      <c r="Q89" s="2511"/>
      <c r="S89" s="2512"/>
      <c r="T89" s="2511"/>
      <c r="U89" s="2511"/>
      <c r="V89" s="2511"/>
    </row>
    <row r="90" spans="1:26" s="2509" customFormat="1">
      <c r="A90" s="2509" t="s">
        <v>1181</v>
      </c>
      <c r="G90" s="2510"/>
      <c r="N90" s="2510"/>
      <c r="S90" s="2510"/>
    </row>
    <row r="97" spans="7:22" ht="13.5" thickBot="1"/>
    <row r="98" spans="7:22">
      <c r="G98" s="2410"/>
      <c r="S98" s="2513" t="s">
        <v>1182</v>
      </c>
      <c r="T98" s="2514" t="s">
        <v>1183</v>
      </c>
      <c r="U98" s="2514" t="s">
        <v>1184</v>
      </c>
      <c r="V98" s="2514" t="s">
        <v>1185</v>
      </c>
    </row>
    <row r="99" spans="7:22">
      <c r="G99" s="2410"/>
      <c r="N99" s="2440"/>
      <c r="O99" s="2441"/>
      <c r="P99" s="2441"/>
      <c r="Q99" s="2441"/>
      <c r="S99" s="2515">
        <v>2006</v>
      </c>
      <c r="T99" s="2516">
        <v>15.1</v>
      </c>
      <c r="U99" s="2516">
        <v>7.43</v>
      </c>
      <c r="V99" s="2516">
        <v>26.26</v>
      </c>
    </row>
    <row r="100" spans="7:22">
      <c r="G100" s="2410"/>
      <c r="N100" s="2440"/>
      <c r="O100" s="2441"/>
      <c r="P100" s="2441"/>
      <c r="Q100" s="2441"/>
      <c r="S100" s="2517">
        <v>2005</v>
      </c>
      <c r="T100" s="2518">
        <v>13.9</v>
      </c>
      <c r="U100" s="2518">
        <v>7.49</v>
      </c>
      <c r="V100" s="2518">
        <v>24.92</v>
      </c>
    </row>
    <row r="101" spans="7:22">
      <c r="G101" s="2410"/>
      <c r="N101" s="2440"/>
      <c r="O101" s="2441"/>
      <c r="P101" s="2441"/>
      <c r="Q101" s="2441"/>
      <c r="S101" s="2515">
        <v>2004</v>
      </c>
      <c r="T101" s="2516">
        <v>9.48</v>
      </c>
      <c r="U101" s="2516">
        <v>7.2</v>
      </c>
      <c r="V101" s="2516">
        <v>14.68</v>
      </c>
    </row>
    <row r="102" spans="7:22">
      <c r="G102" s="2410"/>
      <c r="N102" s="2440"/>
      <c r="O102" s="2441"/>
      <c r="P102" s="2441"/>
      <c r="Q102" s="2441"/>
      <c r="S102" s="2517">
        <v>2003</v>
      </c>
      <c r="T102" s="2518">
        <v>4.5</v>
      </c>
      <c r="U102" s="2518">
        <v>6.12</v>
      </c>
      <c r="V102" s="2518">
        <v>2.34</v>
      </c>
    </row>
    <row r="103" spans="7:22" ht="13.5" thickBot="1">
      <c r="G103" s="2410"/>
      <c r="N103" s="2440"/>
      <c r="O103" s="2441"/>
      <c r="P103" s="2441"/>
      <c r="Q103" s="2441"/>
      <c r="S103" s="2519">
        <v>2002</v>
      </c>
      <c r="T103" s="2520">
        <v>3.59</v>
      </c>
      <c r="U103" s="2520">
        <v>4.54</v>
      </c>
      <c r="V103" s="2520">
        <v>2.5499999999999998</v>
      </c>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row>
    <row r="113" spans="7:19">
      <c r="G113" s="2410"/>
      <c r="N113" s="2440"/>
      <c r="O113" s="2441"/>
      <c r="P113" s="2441"/>
      <c r="Q113" s="2441"/>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row r="118" spans="7:19">
      <c r="G118" s="2410"/>
      <c r="N118" s="2440"/>
      <c r="O118" s="2441"/>
      <c r="P118" s="2441"/>
      <c r="Q118" s="2441"/>
      <c r="S118" s="2410"/>
    </row>
    <row r="119" spans="7:19">
      <c r="G119" s="2410"/>
      <c r="N119" s="2440"/>
      <c r="O119" s="2441"/>
      <c r="P119" s="2441"/>
      <c r="Q119" s="2441"/>
      <c r="S119" s="2410"/>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1582</v>
      </c>
      <c r="B1" s="1676"/>
      <c r="C1" s="1676"/>
      <c r="D1" s="1676"/>
      <c r="E1" s="1676"/>
    </row>
    <row r="2" spans="1:5" ht="78" customHeight="1">
      <c r="A2" s="31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3"/>
      <c r="C2" s="3173"/>
      <c r="D2" s="3173"/>
      <c r="E2" s="3173"/>
    </row>
    <row r="3" spans="1:5" ht="18">
      <c r="A3" s="3174" t="str">
        <f>IF(项目基本情况!B9="房地产市场价值","估价结果一览表（市场价值不需“结果表-1”）","估价结果一览表")</f>
        <v>估价结果一览表</v>
      </c>
      <c r="B3" s="3174"/>
      <c r="C3" s="3174"/>
      <c r="D3" s="3174"/>
      <c r="E3" s="3174"/>
    </row>
    <row r="4" spans="1:5" ht="19.5" thickBot="1">
      <c r="A4" s="1678"/>
      <c r="B4" s="3172" t="s">
        <v>1591</v>
      </c>
      <c r="C4" s="3172"/>
      <c r="D4" s="3172"/>
      <c r="E4" s="1678"/>
    </row>
    <row r="5" spans="1:5" ht="16.5" thickTop="1">
      <c r="A5" s="1676"/>
      <c r="B5" s="3170" t="s">
        <v>1583</v>
      </c>
      <c r="C5" s="1679" t="s">
        <v>1584</v>
      </c>
      <c r="D5" s="959">
        <f ca="1">结果表!H101</f>
        <v>103329</v>
      </c>
      <c r="E5" s="1676"/>
    </row>
    <row r="6" spans="1:5" ht="15.75">
      <c r="A6" s="1676"/>
      <c r="B6" s="3170"/>
      <c r="C6" s="1679" t="s">
        <v>1585</v>
      </c>
      <c r="D6" s="959" t="str">
        <f ca="1">NUMBERSTRING(INT(D5*10000),2)&amp;"元整"</f>
        <v>壹拾亿叁仟叁佰贰拾玖万元整</v>
      </c>
      <c r="E6" s="1676"/>
    </row>
    <row r="7" spans="1:5" ht="15.75">
      <c r="A7" s="1676"/>
      <c r="B7" s="3175"/>
      <c r="C7" s="1680" t="s">
        <v>1586</v>
      </c>
      <c r="D7" s="960">
        <f ca="1">结果表!H102</f>
        <v>22882</v>
      </c>
      <c r="E7" s="1676"/>
    </row>
    <row r="8" spans="1:5" ht="15.75">
      <c r="A8" s="1676"/>
      <c r="B8" s="3176" t="str">
        <f>结果表!E103</f>
        <v>2.估价师知悉的法定优先受偿款</v>
      </c>
      <c r="C8" s="1681" t="s">
        <v>1587</v>
      </c>
      <c r="D8" s="960">
        <f>结果表!H103</f>
        <v>0</v>
      </c>
      <c r="E8" s="1676"/>
    </row>
    <row r="9" spans="1:5" ht="15.75">
      <c r="A9" s="1676"/>
      <c r="B9" s="3178"/>
      <c r="C9" s="1679" t="s">
        <v>1585</v>
      </c>
      <c r="D9" s="959" t="str">
        <f>NUMBERSTRING(INT(D8*10000),2)&amp;"元整"</f>
        <v>零元整</v>
      </c>
      <c r="E9" s="1676"/>
    </row>
    <row r="10" spans="1:5" ht="15">
      <c r="A10" s="1676"/>
      <c r="B10" s="1682" t="s">
        <v>1590</v>
      </c>
      <c r="C10" s="1683" t="s">
        <v>1588</v>
      </c>
      <c r="D10" s="961">
        <f>结果表!H104</f>
        <v>0</v>
      </c>
      <c r="E10" s="1676"/>
    </row>
    <row r="11" spans="1:5" ht="15">
      <c r="A11" s="1676"/>
      <c r="B11" s="1682" t="s">
        <v>1592</v>
      </c>
      <c r="C11" s="1683" t="s">
        <v>1593</v>
      </c>
      <c r="D11" s="961">
        <f>结果表!H105</f>
        <v>0</v>
      </c>
      <c r="E11" s="1676"/>
    </row>
    <row r="12" spans="1:5" ht="15">
      <c r="A12" s="1676"/>
      <c r="B12" s="1682" t="s">
        <v>1594</v>
      </c>
      <c r="C12" s="1683" t="s">
        <v>1593</v>
      </c>
      <c r="D12" s="961">
        <f>结果表!H106</f>
        <v>0</v>
      </c>
      <c r="E12" s="1676"/>
    </row>
    <row r="13" spans="1:5" ht="15.75">
      <c r="A13" s="1676"/>
      <c r="B13" s="3169" t="str">
        <f>结果表!E107</f>
        <v>3.房地产抵押价值</v>
      </c>
      <c r="C13" s="1684" t="s">
        <v>1584</v>
      </c>
      <c r="D13" s="962">
        <f ca="1">结果表!H107</f>
        <v>103329</v>
      </c>
      <c r="E13" s="1676"/>
    </row>
    <row r="14" spans="1:5" ht="15.75">
      <c r="A14" s="1676"/>
      <c r="B14" s="3170"/>
      <c r="C14" s="1679" t="s">
        <v>1585</v>
      </c>
      <c r="D14" s="959" t="str">
        <f ca="1">NUMBERSTRING(INT(D13*10000),2)&amp;"元整"</f>
        <v>壹拾亿叁仟叁佰贰拾玖万元整</v>
      </c>
      <c r="E14" s="1676"/>
    </row>
    <row r="15" spans="1:5" ht="15">
      <c r="A15" s="1676"/>
      <c r="B15" s="3175"/>
      <c r="C15" s="1680" t="s">
        <v>1595</v>
      </c>
      <c r="D15" s="968">
        <f ca="1">结果表!H108</f>
        <v>11039</v>
      </c>
      <c r="E15" s="1676"/>
    </row>
    <row r="16" spans="1:5" ht="15">
      <c r="A16" s="1676"/>
      <c r="B16" s="3176" t="str">
        <f>结果表!E109</f>
        <v>——</v>
      </c>
      <c r="C16" s="1684" t="s">
        <v>1596</v>
      </c>
      <c r="D16" s="1685" t="str">
        <f>结果表!H109</f>
        <v>——</v>
      </c>
      <c r="E16" s="1676"/>
    </row>
    <row r="17" spans="1:5" ht="15.75">
      <c r="A17" s="1676"/>
      <c r="B17" s="3177"/>
      <c r="C17" s="1679" t="s">
        <v>1597</v>
      </c>
      <c r="D17" s="959" t="e">
        <f>NUMBERSTRING(INT(D16*10000),2)&amp;"元整"</f>
        <v>#VALUE!</v>
      </c>
      <c r="E17" s="1676"/>
    </row>
    <row r="18" spans="1:5" ht="15">
      <c r="A18" s="1676"/>
      <c r="B18" s="3178"/>
      <c r="C18" s="1680" t="s">
        <v>1586</v>
      </c>
      <c r="D18" s="968" t="str">
        <f>结果表!H110</f>
        <v>——</v>
      </c>
      <c r="E18" s="1676"/>
    </row>
    <row r="19" spans="1:5" ht="15.75">
      <c r="A19" s="1676"/>
      <c r="B19" s="3169" t="str">
        <f>结果表!E111</f>
        <v>——</v>
      </c>
      <c r="C19" s="1684" t="s">
        <v>1584</v>
      </c>
      <c r="D19" s="960" t="str">
        <f>结果表!H111</f>
        <v>——</v>
      </c>
      <c r="E19" s="1676"/>
    </row>
    <row r="20" spans="1:5" ht="15.75">
      <c r="A20" s="1676"/>
      <c r="B20" s="3170"/>
      <c r="C20" s="1679" t="s">
        <v>1597</v>
      </c>
      <c r="D20" s="959" t="e">
        <f>NUMBERSTRING(INT(D19*10000),2)&amp;"元整"</f>
        <v>#VALUE!</v>
      </c>
      <c r="E20" s="1676"/>
    </row>
    <row r="21" spans="1:5" ht="15.75" thickBot="1">
      <c r="A21" s="1676"/>
      <c r="B21" s="3171"/>
      <c r="C21" s="1686" t="s">
        <v>1595</v>
      </c>
      <c r="D21" s="969" t="str">
        <f>结果表!H112</f>
        <v>——</v>
      </c>
      <c r="E21" s="1676"/>
    </row>
    <row r="22" spans="1:5" ht="15" thickTop="1">
      <c r="A22" s="1676"/>
      <c r="B22" s="1687" t="s">
        <v>1598</v>
      </c>
      <c r="C22" s="1676"/>
      <c r="D22" s="1676"/>
      <c r="E22" s="1676"/>
    </row>
    <row r="23" spans="1:5">
      <c r="A23" s="1676"/>
      <c r="B23" s="1676"/>
      <c r="C23" s="1676"/>
      <c r="D23" s="1676"/>
      <c r="E23" s="1676"/>
    </row>
    <row r="24" spans="1:5" ht="18.75">
      <c r="A24" s="1688"/>
      <c r="B24" s="1689" t="s">
        <v>1589</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2820</v>
      </c>
      <c r="C1" s="3502" t="s">
        <v>2821</v>
      </c>
      <c r="D1" s="3503"/>
      <c r="E1" s="3503"/>
      <c r="F1" s="3503"/>
      <c r="G1" s="3503"/>
      <c r="H1" s="3503"/>
      <c r="I1" s="3503"/>
      <c r="J1" s="3503"/>
      <c r="K1" s="3503"/>
      <c r="L1" s="3503"/>
      <c r="M1" s="3503"/>
      <c r="N1" s="3503"/>
      <c r="O1" s="3503"/>
      <c r="P1" s="3503"/>
      <c r="Q1" s="3503"/>
      <c r="R1" s="3503"/>
      <c r="S1" s="3504"/>
      <c r="T1" s="1114" t="s">
        <v>2822</v>
      </c>
    </row>
    <row r="2" spans="1:45" s="663" customFormat="1">
      <c r="A2" s="1115"/>
      <c r="B2" s="659" t="s">
        <v>2823</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2824</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2825</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2826</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2827</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2828</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2829</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2830</v>
      </c>
      <c r="B17" s="2365" t="s">
        <v>2831</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2832</v>
      </c>
      <c r="E19" s="1524"/>
      <c r="F19" s="1524"/>
      <c r="G19" s="1524"/>
      <c r="H19" s="1190"/>
      <c r="I19" s="164"/>
      <c r="J19" s="164"/>
      <c r="K19" s="164"/>
      <c r="L19" s="164"/>
      <c r="M19" s="164"/>
      <c r="N19" s="164"/>
      <c r="O19" s="164"/>
      <c r="P19" s="164"/>
      <c r="Q19" s="164"/>
      <c r="R19" s="727"/>
      <c r="S19" s="134"/>
    </row>
    <row r="20" spans="1:45" ht="16.5" thickBot="1">
      <c r="A20" s="671" t="s">
        <v>2833</v>
      </c>
      <c r="B20" s="300" t="e">
        <f ca="1">IF(D20="——",S22,S22-F20)</f>
        <v>#REF!</v>
      </c>
      <c r="C20" s="164"/>
      <c r="D20" s="2367"/>
      <c r="E20" s="1525"/>
      <c r="F20" s="1114" t="e">
        <f ca="1">SUMIF(INDIRECT("'"&amp;H20&amp;"'"&amp;"!A:A"),"承租人权益价值",INDIRECT("'"&amp;H20&amp;"'"&amp;"!c:c"))</f>
        <v>#REF!</v>
      </c>
      <c r="G20" s="1114" t="s">
        <v>2834</v>
      </c>
      <c r="H20" s="2368"/>
      <c r="I20" s="164"/>
      <c r="J20" s="164"/>
      <c r="K20" s="164"/>
      <c r="L20" s="164"/>
      <c r="M20" s="164"/>
      <c r="N20" s="164"/>
      <c r="O20" s="164"/>
      <c r="P20" s="164"/>
      <c r="Q20" s="164"/>
      <c r="R20" s="727"/>
      <c r="S20" s="134"/>
    </row>
    <row r="21" spans="1:45" ht="15.75">
      <c r="A21" s="671" t="s">
        <v>2835</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2836</v>
      </c>
      <c r="B22" s="24">
        <f>SUM(B24:B10000)</f>
        <v>100</v>
      </c>
      <c r="C22" s="3499" t="s">
        <v>33</v>
      </c>
      <c r="D22" s="3500"/>
      <c r="E22" s="3500"/>
      <c r="F22" s="3500"/>
      <c r="G22" s="3500"/>
      <c r="H22" s="3500"/>
      <c r="I22" s="3500"/>
      <c r="J22" s="3500"/>
      <c r="K22" s="3500"/>
      <c r="L22" s="3500"/>
      <c r="M22" s="3500"/>
      <c r="N22" s="3500"/>
      <c r="O22" s="3500"/>
      <c r="P22" s="3500"/>
      <c r="Q22" s="3501"/>
      <c r="R22" s="672">
        <f>ROUND(S22*10000/B22,0)</f>
        <v>10000</v>
      </c>
      <c r="S22" s="24">
        <f>SUM(S24:S10000)</f>
        <v>100</v>
      </c>
    </row>
    <row r="23" spans="1:45" s="12" customFormat="1" ht="24">
      <c r="A23" s="11" t="s">
        <v>2837</v>
      </c>
      <c r="B23" s="11" t="s">
        <v>2838</v>
      </c>
      <c r="C23" s="11" t="s">
        <v>2839</v>
      </c>
      <c r="D23" s="11" t="str">
        <f>B5</f>
        <v>修正项2</v>
      </c>
      <c r="E23" s="11" t="s">
        <v>2839</v>
      </c>
      <c r="F23" s="11" t="str">
        <f>B7</f>
        <v>修正项3</v>
      </c>
      <c r="G23" s="11" t="s">
        <v>2839</v>
      </c>
      <c r="H23" s="11" t="str">
        <f>B9</f>
        <v>修正项4</v>
      </c>
      <c r="I23" s="11" t="s">
        <v>2839</v>
      </c>
      <c r="J23" s="11" t="str">
        <f>B11</f>
        <v>修正项5</v>
      </c>
      <c r="K23" s="11" t="s">
        <v>2839</v>
      </c>
      <c r="L23" s="11" t="str">
        <f>B13</f>
        <v>修正项6</v>
      </c>
      <c r="M23" s="11" t="s">
        <v>2839</v>
      </c>
      <c r="N23" s="11" t="str">
        <f>B15</f>
        <v>修正项7</v>
      </c>
      <c r="O23" s="11" t="s">
        <v>2839</v>
      </c>
      <c r="P23" s="11" t="str">
        <f>B17</f>
        <v>楼层</v>
      </c>
      <c r="Q23" s="11" t="s">
        <v>2839</v>
      </c>
      <c r="R23" s="673" t="s">
        <v>2840</v>
      </c>
      <c r="S23" s="11" t="s">
        <v>2841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2842</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5" priority="1" operator="notEqual">
      <formula>1</formula>
    </cfRule>
  </conditionalFormatting>
  <dataValidations count="9">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D20" xr:uid="{00000000-0002-0000-2700-000007000000}">
      <formula1>"需扣减承租人权益,——"</formula1>
    </dataValidation>
    <dataValidation type="list" allowBlank="1" showInputMessage="1" showErrorMessage="1" sqref="H20" xr:uid="{00000000-0002-0000-27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220141</v>
      </c>
      <c r="C2" s="2" t="s">
        <v>133</v>
      </c>
      <c r="D2" s="205"/>
      <c r="E2" s="205"/>
      <c r="F2" s="205"/>
      <c r="G2" s="205"/>
    </row>
    <row r="3" spans="1:7" s="206" customFormat="1" ht="18" customHeight="1" thickBot="1">
      <c r="A3" s="209" t="s">
        <v>85</v>
      </c>
      <c r="B3" s="210">
        <f ca="1">ROUND(B2*10000/'数据-汇总表'!E3,0)</f>
        <v>23518</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1739</v>
      </c>
      <c r="D10" s="954">
        <f>'数据-汇总表'!E6</f>
        <v>93605.4</v>
      </c>
      <c r="E10" s="231">
        <f>'数据-取费表'!B28</f>
        <v>185.8</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1872</v>
      </c>
      <c r="D19" s="958">
        <f>'数据-汇总表'!E3</f>
        <v>93605.4</v>
      </c>
      <c r="E19" s="217">
        <f>'数据-取费表'!B31</f>
        <v>200</v>
      </c>
      <c r="F19" s="237"/>
      <c r="G19" s="1" t="s">
        <v>1042</v>
      </c>
    </row>
    <row r="20" spans="1:7" s="220" customFormat="1" ht="13.5" customHeight="1">
      <c r="A20" s="885" t="s">
        <v>1025</v>
      </c>
      <c r="B20" s="216" t="s">
        <v>104</v>
      </c>
      <c r="C20" s="238">
        <f>ROUND((C5+C19)*F20,0)</f>
        <v>225</v>
      </c>
      <c r="D20" s="238"/>
      <c r="E20" s="238"/>
      <c r="F20" s="239">
        <f>'数据-取费表'!B37</f>
        <v>0.01</v>
      </c>
      <c r="G20" s="1199" t="s">
        <v>1036</v>
      </c>
    </row>
    <row r="21" spans="1:7" s="220" customFormat="1" ht="13.5" customHeight="1">
      <c r="A21" s="885" t="s">
        <v>1027</v>
      </c>
      <c r="B21" s="216" t="s">
        <v>105</v>
      </c>
      <c r="C21" s="241">
        <f>F21</f>
        <v>0.01</v>
      </c>
      <c r="D21" s="242" t="s">
        <v>126</v>
      </c>
      <c r="E21" s="238"/>
      <c r="F21" s="239">
        <f>'数据-取费表'!B38</f>
        <v>0.01</v>
      </c>
      <c r="G21" s="240" t="s">
        <v>106</v>
      </c>
    </row>
    <row r="22" spans="1:7" s="220" customFormat="1" ht="13.5" customHeight="1">
      <c r="A22" s="885" t="s">
        <v>786</v>
      </c>
      <c r="B22" s="216" t="s">
        <v>107</v>
      </c>
      <c r="C22" s="1264">
        <f ca="1">ROUND(SUM(C23:C25),0)</f>
        <v>2008</v>
      </c>
      <c r="D22" s="241">
        <f ca="1">C26</f>
        <v>4.0000000000000002E-4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166</v>
      </c>
      <c r="D24" s="244"/>
      <c r="E24" s="244"/>
      <c r="F24" s="245"/>
      <c r="G24" s="246" t="s">
        <v>109</v>
      </c>
    </row>
    <row r="25" spans="1:7" s="220" customFormat="1" ht="24">
      <c r="A25" s="888" t="s">
        <v>793</v>
      </c>
      <c r="B25" s="221" t="s">
        <v>1026</v>
      </c>
      <c r="C25" s="1265">
        <f ca="1">ROUND(IF('数据-取费表'!B22&lt;=1,C20*F22*'数据-取费表'!B23/2,C20*(POWER((1+F22),'数据-取费表'!B23/2)-1)),0)</f>
        <v>10</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3406</v>
      </c>
      <c r="D27" s="241">
        <f>C29</f>
        <v>1.5E-3</v>
      </c>
      <c r="E27" s="242" t="s">
        <v>126</v>
      </c>
      <c r="F27" s="252">
        <f>'数据-取费表'!Q16</f>
        <v>0.15</v>
      </c>
      <c r="G27" s="253" t="s">
        <v>1037</v>
      </c>
    </row>
    <row r="28" spans="1:7" s="220" customFormat="1" ht="13.5" customHeight="1">
      <c r="A28" s="888" t="s">
        <v>794</v>
      </c>
      <c r="B28" s="254" t="s">
        <v>1030</v>
      </c>
      <c r="C28" s="255">
        <f>ROUND((C5+C19+C20)*F27*'数据-取费表'!B21/'数据-取费表'!B20,0)</f>
        <v>3406</v>
      </c>
      <c r="D28" s="241"/>
      <c r="E28" s="242"/>
      <c r="F28" s="252"/>
      <c r="G28" s="253"/>
    </row>
    <row r="29" spans="1:7" s="220" customFormat="1" ht="13.5" customHeight="1">
      <c r="A29" s="888" t="s">
        <v>792</v>
      </c>
      <c r="B29" s="254" t="s">
        <v>1031</v>
      </c>
      <c r="C29" s="244">
        <f>ROUND(C21*F27*'数据-取费表'!B21/'数据-取费表'!B20,4)</f>
        <v>1.5E-3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30083</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151941</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143607</v>
      </c>
      <c r="D34" s="223"/>
      <c r="E34" s="226"/>
      <c r="F34" s="263">
        <f>IF('数据-取费表'!B24=0,1,'数据-取费表'!N16)</f>
        <v>1</v>
      </c>
      <c r="G34" s="225" t="s">
        <v>116</v>
      </c>
    </row>
    <row r="35" spans="1:7" ht="13.5" customHeight="1">
      <c r="A35" s="888" t="s">
        <v>796</v>
      </c>
      <c r="B35" s="221" t="s">
        <v>60</v>
      </c>
      <c r="C35" s="226">
        <f>ROUND(C34*F35,0)</f>
        <v>4308</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1872</v>
      </c>
      <c r="D37" s="223">
        <f>'数据-汇总表'!E3</f>
        <v>93605.4</v>
      </c>
      <c r="E37" s="255">
        <f>'数据-取费表'!B35</f>
        <v>200</v>
      </c>
      <c r="F37" s="265"/>
      <c r="G37" s="267" t="s">
        <v>119</v>
      </c>
    </row>
    <row r="38" spans="1:7" ht="13.5" customHeight="1">
      <c r="A38" s="888" t="s">
        <v>799</v>
      </c>
      <c r="B38" s="221" t="s">
        <v>63</v>
      </c>
      <c r="C38" s="226">
        <f>ROUND(C34*F38,0)</f>
        <v>2154</v>
      </c>
      <c r="D38" s="226"/>
      <c r="E38" s="226"/>
      <c r="F38" s="265">
        <f>'数据-取费表'!B36</f>
        <v>1.4999999999999999E-2</v>
      </c>
      <c r="G38" s="225" t="s">
        <v>117</v>
      </c>
    </row>
    <row r="39" spans="1:7" s="220" customFormat="1" ht="13.5" customHeight="1">
      <c r="A39" s="885" t="s">
        <v>783</v>
      </c>
      <c r="B39" s="216" t="s">
        <v>104</v>
      </c>
      <c r="C39" s="238">
        <f>ROUND(C33*F20,0)</f>
        <v>1519</v>
      </c>
      <c r="D39" s="238"/>
      <c r="E39" s="238"/>
      <c r="F39" s="239"/>
      <c r="G39" s="1199" t="s">
        <v>1039</v>
      </c>
    </row>
    <row r="40" spans="1:7" s="220" customFormat="1" ht="13.5" customHeight="1">
      <c r="A40" s="885" t="s">
        <v>784</v>
      </c>
      <c r="B40" s="216" t="s">
        <v>105</v>
      </c>
      <c r="C40" s="268">
        <f>F21</f>
        <v>0.01</v>
      </c>
      <c r="D40" s="242" t="s">
        <v>129</v>
      </c>
      <c r="E40" s="238"/>
      <c r="F40" s="239"/>
      <c r="G40" s="240" t="s">
        <v>120</v>
      </c>
    </row>
    <row r="41" spans="1:7" s="220" customFormat="1" ht="13.5" customHeight="1">
      <c r="A41" s="885" t="s">
        <v>785</v>
      </c>
      <c r="B41" s="216" t="s">
        <v>107</v>
      </c>
      <c r="C41" s="238">
        <f ca="1">ROUND(SUM(C42:C43),0)</f>
        <v>6675</v>
      </c>
      <c r="D41" s="241">
        <f ca="1">C44</f>
        <v>4.0000000000000002E-4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6609</v>
      </c>
      <c r="D42" s="244"/>
      <c r="E42" s="244"/>
      <c r="F42" s="245"/>
      <c r="G42" s="3359" t="s">
        <v>121</v>
      </c>
    </row>
    <row r="43" spans="1:7" ht="13.5" customHeight="1">
      <c r="A43" s="888" t="s">
        <v>792</v>
      </c>
      <c r="B43" s="221" t="s">
        <v>1032</v>
      </c>
      <c r="C43" s="244">
        <f ca="1">ROUND(IF('数据-取费表'!B22&lt;=1,C39*F22*'数据-取费表'!B21/2,C39*(POWER((1+F22),'数据-取费表'!B21/2)-1)),0)</f>
        <v>66</v>
      </c>
      <c r="D43" s="244"/>
      <c r="E43" s="244"/>
      <c r="F43" s="245"/>
      <c r="G43" s="3360"/>
    </row>
    <row r="44" spans="1:7" ht="13.5" customHeight="1">
      <c r="A44" s="888" t="s">
        <v>793</v>
      </c>
      <c r="B44" s="221" t="s">
        <v>1034</v>
      </c>
      <c r="C44" s="244">
        <f ca="1">ROUND(IF('数据-取费表'!B22&lt;=1,C40*F22*'数据-取费表'!B21/2,C40*(POWER((1+F22),'数据-取费表'!B21/2)-1)),4)</f>
        <v>4.0000000000000002E-4</v>
      </c>
      <c r="D44" s="244"/>
      <c r="E44" s="244"/>
      <c r="F44" s="245"/>
      <c r="G44" s="3361"/>
    </row>
    <row r="45" spans="1:7" s="220" customFormat="1" ht="13.5" customHeight="1">
      <c r="A45" s="885" t="s">
        <v>786</v>
      </c>
      <c r="B45" s="250" t="s">
        <v>112</v>
      </c>
      <c r="C45" s="251">
        <f>C46</f>
        <v>23019</v>
      </c>
      <c r="D45" s="241">
        <f>C47</f>
        <v>1.5E-3</v>
      </c>
      <c r="E45" s="242" t="s">
        <v>129</v>
      </c>
      <c r="F45" s="252"/>
      <c r="G45" s="253" t="s">
        <v>1040</v>
      </c>
    </row>
    <row r="46" spans="1:7" s="220" customFormat="1" ht="13.5" customHeight="1">
      <c r="A46" s="888" t="s">
        <v>794</v>
      </c>
      <c r="B46" s="254" t="s">
        <v>1033</v>
      </c>
      <c r="C46" s="255">
        <f>ROUND((C33+C39)*F27,0)</f>
        <v>23019</v>
      </c>
      <c r="D46" s="269"/>
      <c r="E46" s="242"/>
      <c r="F46" s="252"/>
      <c r="G46" s="253"/>
    </row>
    <row r="47" spans="1:7" s="220" customFormat="1" ht="13.5" customHeight="1">
      <c r="A47" s="888" t="s">
        <v>792</v>
      </c>
      <c r="B47" s="254" t="s">
        <v>1035</v>
      </c>
      <c r="C47" s="244">
        <f>ROUND(C40*F27,4)</f>
        <v>1.5E-3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195936</v>
      </c>
      <c r="D49" s="238"/>
      <c r="E49" s="238"/>
      <c r="F49" s="270"/>
      <c r="G49" s="240" t="s">
        <v>1041</v>
      </c>
    </row>
    <row r="50" spans="1:7" s="264" customFormat="1" ht="24">
      <c r="A50" s="885" t="s">
        <v>789</v>
      </c>
      <c r="B50" s="216" t="s">
        <v>124</v>
      </c>
      <c r="C50" s="238"/>
      <c r="D50" s="238"/>
      <c r="E50" s="238"/>
      <c r="F50" s="270">
        <f>IF('数据-取费表'!B24=0,'数据-取费表'!N16,1)</f>
        <v>0.97</v>
      </c>
      <c r="G50" s="253" t="s">
        <v>125</v>
      </c>
    </row>
    <row r="51" spans="1:7" ht="16.5" customHeight="1">
      <c r="A51" s="885" t="s">
        <v>790</v>
      </c>
      <c r="B51" s="216" t="s">
        <v>132</v>
      </c>
      <c r="C51" s="238">
        <f ca="1">ROUND(C49*F50,0)</f>
        <v>190058</v>
      </c>
      <c r="D51" s="238"/>
      <c r="E51" s="238"/>
      <c r="F51" s="270"/>
      <c r="G51" s="240" t="s">
        <v>64</v>
      </c>
    </row>
    <row r="52" spans="1:7" s="214" customFormat="1" ht="16.5" thickBot="1">
      <c r="A52" s="271" t="s">
        <v>65</v>
      </c>
      <c r="B52" s="272"/>
      <c r="C52" s="273">
        <f ca="1">C31+C51</f>
        <v>220141</v>
      </c>
      <c r="D52" s="272"/>
      <c r="E52" s="272"/>
      <c r="F52" s="272"/>
      <c r="G52" s="274"/>
    </row>
    <row r="55" spans="1:7" ht="15">
      <c r="B55" s="276" t="s">
        <v>66</v>
      </c>
      <c r="C55" s="277"/>
    </row>
    <row r="56" spans="1:7">
      <c r="B56" s="279" t="s">
        <v>67</v>
      </c>
      <c r="C56" s="280">
        <f ca="1">ROUND(C51/C52,3)</f>
        <v>0.86299999999999999</v>
      </c>
    </row>
    <row r="57" spans="1:7">
      <c r="B57" s="279" t="s">
        <v>68</v>
      </c>
      <c r="C57" s="281">
        <f ca="1">1-C56</f>
        <v>0.13700000000000001</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05" t="s">
        <v>156</v>
      </c>
      <c r="B1" s="3505"/>
      <c r="C1" s="3505"/>
      <c r="D1" s="3505"/>
      <c r="E1" s="3505"/>
      <c r="F1" s="3505"/>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06" t="s">
        <v>169</v>
      </c>
      <c r="B2" s="3506"/>
      <c r="C2" s="3506"/>
      <c r="D2" s="3506"/>
      <c r="E2" s="3506"/>
      <c r="F2" s="3506"/>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07"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08"/>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05" t="s">
        <v>839</v>
      </c>
      <c r="B1" s="3505"/>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44555</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7" t="s">
        <v>3056</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9" customFormat="1" ht="15">
      <c r="A18" s="3054"/>
      <c r="B18" s="3055"/>
      <c r="C18" s="3056">
        <v>42301</v>
      </c>
      <c r="D18" s="3057">
        <v>4.3499999999999996</v>
      </c>
      <c r="E18" s="3057">
        <v>4.3499999999999996</v>
      </c>
      <c r="F18" s="3057">
        <v>4.75</v>
      </c>
      <c r="G18" s="3057">
        <v>4.75</v>
      </c>
      <c r="H18" s="3057">
        <v>4.9000000000000004</v>
      </c>
      <c r="I18" s="3057"/>
      <c r="J18" s="3057"/>
      <c r="K18" s="1446"/>
      <c r="L18" s="3057"/>
      <c r="M18" s="3056">
        <v>41965</v>
      </c>
      <c r="N18" s="3057">
        <v>0.35</v>
      </c>
      <c r="O18" s="3057">
        <v>2.35</v>
      </c>
      <c r="P18" s="3057">
        <v>2.5499999999999998</v>
      </c>
      <c r="Q18" s="3057">
        <v>2.75</v>
      </c>
      <c r="R18" s="3057">
        <v>3.35</v>
      </c>
      <c r="S18" s="3057">
        <v>4</v>
      </c>
      <c r="T18" s="3057">
        <v>4.75</v>
      </c>
      <c r="U18" s="3058">
        <v>2.35</v>
      </c>
      <c r="V18" s="3058">
        <v>2.5499999999999998</v>
      </c>
      <c r="W18" s="3058">
        <v>2.75</v>
      </c>
      <c r="X18" s="3057"/>
      <c r="Y18" s="3058">
        <v>0.8</v>
      </c>
      <c r="Z18" s="3058">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7"/>
  <sheetViews>
    <sheetView workbookViewId="0">
      <selection activeCell="K25" sqref="K25"/>
    </sheetView>
  </sheetViews>
  <sheetFormatPr defaultRowHeight="13.5"/>
  <sheetData>
    <row r="1" spans="1:13" ht="28.5">
      <c r="A1" s="1518" t="s">
        <v>1334</v>
      </c>
      <c r="E1" s="1512" t="s">
        <v>1338</v>
      </c>
      <c r="F1" s="1513" t="s">
        <v>1342</v>
      </c>
    </row>
    <row r="2" spans="1:13" ht="20.25">
      <c r="A2" s="1519" t="s">
        <v>1335</v>
      </c>
    </row>
    <row r="3" spans="1:13" ht="16.5">
      <c r="A3" s="1520" t="s">
        <v>1336</v>
      </c>
    </row>
    <row r="4" spans="1:13" ht="14.25">
      <c r="A4" s="1510" t="s">
        <v>1337</v>
      </c>
      <c r="B4" s="1515" t="s">
        <v>1339</v>
      </c>
      <c r="C4" s="1516"/>
      <c r="D4" s="1517"/>
      <c r="E4" s="1515" t="s">
        <v>27</v>
      </c>
      <c r="F4" s="1516"/>
      <c r="G4" s="1517"/>
      <c r="H4" s="1515" t="s">
        <v>1340</v>
      </c>
      <c r="I4" s="1516"/>
      <c r="J4" s="1517"/>
      <c r="K4" s="1515" t="s">
        <v>6</v>
      </c>
      <c r="L4" s="1516"/>
      <c r="M4" s="1517"/>
    </row>
    <row r="5" spans="1:13" ht="14.25">
      <c r="A5" s="1511" t="s">
        <v>1341</v>
      </c>
      <c r="B5" s="1510" t="s">
        <v>1343</v>
      </c>
      <c r="C5" s="1510" t="s">
        <v>1344</v>
      </c>
      <c r="D5" s="1510" t="s">
        <v>1345</v>
      </c>
      <c r="E5" s="1510" t="s">
        <v>1343</v>
      </c>
      <c r="F5" s="1510" t="s">
        <v>1344</v>
      </c>
      <c r="G5" s="1510" t="s">
        <v>1345</v>
      </c>
      <c r="H5" s="1510" t="s">
        <v>1343</v>
      </c>
      <c r="I5" s="1510" t="s">
        <v>1344</v>
      </c>
      <c r="J5" s="1510" t="s">
        <v>1345</v>
      </c>
      <c r="K5" s="1510" t="s">
        <v>1343</v>
      </c>
      <c r="L5" s="1510" t="s">
        <v>1344</v>
      </c>
      <c r="M5" s="1510" t="s">
        <v>1345</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AJ512"/>
  <sheetViews>
    <sheetView view="pageBreakPreview" zoomScale="70" zoomScaleNormal="100" zoomScaleSheetLayoutView="70" zoomScalePageLayoutView="80" workbookViewId="0">
      <selection activeCell="C42" sqref="C42"/>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1944</v>
      </c>
      <c r="B1" s="1933"/>
      <c r="C1" s="1934" t="s">
        <v>1009</v>
      </c>
      <c r="D1" s="1933"/>
      <c r="E1" s="1933"/>
      <c r="F1" s="1935" t="s">
        <v>1945</v>
      </c>
      <c r="G1" s="1746"/>
      <c r="H1" s="1936" t="str">
        <f>IF(G1="现房","——","估价对象范围")</f>
        <v>估价对象范围</v>
      </c>
      <c r="I1" s="1937"/>
    </row>
    <row r="2" spans="1:12" ht="21.75" customHeight="1" thickBot="1">
      <c r="A2" s="3296" t="str">
        <f>项目基本情况!S2</f>
        <v>房地产</v>
      </c>
      <c r="B2" s="3297"/>
      <c r="C2" s="3297"/>
      <c r="D2" s="3297"/>
      <c r="E2" s="3297"/>
      <c r="F2" s="3297"/>
      <c r="G2" s="3297"/>
      <c r="H2" s="3297"/>
      <c r="I2" s="3298"/>
    </row>
    <row r="3" spans="1:12" ht="12.75">
      <c r="A3" s="3300" t="s">
        <v>1946</v>
      </c>
      <c r="B3" s="3301"/>
      <c r="C3" s="3301"/>
      <c r="D3" s="3301"/>
      <c r="E3" s="3301"/>
      <c r="F3" s="3301"/>
      <c r="G3" s="3301"/>
      <c r="H3" s="3301"/>
      <c r="I3" s="3301"/>
    </row>
    <row r="4" spans="1:12" ht="14.25">
      <c r="A4" s="1940" t="s">
        <v>1947</v>
      </c>
      <c r="B4" s="1941" t="s">
        <v>1948</v>
      </c>
      <c r="C4" s="1942" t="s">
        <v>3501</v>
      </c>
      <c r="D4" s="1942" t="s">
        <v>3499</v>
      </c>
      <c r="E4" s="3302" t="s">
        <v>1949</v>
      </c>
      <c r="F4" s="3303"/>
      <c r="G4" s="3303"/>
      <c r="H4" s="3303"/>
      <c r="I4" s="3304"/>
      <c r="K4" s="151" t="str">
        <f>IF(ISNUMBER(FIND("比较法",'结果表-B'!C4)),"比较法",IF(ISNUMBER(FIND("成本法",'结果表-B'!C4)),"成本法",IF(ISNUMBER(FIND("假设开发法",'结果表-B'!C4)),"假设开发法",IF(ISNUMBER(FIND("收益法",'结果表-B'!C4)),"收益法","基准地价系数修正法"))))</f>
        <v>成本法</v>
      </c>
      <c r="L4" s="151" t="str">
        <f>IF(ISNUMBER(FIND("比较法",'结果表-B'!D4)),"比较法",IF(ISNUMBER(FIND("成本法",'结果表-B'!D4)),"成本法",IF(ISNUMBER(FIND("假设开发法",'结果表-B'!D4)),"假设开发法",IF(ISNUMBER(FIND("收益法",'结果表-B'!D4)),"收益法","基准地价系数修正法"))))</f>
        <v>收益法</v>
      </c>
    </row>
    <row r="5" spans="1:12" ht="12.75">
      <c r="A5" s="3276" t="s">
        <v>1950</v>
      </c>
      <c r="B5" s="3263">
        <v>25</v>
      </c>
      <c r="C5" s="3279"/>
      <c r="D5" s="3299"/>
      <c r="E5" s="136" t="s">
        <v>1951</v>
      </c>
      <c r="F5" s="1943"/>
      <c r="G5" s="1943"/>
      <c r="H5" s="1943"/>
      <c r="I5" s="1557"/>
    </row>
    <row r="6" spans="1:12" ht="12.75">
      <c r="A6" s="3276"/>
      <c r="B6" s="3263"/>
      <c r="C6" s="3280"/>
      <c r="D6" s="3299"/>
      <c r="E6" s="136" t="s">
        <v>1952</v>
      </c>
      <c r="F6" s="1943"/>
      <c r="G6" s="1943"/>
      <c r="H6" s="1943"/>
      <c r="I6" s="1557"/>
    </row>
    <row r="7" spans="1:12" ht="12.75">
      <c r="A7" s="3276"/>
      <c r="B7" s="3263"/>
      <c r="C7" s="3281"/>
      <c r="D7" s="3299"/>
      <c r="E7" s="136" t="s">
        <v>1953</v>
      </c>
      <c r="F7" s="1943"/>
      <c r="G7" s="1943"/>
      <c r="H7" s="1943"/>
      <c r="I7" s="1557"/>
    </row>
    <row r="8" spans="1:12" ht="12.75">
      <c r="A8" s="3276" t="s">
        <v>1954</v>
      </c>
      <c r="B8" s="3263">
        <v>15</v>
      </c>
      <c r="C8" s="3279"/>
      <c r="D8" s="3299"/>
      <c r="E8" s="136" t="s">
        <v>1955</v>
      </c>
      <c r="F8" s="1943"/>
      <c r="G8" s="1943"/>
      <c r="H8" s="1943"/>
      <c r="I8" s="1557"/>
    </row>
    <row r="9" spans="1:12" ht="12.75">
      <c r="A9" s="3276"/>
      <c r="B9" s="3263"/>
      <c r="C9" s="3281"/>
      <c r="D9" s="3299"/>
      <c r="E9" s="136" t="s">
        <v>1956</v>
      </c>
      <c r="F9" s="1943"/>
      <c r="G9" s="1943"/>
      <c r="H9" s="1943"/>
      <c r="I9" s="1557"/>
    </row>
    <row r="10" spans="1:12" ht="12.75">
      <c r="A10" s="3276" t="s">
        <v>1957</v>
      </c>
      <c r="B10" s="3263">
        <v>15</v>
      </c>
      <c r="C10" s="3279"/>
      <c r="D10" s="3299"/>
      <c r="E10" s="136" t="s">
        <v>1958</v>
      </c>
      <c r="F10" s="1943"/>
      <c r="G10" s="1943"/>
      <c r="H10" s="1943"/>
      <c r="I10" s="1557"/>
    </row>
    <row r="11" spans="1:12" ht="12.75">
      <c r="A11" s="3276"/>
      <c r="B11" s="3263"/>
      <c r="C11" s="3281"/>
      <c r="D11" s="3299"/>
      <c r="E11" s="136" t="s">
        <v>1959</v>
      </c>
      <c r="F11" s="1943"/>
      <c r="G11" s="1943"/>
      <c r="H11" s="1943"/>
      <c r="I11" s="1557"/>
    </row>
    <row r="12" spans="1:12" ht="12.75">
      <c r="A12" s="3276" t="s">
        <v>1960</v>
      </c>
      <c r="B12" s="3263">
        <v>15</v>
      </c>
      <c r="C12" s="3279"/>
      <c r="D12" s="3299"/>
      <c r="E12" s="136" t="s">
        <v>1961</v>
      </c>
      <c r="F12" s="1943"/>
      <c r="G12" s="1943"/>
      <c r="H12" s="1943"/>
      <c r="I12" s="1557"/>
    </row>
    <row r="13" spans="1:12" ht="12.75">
      <c r="A13" s="3276"/>
      <c r="B13" s="3263"/>
      <c r="C13" s="3281"/>
      <c r="D13" s="3299"/>
      <c r="E13" s="136" t="s">
        <v>1962</v>
      </c>
      <c r="F13" s="1943"/>
      <c r="G13" s="1943"/>
      <c r="H13" s="1943"/>
      <c r="I13" s="1557"/>
    </row>
    <row r="14" spans="1:12" ht="12.75">
      <c r="A14" s="3276" t="s">
        <v>1963</v>
      </c>
      <c r="B14" s="3263">
        <v>30</v>
      </c>
      <c r="C14" s="3279">
        <v>65</v>
      </c>
      <c r="D14" s="3299">
        <v>35</v>
      </c>
      <c r="E14" s="136" t="s">
        <v>1964</v>
      </c>
      <c r="F14" s="1943"/>
      <c r="G14" s="1943"/>
      <c r="H14" s="1943"/>
      <c r="I14" s="1557"/>
    </row>
    <row r="15" spans="1:12" ht="12.75">
      <c r="A15" s="3276"/>
      <c r="B15" s="3263"/>
      <c r="C15" s="3280"/>
      <c r="D15" s="3299"/>
      <c r="E15" s="136" t="s">
        <v>1965</v>
      </c>
      <c r="F15" s="1943"/>
      <c r="G15" s="1943"/>
      <c r="H15" s="1943"/>
      <c r="I15" s="1557"/>
    </row>
    <row r="16" spans="1:12" ht="12.75">
      <c r="A16" s="3276"/>
      <c r="B16" s="3263"/>
      <c r="C16" s="3281"/>
      <c r="D16" s="3299"/>
      <c r="E16" s="136" t="s">
        <v>1966</v>
      </c>
      <c r="F16" s="1943"/>
      <c r="G16" s="1943"/>
      <c r="H16" s="1943"/>
      <c r="I16" s="1557"/>
    </row>
    <row r="17" spans="1:36" ht="15">
      <c r="A17" s="1944" t="s">
        <v>1967</v>
      </c>
      <c r="B17" s="60"/>
      <c r="C17" s="137">
        <f>SUM(C5:C16)</f>
        <v>65</v>
      </c>
      <c r="D17" s="137">
        <f>SUM(D5:D16)</f>
        <v>35</v>
      </c>
      <c r="E17" s="134"/>
      <c r="F17" s="134"/>
      <c r="G17" s="134"/>
      <c r="H17" s="134"/>
      <c r="I17" s="134"/>
      <c r="K17" s="308"/>
      <c r="L17" s="308" t="s">
        <v>1968</v>
      </c>
      <c r="M17" s="308" t="s">
        <v>1969</v>
      </c>
    </row>
    <row r="18" spans="1:36" ht="31.9" customHeight="1" thickBot="1">
      <c r="A18" s="1945" t="s">
        <v>1970</v>
      </c>
      <c r="B18" s="1946"/>
      <c r="C18" s="138">
        <f>ROUND(C17/SUM(C17:D17),2)</f>
        <v>0.65</v>
      </c>
      <c r="D18" s="138">
        <f>1-C18</f>
        <v>0.35</v>
      </c>
      <c r="E18" s="3286" t="s">
        <v>2869</v>
      </c>
      <c r="F18" s="3287"/>
      <c r="G18" s="3287"/>
      <c r="H18" s="3287"/>
      <c r="I18" s="3287"/>
      <c r="K18" s="308" t="s">
        <v>1971</v>
      </c>
      <c r="L18" s="308">
        <f>IF(C1="",'数据-汇总表'!E3,SUMIF(项目类型,C1,'数据-汇总表'!E17:E26)+SUMIF(项目类型,C1,'数据-汇总表'!I17:I26))</f>
        <v>48448.81</v>
      </c>
      <c r="M18" s="308">
        <f>IF(C1="",'数据-汇总表'!E3,SUMIF(项目类型,C1,'数据-汇总表'!E17:E26))</f>
        <v>48448.81</v>
      </c>
    </row>
    <row r="19" spans="1:36" ht="15">
      <c r="A19" s="1947" t="s">
        <v>1972</v>
      </c>
      <c r="B19" s="1948" t="s">
        <v>1973</v>
      </c>
      <c r="C19" s="139">
        <f ca="1">SUMIF(INDIRECT("'"&amp;C4&amp;"'"&amp;"!A:A"),'结果表-B'!B19,INDIRECT("'"&amp;C4&amp;"'"&amp;"!B:B"))</f>
        <v>105134</v>
      </c>
      <c r="D19" s="140">
        <f ca="1">SUMIF(INDIRECT("'"&amp;D4&amp;"'"&amp;"!A:A"),'结果表-B'!B19,INDIRECT("'"&amp;D4&amp;"'"&amp;"!B:B"))</f>
        <v>15255</v>
      </c>
      <c r="E19" s="1947" t="s">
        <v>1974</v>
      </c>
      <c r="F19" s="1948" t="s">
        <v>1973</v>
      </c>
      <c r="G19" s="141">
        <f ca="1">ROUND(C19*$C$18+D19*$D$18,0)</f>
        <v>73676</v>
      </c>
      <c r="H19" s="1949" t="s">
        <v>1975</v>
      </c>
      <c r="I19" s="134"/>
      <c r="K19" s="308" t="s">
        <v>1976</v>
      </c>
      <c r="L19" s="308">
        <f>IF(C1="",'数据-汇总表'!D3,SUMIF(项目类型,C1,'数据-汇总表'!D17:D26)+SUMIF(项目类型,C1,'数据-汇总表'!H17:H27))</f>
        <v>68221.41</v>
      </c>
      <c r="M19" s="308">
        <f>IF(C1="",'数据-汇总表'!D3,SUMIF(项目类型,C1,'数据-汇总表'!D17:D26))</f>
        <v>68221.41</v>
      </c>
    </row>
    <row r="20" spans="1:36" ht="15">
      <c r="A20" s="1950"/>
      <c r="B20" s="1157" t="s">
        <v>1977</v>
      </c>
      <c r="C20" s="142">
        <f ca="1">SUMIF(INDIRECT("'"&amp;C4&amp;"'"&amp;"!A:A"),'结果表-B'!B20,INDIRECT("'"&amp;C4&amp;"'"&amp;"!B:B"))</f>
        <v>21700</v>
      </c>
      <c r="D20" s="143">
        <f ca="1">SUMIF(INDIRECT("'"&amp;D4&amp;"'"&amp;"!A:A"),'结果表-B'!B20,INDIRECT("'"&amp;D4&amp;"'"&amp;"!B:B"))</f>
        <v>3149</v>
      </c>
      <c r="E20" s="1950"/>
      <c r="F20" s="1157" t="s">
        <v>1977</v>
      </c>
      <c r="G20" s="144">
        <f ca="1">ROUND(C20*$C$18+D20*$D$18,0)</f>
        <v>15207</v>
      </c>
      <c r="H20" s="917" t="s">
        <v>1978</v>
      </c>
      <c r="I20" s="134"/>
    </row>
    <row r="21" spans="1:36" ht="15" customHeight="1" thickBot="1">
      <c r="A21" s="937"/>
      <c r="B21" s="1951" t="s">
        <v>1979</v>
      </c>
      <c r="C21" s="728">
        <f ca="1">ROUND(C19*10000/L19,0)</f>
        <v>15411</v>
      </c>
      <c r="D21" s="729">
        <f ca="1">ROUND(D19*10000/L19,0)</f>
        <v>2236</v>
      </c>
      <c r="E21" s="937"/>
      <c r="F21" s="1951" t="s">
        <v>1979</v>
      </c>
      <c r="G21" s="145">
        <f ca="1">ROUND(G19*10000/L19,0)</f>
        <v>10800</v>
      </c>
      <c r="H21" s="1952" t="s">
        <v>1978</v>
      </c>
      <c r="I21" s="134"/>
    </row>
    <row r="22" spans="1:36" ht="15" thickBot="1">
      <c r="A22" s="1874" t="s">
        <v>1980</v>
      </c>
      <c r="B22" s="1953"/>
      <c r="C22" s="1954"/>
      <c r="D22" s="730">
        <f ca="1">IF(C19&lt;D19,D19/C19-1,C19/D19-1)</f>
        <v>5.8917731891183216</v>
      </c>
      <c r="E22" s="134"/>
      <c r="F22" s="134"/>
      <c r="G22" s="134"/>
      <c r="H22" s="134"/>
      <c r="I22" s="134"/>
    </row>
    <row r="23" spans="1:36" ht="13.5" thickBot="1">
      <c r="A23" s="1933"/>
      <c r="B23" s="1933"/>
      <c r="C23" s="1933"/>
      <c r="D23" s="1933"/>
      <c r="E23" s="134"/>
      <c r="F23" s="134"/>
      <c r="G23" s="134"/>
      <c r="H23" s="134"/>
      <c r="I23" s="134"/>
    </row>
    <row r="24" spans="1:36" ht="14.25">
      <c r="A24" s="3270" t="s">
        <v>1981</v>
      </c>
      <c r="B24" s="1948" t="s">
        <v>1973</v>
      </c>
      <c r="C24" s="141">
        <f>IF(B30=0,0,D30)</f>
        <v>0</v>
      </c>
      <c r="D24" s="1955"/>
      <c r="E24" s="134"/>
      <c r="F24" s="134"/>
      <c r="G24" s="134"/>
      <c r="H24" s="134"/>
      <c r="I24" s="134"/>
    </row>
    <row r="25" spans="1:36" ht="14.25">
      <c r="A25" s="3271"/>
      <c r="B25" s="1157" t="s">
        <v>1977</v>
      </c>
      <c r="C25" s="146">
        <f>IF(B30=0,0,C30)</f>
        <v>0</v>
      </c>
      <c r="D25" s="1956"/>
      <c r="E25" s="134"/>
      <c r="F25" s="134"/>
      <c r="G25" s="134"/>
      <c r="H25" s="134"/>
      <c r="I25" s="134"/>
    </row>
    <row r="26" spans="1:36" ht="13.5" customHeight="1">
      <c r="A26" s="1957" t="s">
        <v>1982</v>
      </c>
      <c r="B26" s="147" t="s">
        <v>1983</v>
      </c>
      <c r="C26" s="147" t="s">
        <v>1984</v>
      </c>
      <c r="D26" s="148" t="s">
        <v>1985</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1986</v>
      </c>
      <c r="B30" s="147"/>
      <c r="C30" s="147"/>
      <c r="D30" s="147"/>
      <c r="E30" s="2521" t="s">
        <v>2870</v>
      </c>
      <c r="F30" s="134"/>
      <c r="G30" s="134"/>
      <c r="H30" s="134"/>
      <c r="I30" s="134"/>
    </row>
    <row r="31" spans="1:36" s="2527" customFormat="1" ht="26.45" customHeight="1" thickTop="1" thickBot="1">
      <c r="A31" s="2522"/>
      <c r="B31" s="2523"/>
      <c r="C31" s="2523"/>
      <c r="D31" s="2523"/>
      <c r="E31" s="2523"/>
      <c r="F31" s="2523"/>
      <c r="G31" s="2523"/>
      <c r="H31" s="2523"/>
      <c r="I31" s="2524" t="s">
        <v>2871</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1987</v>
      </c>
      <c r="B32" s="1960"/>
      <c r="C32" s="149">
        <f ca="1">IF(D32="总价",G19-C24,G20-C25)</f>
        <v>73676</v>
      </c>
      <c r="D32" s="1961" t="s">
        <v>3508</v>
      </c>
      <c r="E32" s="134"/>
      <c r="F32" s="134"/>
      <c r="G32" s="134"/>
      <c r="H32" s="134"/>
      <c r="I32" s="134"/>
    </row>
    <row r="33" spans="1:15" ht="15">
      <c r="A33" s="894" t="s">
        <v>1988</v>
      </c>
      <c r="B33" s="1962"/>
      <c r="C33" s="1963" t="s">
        <v>3509</v>
      </c>
      <c r="D33" s="1964" t="s">
        <v>3501</v>
      </c>
      <c r="E33" s="1965" t="s">
        <v>1989</v>
      </c>
      <c r="F33" s="1966" t="str">
        <f>IF(D32="楼面单价","取值（单价）","取值（总价）")</f>
        <v>取值（总价）</v>
      </c>
      <c r="G33" s="134"/>
      <c r="H33" s="134"/>
      <c r="I33" s="134"/>
    </row>
    <row r="34" spans="1:15" ht="15">
      <c r="A34" s="1967"/>
      <c r="B34" s="1968" t="s">
        <v>1990</v>
      </c>
      <c r="C34" s="153">
        <f ca="1">IF(C33="自定义",F34,C32-C35)</f>
        <v>24018</v>
      </c>
      <c r="D34" s="970">
        <f ca="1">IF(C33="自定义",ROUND(C34/C32,3),IF(C33="收益比率",SUMIF(INDIRECT("'"&amp;D33&amp;"'"&amp;"!b:b"),"土地收益比率",INDIRECT("'"&amp;D33&amp;"'"&amp;"!c:c")),SUMIF(INDIRECT("'"&amp;D33&amp;"'"&amp;"!b:b"),"土地成本比率",INDIRECT("'"&amp;D33&amp;"'"&amp;"!c:c"))))</f>
        <v>0.32599999999999996</v>
      </c>
      <c r="E34" s="1969" t="s">
        <v>1991</v>
      </c>
      <c r="F34" s="1498"/>
      <c r="G34" s="134"/>
      <c r="H34" s="134"/>
      <c r="I34" s="134"/>
    </row>
    <row r="35" spans="1:15" ht="15.75" thickBot="1">
      <c r="A35" s="1970"/>
      <c r="B35" s="1971" t="s">
        <v>1992</v>
      </c>
      <c r="C35" s="1332">
        <f ca="1">IF(C33="自定义",F35,ROUND(C32*D35,0))</f>
        <v>49658</v>
      </c>
      <c r="D35" s="1333">
        <f ca="1">IF(C33="自定义",ROUND(C35/C32,3),IF(C33="收益比率",SUMIF(INDIRECT("'"&amp;D33&amp;"'"&amp;"!b:b"),"建筑物收益比率",INDIRECT("'"&amp;D33&amp;"'"&amp;"!c:c")),SUMIF(INDIRECT("'"&amp;D33&amp;"'"&amp;"!b:b"),"建筑物成本比率",INDIRECT("'"&amp;D33&amp;"'"&amp;"!c:c"))))</f>
        <v>0.67400000000000004</v>
      </c>
      <c r="E35" s="1972" t="s">
        <v>1993</v>
      </c>
      <c r="F35" s="159"/>
      <c r="G35" s="134"/>
      <c r="H35" s="134"/>
      <c r="I35" s="134"/>
    </row>
    <row r="36" spans="1:15" ht="15.75" thickBot="1">
      <c r="A36" s="3290" t="s">
        <v>1994</v>
      </c>
      <c r="B36" s="1973" t="s">
        <v>1995</v>
      </c>
      <c r="C36" s="150"/>
      <c r="D36" s="1974"/>
      <c r="E36" s="1975"/>
      <c r="F36" s="1976"/>
      <c r="G36" s="134"/>
      <c r="H36" s="134"/>
      <c r="I36" s="134"/>
    </row>
    <row r="37" spans="1:15" ht="15.75" thickBot="1">
      <c r="A37" s="3291"/>
      <c r="B37" s="1860" t="s">
        <v>1996</v>
      </c>
      <c r="C37" s="152"/>
      <c r="D37" s="1301"/>
      <c r="E37" s="1301"/>
      <c r="F37" s="1976"/>
      <c r="G37" s="134"/>
      <c r="H37" s="134"/>
      <c r="I37" s="134"/>
    </row>
    <row r="38" spans="1:15" ht="15.75" thickBot="1">
      <c r="A38" s="3292"/>
      <c r="B38" s="1977" t="s">
        <v>1997</v>
      </c>
      <c r="C38" s="683"/>
      <c r="D38" s="1978" t="s">
        <v>1998</v>
      </c>
      <c r="E38" s="1301"/>
      <c r="F38" s="1976"/>
      <c r="G38" s="134"/>
      <c r="H38" s="134"/>
      <c r="I38" s="134"/>
    </row>
    <row r="39" spans="1:15" ht="15">
      <c r="A39" s="1950" t="s">
        <v>1999</v>
      </c>
      <c r="B39" s="1979" t="s">
        <v>1983</v>
      </c>
      <c r="C39" s="1980" t="s">
        <v>1984</v>
      </c>
      <c r="D39" s="1980" t="s">
        <v>2002</v>
      </c>
      <c r="E39" s="1981" t="s">
        <v>1985</v>
      </c>
      <c r="F39" s="1976"/>
      <c r="G39" s="134"/>
      <c r="H39" s="134"/>
      <c r="I39" s="134"/>
    </row>
    <row r="40" spans="1:15" ht="14.25">
      <c r="A40" s="1982" t="s">
        <v>2004</v>
      </c>
      <c r="B40" s="154"/>
      <c r="C40" s="155"/>
      <c r="D40" s="155"/>
      <c r="E40" s="156"/>
      <c r="F40" s="1976"/>
      <c r="G40" s="134"/>
      <c r="H40" s="134"/>
      <c r="I40" s="134"/>
    </row>
    <row r="41" spans="1:15" ht="14.25">
      <c r="A41" s="1982" t="s">
        <v>2005</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2006</v>
      </c>
      <c r="B44" s="1987"/>
      <c r="C44" s="1987"/>
      <c r="D44" s="1988"/>
      <c r="E44" s="1988"/>
      <c r="F44" s="1989"/>
      <c r="G44" s="1989"/>
      <c r="H44" s="1989"/>
      <c r="I44" s="1989"/>
      <c r="J44" s="1990" t="s">
        <v>2007</v>
      </c>
      <c r="K44" s="1991"/>
      <c r="L44" s="1991"/>
      <c r="M44" s="1991"/>
      <c r="N44" s="1991"/>
      <c r="O44" s="1991"/>
    </row>
    <row r="45" spans="1:15" ht="14.25" customHeight="1" thickBot="1">
      <c r="A45" s="3267" t="s">
        <v>2008</v>
      </c>
      <c r="B45" s="3268"/>
      <c r="C45" s="3269"/>
      <c r="D45" s="160">
        <f ca="1">ROUND(H101*F45,0)</f>
        <v>73676</v>
      </c>
      <c r="E45" s="161" t="s">
        <v>2009</v>
      </c>
      <c r="F45" s="162">
        <v>1</v>
      </c>
      <c r="G45" s="163" t="s">
        <v>2010</v>
      </c>
      <c r="H45" s="134"/>
      <c r="I45" s="134"/>
      <c r="J45" s="3348" t="s">
        <v>2011</v>
      </c>
      <c r="K45" s="3348"/>
      <c r="L45" s="3348"/>
      <c r="M45" s="3348"/>
      <c r="N45" s="3348"/>
      <c r="O45" s="3348"/>
    </row>
    <row r="46" spans="1:15" ht="14.25" customHeight="1">
      <c r="A46" s="3264" t="s">
        <v>2012</v>
      </c>
      <c r="B46" s="3265"/>
      <c r="C46" s="3265"/>
      <c r="D46" s="3265"/>
      <c r="E46" s="3265"/>
      <c r="F46" s="3265"/>
      <c r="G46" s="3266"/>
      <c r="H46" s="1992"/>
      <c r="I46" s="164"/>
      <c r="J46" s="3075">
        <v>1</v>
      </c>
      <c r="K46" s="3329" t="s">
        <v>2013</v>
      </c>
      <c r="L46" s="3329"/>
      <c r="M46" s="3349"/>
      <c r="N46" s="3349"/>
      <c r="O46" s="3349"/>
    </row>
    <row r="47" spans="1:15" ht="12" customHeight="1">
      <c r="A47" s="165" t="s">
        <v>2014</v>
      </c>
      <c r="B47" s="166"/>
      <c r="C47" s="167"/>
      <c r="D47" s="1247" t="s">
        <v>2015</v>
      </c>
      <c r="E47" s="308" t="s">
        <v>2016</v>
      </c>
      <c r="F47" s="168" t="s">
        <v>2017</v>
      </c>
      <c r="G47" s="2772" t="s">
        <v>2018</v>
      </c>
      <c r="H47" s="2773"/>
      <c r="I47" s="164"/>
      <c r="J47" s="3075">
        <v>2</v>
      </c>
      <c r="K47" s="3329" t="s">
        <v>2019</v>
      </c>
      <c r="L47" s="3329"/>
      <c r="M47" s="3350">
        <f>'数据-取费表'!B2</f>
        <v>44555</v>
      </c>
      <c r="N47" s="3350"/>
      <c r="O47" s="3350"/>
    </row>
    <row r="48" spans="1:15" ht="25.5">
      <c r="A48" s="3295" t="s">
        <v>2020</v>
      </c>
      <c r="B48" s="3278"/>
      <c r="C48" s="3278"/>
      <c r="D48" s="3077" t="b">
        <f>IF(H48="情况1",0,IF(H48="情况2",D52,IF(H48="情况3",D53,IF(H48="情况4",D54))))</f>
        <v>0</v>
      </c>
      <c r="E48" s="3068" t="str">
        <f>IF(H48="情况4","(销售额-原购置价)×税（费）率","销售额×税（费）率")</f>
        <v>销售额×税（费）率</v>
      </c>
      <c r="F48" s="2774">
        <f>IF(H48="情况1","免征",'数据-取费表'!B41)</f>
        <v>5.6000000000000001E-2</v>
      </c>
      <c r="G48" s="2775" t="s">
        <v>2021</v>
      </c>
      <c r="H48" s="2776"/>
      <c r="I48" s="1992"/>
      <c r="J48" s="3075">
        <v>3</v>
      </c>
      <c r="K48" s="3329" t="s">
        <v>2022</v>
      </c>
      <c r="L48" s="3329"/>
      <c r="M48" s="3351">
        <f ca="1">H101</f>
        <v>73676</v>
      </c>
      <c r="N48" s="3351"/>
      <c r="O48" s="3351"/>
    </row>
    <row r="49" spans="1:35" ht="25.5" customHeight="1">
      <c r="A49" s="3072" t="s">
        <v>2023</v>
      </c>
      <c r="B49" s="3262" t="s">
        <v>2024</v>
      </c>
      <c r="C49" s="3262"/>
      <c r="D49" s="1775">
        <v>0</v>
      </c>
      <c r="E49" s="330" t="s">
        <v>2025</v>
      </c>
      <c r="F49" s="3062" t="s">
        <v>34</v>
      </c>
      <c r="G49" s="3335"/>
      <c r="H49" s="2528" t="s">
        <v>2872</v>
      </c>
      <c r="I49" s="2529"/>
      <c r="J49" s="3075">
        <v>4</v>
      </c>
      <c r="K49" s="3329" t="str">
        <f>IF(项目基本情况!E8="房地产抵押价值","房地产抵押价值","抵押担保权已注销时的房地产抵押价值")</f>
        <v>房地产抵押价值</v>
      </c>
      <c r="L49" s="3329"/>
      <c r="M49" s="3351">
        <f ca="1">IF(项目基本情况!E8="房地产抵押价值",H107,H109)</f>
        <v>73676</v>
      </c>
      <c r="N49" s="3351"/>
      <c r="O49" s="3351"/>
    </row>
    <row r="50" spans="1:35" ht="25.5" customHeight="1">
      <c r="A50" s="2777"/>
      <c r="B50" s="3262" t="s">
        <v>2026</v>
      </c>
      <c r="C50" s="3262"/>
      <c r="D50" s="2778"/>
      <c r="E50" s="338"/>
      <c r="F50" s="3062"/>
      <c r="G50" s="3336"/>
      <c r="H50" s="2530" t="s">
        <v>2873</v>
      </c>
      <c r="I50" s="2529"/>
      <c r="J50" s="3348" t="s">
        <v>2027</v>
      </c>
      <c r="K50" s="3348"/>
      <c r="L50" s="3348"/>
      <c r="M50" s="3348"/>
      <c r="N50" s="3348"/>
      <c r="O50" s="3348"/>
    </row>
    <row r="51" spans="1:35" ht="20.45" customHeight="1">
      <c r="A51" s="2779"/>
      <c r="B51" s="3262" t="s">
        <v>2028</v>
      </c>
      <c r="C51" s="3262"/>
      <c r="D51" s="1247"/>
      <c r="E51" s="333"/>
      <c r="F51" s="3062"/>
      <c r="G51" s="3337"/>
      <c r="H51" s="2530" t="s">
        <v>2874</v>
      </c>
      <c r="I51" s="2529"/>
      <c r="J51" s="3074" t="s">
        <v>2029</v>
      </c>
      <c r="K51" s="3329" t="s">
        <v>2030</v>
      </c>
      <c r="L51" s="3329"/>
      <c r="M51" s="3074" t="s">
        <v>2031</v>
      </c>
      <c r="N51" s="3074" t="s">
        <v>2032</v>
      </c>
      <c r="O51" s="3074" t="s">
        <v>2033</v>
      </c>
    </row>
    <row r="52" spans="1:35" ht="24" customHeight="1">
      <c r="A52" s="3067" t="s">
        <v>2034</v>
      </c>
      <c r="B52" s="3262" t="s">
        <v>2035</v>
      </c>
      <c r="C52" s="3262"/>
      <c r="D52" s="1247">
        <f ca="1">ROUND(D45*'数据-取费表'!B41/(1+'数据-取费表'!C42),0)</f>
        <v>3929</v>
      </c>
      <c r="E52" s="3068" t="s">
        <v>2036</v>
      </c>
      <c r="F52" s="2780">
        <f>'数据-取费表'!B41</f>
        <v>5.6000000000000001E-2</v>
      </c>
      <c r="G52" s="2781"/>
      <c r="H52" s="2770"/>
      <c r="I52" s="1993"/>
      <c r="J52" s="3075">
        <v>1</v>
      </c>
      <c r="K52" s="3330" t="s">
        <v>2037</v>
      </c>
      <c r="L52" s="3330"/>
      <c r="M52" s="2751" t="b">
        <f>D48</f>
        <v>0</v>
      </c>
      <c r="N52" s="3075" t="str">
        <f>E48</f>
        <v>销售额×税（费）率</v>
      </c>
      <c r="O52" s="2752">
        <f>F48</f>
        <v>5.6000000000000001E-2</v>
      </c>
    </row>
    <row r="53" spans="1:35" ht="12" customHeight="1">
      <c r="A53" s="3067" t="s">
        <v>2038</v>
      </c>
      <c r="B53" s="3288" t="s">
        <v>3033</v>
      </c>
      <c r="C53" s="3289"/>
      <c r="D53" s="1247">
        <f ca="1">ROUND(D45*'数据-取费表'!B41/(1+'数据-取费表'!C42),0)</f>
        <v>3929</v>
      </c>
      <c r="E53" s="3068" t="s">
        <v>2036</v>
      </c>
      <c r="F53" s="2780">
        <f>'数据-取费表'!B41</f>
        <v>5.6000000000000001E-2</v>
      </c>
      <c r="G53" s="2781"/>
      <c r="H53" s="2770"/>
      <c r="I53" s="1993"/>
      <c r="J53" s="3075">
        <v>2</v>
      </c>
      <c r="K53" s="3330" t="s">
        <v>2039</v>
      </c>
      <c r="L53" s="3330"/>
      <c r="M53" s="2751">
        <f t="shared" ref="M53:O54" ca="1" si="0">D55</f>
        <v>37</v>
      </c>
      <c r="N53" s="3075" t="str">
        <f t="shared" si="0"/>
        <v>销售额×税（费）率</v>
      </c>
      <c r="O53" s="2752" t="str">
        <f t="shared" si="0"/>
        <v>免征</v>
      </c>
    </row>
    <row r="54" spans="1:35" ht="12" customHeight="1">
      <c r="A54" s="3067" t="s">
        <v>2040</v>
      </c>
      <c r="B54" s="3288" t="s">
        <v>3034</v>
      </c>
      <c r="C54" s="3289"/>
      <c r="D54" s="1247">
        <f ca="1">C68</f>
        <v>3929</v>
      </c>
      <c r="E54" s="333" t="s">
        <v>2041</v>
      </c>
      <c r="F54" s="2780">
        <f>'数据-取费表'!B41</f>
        <v>5.6000000000000001E-2</v>
      </c>
      <c r="G54" s="2781"/>
      <c r="H54" s="2782"/>
      <c r="I54" s="1993"/>
      <c r="J54" s="3075">
        <v>3</v>
      </c>
      <c r="K54" s="3330" t="s">
        <v>2042</v>
      </c>
      <c r="L54" s="3330"/>
      <c r="M54" s="2751">
        <f t="shared" ca="1" si="0"/>
        <v>41701</v>
      </c>
      <c r="N54" s="3075" t="str">
        <f t="shared" si="0"/>
        <v>增值额×税（费）率</v>
      </c>
      <c r="O54" s="2753" t="str">
        <f t="shared" si="0"/>
        <v>免征</v>
      </c>
    </row>
    <row r="55" spans="1:35" ht="24" customHeight="1">
      <c r="A55" s="3277" t="s">
        <v>2043</v>
      </c>
      <c r="B55" s="3278"/>
      <c r="C55" s="3278"/>
      <c r="D55" s="3077">
        <f ca="1">IF(H55="个人住宅",0,ROUND(D45*I55,0))</f>
        <v>37</v>
      </c>
      <c r="E55" s="3068" t="s">
        <v>2044</v>
      </c>
      <c r="F55" s="2780" t="str">
        <f>IF(H55="正常",I55,"免征")</f>
        <v>免征</v>
      </c>
      <c r="G55" s="2781"/>
      <c r="H55" s="2776"/>
      <c r="I55" s="170">
        <f>'数据-取费表'!B49</f>
        <v>5.0000000000000001E-4</v>
      </c>
      <c r="J55" s="3075">
        <f>IF(H59="非个人房产","",4)</f>
        <v>4</v>
      </c>
      <c r="K55" s="3330" t="str">
        <f>IF(H59="非个人房产","——","个人所得税")</f>
        <v>个人所得税</v>
      </c>
      <c r="L55" s="3330"/>
      <c r="M55" s="2754">
        <f ca="1">D59</f>
        <v>702</v>
      </c>
      <c r="N55" s="3076" t="str">
        <f>E59</f>
        <v>差额计税</v>
      </c>
      <c r="O55" s="2755">
        <f>F59</f>
        <v>0.01</v>
      </c>
    </row>
    <row r="56" spans="1:35" ht="24.75">
      <c r="A56" s="3277" t="s">
        <v>2045</v>
      </c>
      <c r="B56" s="3278"/>
      <c r="C56" s="3278"/>
      <c r="D56" s="3077">
        <f ca="1">IF(H56="个人住宅",D57,D58)</f>
        <v>41701</v>
      </c>
      <c r="E56" s="3068" t="s">
        <v>2046</v>
      </c>
      <c r="F56" s="2780" t="str">
        <f>IF(H56="正常",F58,"免征")</f>
        <v>免征</v>
      </c>
      <c r="G56" s="2783" t="s">
        <v>2047</v>
      </c>
      <c r="H56" s="2784"/>
      <c r="I56" s="1994"/>
      <c r="J56" s="3075" t="str">
        <f>IF(项目基本情况!K6="上海银行",IF(J55="",4,J55+1),"")</f>
        <v/>
      </c>
      <c r="K56" s="3353" t="str">
        <f>IF(项目基本情况!K6="上海银行","其他处置费用","")</f>
        <v/>
      </c>
      <c r="L56" s="3354"/>
      <c r="M56" s="2751" t="str">
        <f>IF(项目基本情况!K6="上海银行",M69,"")</f>
        <v/>
      </c>
      <c r="N56" s="3353" t="str">
        <f>IF(项目基本情况!K6="上海银行","包含处置中涉及的律师、诉讼、拍卖、评估等费用","")</f>
        <v/>
      </c>
      <c r="O56" s="3356"/>
    </row>
    <row r="57" spans="1:35" ht="12.75">
      <c r="A57" s="3067" t="s">
        <v>2023</v>
      </c>
      <c r="B57" s="3288" t="s">
        <v>2048</v>
      </c>
      <c r="C57" s="3289"/>
      <c r="D57" s="1775">
        <v>0</v>
      </c>
      <c r="E57" s="330" t="s">
        <v>2025</v>
      </c>
      <c r="F57" s="308"/>
      <c r="G57" s="2781"/>
      <c r="H57" s="2785"/>
      <c r="I57" s="1994"/>
      <c r="J57" s="3330">
        <f>IF(AND(J55="",J56=""),4,IF(项目基本情况!K6="上海银行",'结果表-B'!J56+1,'结果表-B'!J55+1))</f>
        <v>5</v>
      </c>
      <c r="K57" s="3330" t="s">
        <v>2049</v>
      </c>
      <c r="L57" s="2756" t="s">
        <v>2050</v>
      </c>
      <c r="M57" s="2757"/>
      <c r="N57" s="2758">
        <f ca="1">SUMIF(M52:M56,"&lt;9e307")</f>
        <v>42440</v>
      </c>
      <c r="O57" s="2759"/>
      <c r="P57" s="2919">
        <f ca="1">N57/M49</f>
        <v>0.57603561539714421</v>
      </c>
    </row>
    <row r="58" spans="1:35" ht="24.75">
      <c r="A58" s="3067" t="s">
        <v>2034</v>
      </c>
      <c r="B58" s="3288" t="s">
        <v>2051</v>
      </c>
      <c r="C58" s="3262"/>
      <c r="D58" s="3077">
        <f ca="1">IF(H58="转让取得",C81,C97)</f>
        <v>41701</v>
      </c>
      <c r="E58" s="3068" t="s">
        <v>2046</v>
      </c>
      <c r="F58" s="308" t="s">
        <v>34</v>
      </c>
      <c r="G58" s="2781"/>
      <c r="H58" s="2784"/>
      <c r="I58" s="1994"/>
      <c r="J58" s="3330"/>
      <c r="K58" s="3330"/>
      <c r="L58" s="2756" t="s">
        <v>2052</v>
      </c>
      <c r="M58" s="2760"/>
      <c r="N58" s="2761" t="str">
        <f ca="1">NUMBERSTRING(INT(N57*10000),2)&amp;"元整"</f>
        <v>肆亿贰仟肆佰肆拾万元整</v>
      </c>
      <c r="O58" s="2762"/>
    </row>
    <row r="59" spans="1:35" ht="24.75" thickBot="1">
      <c r="A59" s="3333" t="s">
        <v>2053</v>
      </c>
      <c r="B59" s="3334"/>
      <c r="C59" s="3334"/>
      <c r="D59" s="2786">
        <f ca="1">IF(H59="非个人房产","——",IF(H59="个人住宅（满五唯一有凭证）",0,IF(H59="个人其他（无凭证）",ROUND(D45*F59,0),ROUND(C67*F59,0))))</f>
        <v>702</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2047</v>
      </c>
      <c r="H59" s="2532"/>
      <c r="I59" s="2531" t="s">
        <v>2875</v>
      </c>
      <c r="J59" s="3331">
        <f>J57+1</f>
        <v>6</v>
      </c>
      <c r="K59" s="3330" t="s">
        <v>2054</v>
      </c>
      <c r="L59" s="3075" t="s">
        <v>2050</v>
      </c>
      <c r="M59" s="2763"/>
      <c r="N59" s="2764">
        <f ca="1">M49-N57</f>
        <v>31236</v>
      </c>
      <c r="O59" s="2765"/>
    </row>
    <row r="60" spans="1:35" ht="12" customHeight="1">
      <c r="A60" s="1995"/>
      <c r="B60" s="1933"/>
      <c r="C60" s="1933"/>
      <c r="D60" s="1933"/>
      <c r="E60" s="1763"/>
      <c r="F60" s="1994"/>
      <c r="G60" s="1994"/>
      <c r="H60" s="1996"/>
      <c r="I60" s="134"/>
      <c r="J60" s="3332"/>
      <c r="K60" s="3330"/>
      <c r="L60" s="2756" t="s">
        <v>2052</v>
      </c>
      <c r="M60" s="2760"/>
      <c r="N60" s="2761" t="str">
        <f ca="1">NUMBERSTRING(INT(N59*10000),2)&amp;"元整"</f>
        <v>叁亿壹仟贰佰叁拾陆万元整</v>
      </c>
      <c r="O60" s="2762"/>
    </row>
    <row r="61" spans="1:35" ht="13.5" thickBot="1">
      <c r="A61" s="3275" t="s">
        <v>2055</v>
      </c>
      <c r="B61" s="3275"/>
      <c r="C61" s="3275"/>
      <c r="D61" s="3275"/>
      <c r="E61" s="3275"/>
      <c r="F61" s="1994"/>
      <c r="G61" s="1994"/>
      <c r="H61" s="1996"/>
      <c r="I61" s="134"/>
      <c r="J61" s="3075">
        <f>J59+1</f>
        <v>7</v>
      </c>
      <c r="K61" s="3330" t="s">
        <v>2056</v>
      </c>
      <c r="L61" s="3330"/>
      <c r="M61" s="2766"/>
      <c r="N61" s="2767">
        <f ca="1">ROUND(N59*10000/'数据-汇总表'!E3,0)</f>
        <v>3337</v>
      </c>
      <c r="O61" s="2768"/>
    </row>
    <row r="62" spans="1:35" ht="12.75">
      <c r="A62" s="3293" t="s">
        <v>2057</v>
      </c>
      <c r="B62" s="3294"/>
      <c r="C62" s="3071"/>
      <c r="D62" s="3071" t="s">
        <v>2058</v>
      </c>
      <c r="E62" s="171" t="s">
        <v>2059</v>
      </c>
      <c r="F62" s="1994"/>
      <c r="G62" s="1994"/>
      <c r="H62" s="1996"/>
      <c r="I62" s="134"/>
    </row>
    <row r="63" spans="1:35" ht="12.75">
      <c r="A63" s="178" t="s">
        <v>775</v>
      </c>
      <c r="B63" s="172" t="s">
        <v>2060</v>
      </c>
      <c r="C63" s="2790">
        <f ca="1">ROUND((C64+C65)/(1+'数据-取费表'!C42),0)</f>
        <v>70168</v>
      </c>
      <c r="D63" s="172"/>
      <c r="E63" s="173"/>
      <c r="F63" s="1994"/>
      <c r="G63" s="1994"/>
      <c r="H63" s="1996"/>
      <c r="I63" s="134"/>
      <c r="J63" s="3355" t="s">
        <v>2061</v>
      </c>
      <c r="K63" s="3078" t="s">
        <v>2062</v>
      </c>
      <c r="L63" s="3078">
        <f ca="1">IF(M49&gt;10000,M49*0.5%,IF(AND(M49&gt;1000,M49&lt;=10000),M49*1%,IF(AND(M49&gt;100,M49&lt;=1000),M49*3%,IF(AND(M49&gt;10,M49&lt;=100),M49*5%,M49*8%))))</f>
        <v>368.38</v>
      </c>
      <c r="M63" s="308">
        <f ca="1">ROUND(L63,1)</f>
        <v>368.4</v>
      </c>
      <c r="N63" s="2769"/>
      <c r="Z63" s="1938"/>
      <c r="AI63" s="1939"/>
    </row>
    <row r="64" spans="1:35" ht="14.25" customHeight="1">
      <c r="A64" s="174" t="s">
        <v>770</v>
      </c>
      <c r="B64" s="175" t="s">
        <v>2063</v>
      </c>
      <c r="C64" s="2791">
        <f ca="1">D45</f>
        <v>73676</v>
      </c>
      <c r="D64" s="175" t="s">
        <v>32</v>
      </c>
      <c r="E64" s="177"/>
      <c r="F64" s="1994"/>
      <c r="G64" s="1994"/>
      <c r="H64" s="1996"/>
      <c r="I64" s="134"/>
      <c r="J64" s="3355"/>
      <c r="K64" s="3078" t="s">
        <v>2064</v>
      </c>
      <c r="L64" s="3078">
        <f ca="1">IF(M49&gt;2000,M49*0.5%,IF(AND(M49&gt;1000,M49&lt;=2000),M49*0.6%,IF(AND(M49&gt;500,M49&lt;=1000),M49*0.7%,IF(AND(M49&gt;200,M49&lt;=500),M49*0.8%,IF(AND(M49&gt;100,M49&lt;=200),M49*0.9%,IF(AND(M49&gt;50,M49&lt;=100),M49*1%,IF(AND(M49&gt;20,M49&lt;=50),M49*1.5%,IF(AND(M49&gt;10,M49&lt;=20),M49*2%,IF(AND(M49&gt;1,M49&lt;=10),M49*2.5%)))))))))</f>
        <v>368.38</v>
      </c>
      <c r="M64" s="308">
        <f t="shared" ref="M64:M65" ca="1" si="1">ROUND(L64,1)</f>
        <v>368.4</v>
      </c>
      <c r="N64" s="2770" t="s">
        <v>2065</v>
      </c>
      <c r="Z64" s="1938"/>
      <c r="AI64" s="1939"/>
    </row>
    <row r="65" spans="1:35" ht="14.25" customHeight="1">
      <c r="A65" s="174" t="s">
        <v>771</v>
      </c>
      <c r="B65" s="175" t="s">
        <v>2066</v>
      </c>
      <c r="C65" s="2792"/>
      <c r="D65" s="175"/>
      <c r="E65" s="177"/>
      <c r="F65" s="1994"/>
      <c r="G65" s="1994"/>
      <c r="H65" s="1996"/>
      <c r="I65" s="134"/>
      <c r="J65" s="3355"/>
      <c r="K65" s="3078" t="s">
        <v>2067</v>
      </c>
      <c r="L65" s="3078">
        <f ca="1">IF(M49&gt;1000,M49*0.1%,IF(AND(M49&gt;500,M49&lt;=1000),M49*0.5%,IF(AND(M49&gt;50,M49&lt;=500),M49*1%,IF(AND(M49&gt;1,M49&lt;=50),M49*1.5%))))</f>
        <v>73.676000000000002</v>
      </c>
      <c r="M65" s="308">
        <f t="shared" ca="1" si="1"/>
        <v>73.7</v>
      </c>
      <c r="N65" s="2770" t="s">
        <v>2065</v>
      </c>
      <c r="Z65" s="1938"/>
      <c r="AI65" s="1939"/>
    </row>
    <row r="66" spans="1:35" ht="14.25" customHeight="1">
      <c r="A66" s="178" t="s">
        <v>772</v>
      </c>
      <c r="B66" s="179" t="s">
        <v>2068</v>
      </c>
      <c r="C66" s="2793"/>
      <c r="D66" s="179" t="s">
        <v>32</v>
      </c>
      <c r="E66" s="1509" t="s">
        <v>1333</v>
      </c>
      <c r="F66" s="1994"/>
      <c r="G66" s="1994"/>
      <c r="H66" s="1996"/>
      <c r="I66" s="134"/>
      <c r="J66" s="3355"/>
      <c r="K66" s="3078" t="s">
        <v>2069</v>
      </c>
      <c r="L66" s="3078">
        <f ca="1">M49*0.5%</f>
        <v>368.38</v>
      </c>
      <c r="M66" s="308">
        <f ca="1">IF(L66&gt;0.5,0.5,ROUND(L66,0))</f>
        <v>0.5</v>
      </c>
      <c r="N66" s="2770" t="s">
        <v>2070</v>
      </c>
      <c r="Z66" s="1938"/>
      <c r="AI66" s="1939"/>
    </row>
    <row r="67" spans="1:35" ht="14.25" customHeight="1">
      <c r="A67" s="178" t="s">
        <v>773</v>
      </c>
      <c r="B67" s="179" t="s">
        <v>2071</v>
      </c>
      <c r="C67" s="2794">
        <f ca="1">C63-C66</f>
        <v>70168</v>
      </c>
      <c r="D67" s="175" t="s">
        <v>32</v>
      </c>
      <c r="E67" s="177"/>
      <c r="F67" s="1994"/>
      <c r="G67" s="1994"/>
      <c r="H67" s="1996"/>
      <c r="I67" s="134"/>
      <c r="J67" s="3355"/>
      <c r="K67" s="3078" t="s">
        <v>2072</v>
      </c>
      <c r="L67" s="3078">
        <f ca="1">IF(M49&gt;=10000,(8.25+(M49-10000)*0.01%),IF(AND(M49&gt;=8000,M49&lt;10000),(7.85+(M49-8000)*0.02%),IF(AND(M49&gt;=5000,M49&lt;8000),(6.65+(M49-5000)*0.04%),IF(AND(M49&gt;=2000,M49&lt;5000),(4.25+(PM49-2000)*0.08%),IF(AND(M49&gt;=1000,M49&lt;2000),(2.75+(M49-1000)*0.15%),IF(AND(M49&gt;=100,M49&lt;1000),(0.5+(M49-100)*0.25%),IF(AND(M49&gt;0,M49&lt;100),M49*0.5%)))))))</f>
        <v>14.617599999999999</v>
      </c>
      <c r="M67" s="308">
        <f ca="1">ROUND(L67*0.9,1)</f>
        <v>13.2</v>
      </c>
      <c r="N67" s="2769"/>
      <c r="Z67" s="1938"/>
      <c r="AI67" s="1939"/>
    </row>
    <row r="68" spans="1:35" ht="14.25" customHeight="1" thickBot="1">
      <c r="A68" s="181" t="s">
        <v>774</v>
      </c>
      <c r="B68" s="182" t="s">
        <v>2073</v>
      </c>
      <c r="C68" s="2795">
        <f ca="1">IF(C67&lt;=0,0,ROUND(C67*D68,0))</f>
        <v>3929</v>
      </c>
      <c r="D68" s="2796">
        <f>'数据-取费表'!B41</f>
        <v>5.6000000000000001E-2</v>
      </c>
      <c r="E68" s="184"/>
      <c r="F68" s="1994"/>
      <c r="G68" s="1994"/>
      <c r="H68" s="1996"/>
      <c r="I68" s="134"/>
      <c r="J68" s="3355"/>
      <c r="K68" s="3078" t="s">
        <v>2074</v>
      </c>
      <c r="L68" s="3078">
        <f ca="1">IF(M49&gt;10000,M49*0.5%,IF(AND(M49&gt;5000,M49&lt;=10000),M49*1%,IF(AND(M49&gt;1000,M49&lt;=5000),M49*2%,IF(AND(M49&gt;200,M49&lt;=1000),M49*3%,M49*5%))))</f>
        <v>368.38</v>
      </c>
      <c r="M68" s="308">
        <f ca="1">ROUND(L68,1)</f>
        <v>368.4</v>
      </c>
      <c r="N68" s="2769"/>
      <c r="Z68" s="1938"/>
      <c r="AI68" s="1939"/>
    </row>
    <row r="69" spans="1:35" s="1958" customFormat="1" ht="16.5" customHeight="1">
      <c r="A69" s="1997"/>
      <c r="B69" s="1998"/>
      <c r="C69" s="1999"/>
      <c r="D69" s="2000"/>
      <c r="E69" s="2001"/>
      <c r="F69" s="1763"/>
      <c r="G69" s="1763"/>
      <c r="H69" s="1762"/>
      <c r="I69" s="1933"/>
      <c r="J69" s="3355"/>
      <c r="K69" s="3078" t="s">
        <v>2075</v>
      </c>
      <c r="L69" s="3078"/>
      <c r="M69" s="308">
        <f ca="1">ROUND(SUM(M63:M68),0)</f>
        <v>1193</v>
      </c>
      <c r="N69" s="2771">
        <f ca="1">M69/M49</f>
        <v>1.6192518594929151E-2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314" t="s">
        <v>2076</v>
      </c>
      <c r="B70" s="3315"/>
      <c r="C70" s="3315"/>
      <c r="D70" s="3315"/>
      <c r="E70" s="3315"/>
      <c r="F70" s="3315"/>
      <c r="G70" s="3315"/>
      <c r="H70" s="3315"/>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93" t="s">
        <v>2057</v>
      </c>
      <c r="B71" s="3294"/>
      <c r="C71" s="3071"/>
      <c r="D71" s="3071" t="s">
        <v>2058</v>
      </c>
      <c r="E71" s="185" t="s">
        <v>2059</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2077</v>
      </c>
      <c r="C72" s="2794">
        <f ca="1">ROUND(D45/(1+'数据-取费表'!C42),0)</f>
        <v>70168</v>
      </c>
      <c r="D72" s="175" t="s">
        <v>32</v>
      </c>
      <c r="E72" s="3070"/>
      <c r="F72" s="3063"/>
      <c r="G72" s="306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2078</v>
      </c>
      <c r="C73" s="2794">
        <f ca="1">C74+C78</f>
        <v>421</v>
      </c>
      <c r="D73" s="175" t="s">
        <v>32</v>
      </c>
      <c r="E73" s="3070"/>
      <c r="F73" s="3063"/>
      <c r="G73" s="306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2079</v>
      </c>
      <c r="C74" s="175">
        <f>ROUND(IF(G77="2016年5月1日后购买",C75/(1+'数据-取费表'!C42)+C76+C77,C75+C76+C77),0)</f>
        <v>0</v>
      </c>
      <c r="D74" s="175" t="s">
        <v>32</v>
      </c>
      <c r="E74" s="3070"/>
      <c r="F74" s="3063"/>
      <c r="G74" s="306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2080</v>
      </c>
      <c r="C75" s="2797"/>
      <c r="D75" s="175" t="s">
        <v>32</v>
      </c>
      <c r="E75" s="190" t="s">
        <v>2081</v>
      </c>
      <c r="F75" s="2798"/>
      <c r="G75" s="190" t="s">
        <v>2082</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2083</v>
      </c>
      <c r="C76" s="175">
        <f>IF(F75="购房发票",ROUND(C75*H75*D76,0),0)</f>
        <v>0</v>
      </c>
      <c r="D76" s="2800">
        <v>0.05</v>
      </c>
      <c r="E76" s="3288" t="s">
        <v>2084</v>
      </c>
      <c r="F76" s="3262"/>
      <c r="G76" s="3262"/>
      <c r="H76" s="3313"/>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2085</v>
      </c>
      <c r="C77" s="175">
        <f>ROUND(IF(G77="个人住宅",0,IF(G77="2016年5月1日前购买",C75*D77,C75*D77/(1+'数据-取费表'!C42))),0)</f>
        <v>0</v>
      </c>
      <c r="D77" s="2801">
        <f>'数据-取费表'!B48+'数据-取费表'!B49</f>
        <v>3.0499999999999999E-2</v>
      </c>
      <c r="E77" s="3077" t="s">
        <v>2086</v>
      </c>
      <c r="F77" s="192"/>
      <c r="G77" s="2008"/>
      <c r="H77" s="3073"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2087</v>
      </c>
      <c r="C78" s="2802">
        <f ca="1">ROUND(D45*D78/(1+'数据-取费表'!C42),0)</f>
        <v>421</v>
      </c>
      <c r="D78" s="2803">
        <f>'数据-取费表'!B43</f>
        <v>6.000000000000001E-3</v>
      </c>
      <c r="E78" s="3272" t="s">
        <v>2088</v>
      </c>
      <c r="F78" s="3273"/>
      <c r="G78" s="3273"/>
      <c r="H78" s="3282"/>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773</v>
      </c>
      <c r="B79" s="179" t="s">
        <v>2089</v>
      </c>
      <c r="C79" s="2794">
        <f ca="1">C72-C73</f>
        <v>69747</v>
      </c>
      <c r="D79" s="175" t="s">
        <v>32</v>
      </c>
      <c r="E79" s="3070"/>
      <c r="F79" s="3063"/>
      <c r="G79" s="306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2090</v>
      </c>
      <c r="C80" s="2804">
        <f ca="1">IF(C79&lt;=0,0,C79/C73)</f>
        <v>165.66983372921615</v>
      </c>
      <c r="D80" s="175" t="s">
        <v>32</v>
      </c>
      <c r="E80" s="3077" t="str">
        <f ca="1">IF(C80&gt;=200%,"增值额超过扣除项目金额200%",IF(C80&gt;=100%,"增值额超过扣除项目金额100%，未超过200%",IF(C80&gt;=50%,"增值额超过扣除项目金额50%，未超过100%",IF(C80&lt;50%,"增值额未超过扣除项目金额50%"))))</f>
        <v>增值额超过扣除项目金额200%</v>
      </c>
      <c r="F80" s="3063"/>
      <c r="G80" s="306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2091</v>
      </c>
      <c r="C81" s="2805">
        <f ca="1">ROUND(IF(C79&lt;=0,0,IF(C80&gt;=200%,C79*60%-C73*35%,IF(C80&gt;=100%,C79*50%-C73*15%,IF(C80&gt;=50%,C79*40%-C73*5%,IF(C80&lt;50%,C79*30%,0))))),0)</f>
        <v>41701</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314" t="s">
        <v>2092</v>
      </c>
      <c r="B83" s="3315"/>
      <c r="C83" s="3315"/>
      <c r="D83" s="3315"/>
      <c r="E83" s="3315"/>
      <c r="F83" s="3315"/>
      <c r="G83" s="3315"/>
      <c r="H83" s="3315"/>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93" t="s">
        <v>2057</v>
      </c>
      <c r="B84" s="3294"/>
      <c r="C84" s="3071"/>
      <c r="D84" s="3071" t="s">
        <v>2058</v>
      </c>
      <c r="E84" s="185" t="s">
        <v>2059</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2077</v>
      </c>
      <c r="C85" s="2794">
        <f ca="1">ROUND(D45/(1+'数据-取费表'!C42),0)</f>
        <v>70168</v>
      </c>
      <c r="D85" s="175" t="s">
        <v>32</v>
      </c>
      <c r="E85" s="3070"/>
      <c r="F85" s="3063"/>
      <c r="G85" s="306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2078</v>
      </c>
      <c r="C86" s="2794">
        <f ca="1">IF(H88="仅含出让金",C87+C90+C91+C92+C93+C94,C87+C91+C92+C93+C94)</f>
        <v>421</v>
      </c>
      <c r="D86" s="2807"/>
      <c r="E86" s="3070"/>
      <c r="F86" s="3063"/>
      <c r="G86" s="306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2093</v>
      </c>
      <c r="C87" s="2802">
        <f>C88+C89</f>
        <v>0</v>
      </c>
      <c r="D87" s="2803"/>
      <c r="E87" s="3064"/>
      <c r="F87" s="3065"/>
      <c r="G87" s="3065"/>
      <c r="H87" s="3069"/>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2094</v>
      </c>
      <c r="C88" s="2808"/>
      <c r="D88" s="2803"/>
      <c r="E88" s="199" t="s">
        <v>2095</v>
      </c>
      <c r="F88" s="3065"/>
      <c r="G88" s="200" t="s">
        <v>2096</v>
      </c>
      <c r="H88" s="2010"/>
      <c r="I88" s="2007"/>
      <c r="J88" s="2747" t="s">
        <v>3030</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2085</v>
      </c>
      <c r="C89" s="2802">
        <f>ROUND(C88*D89,0)</f>
        <v>0</v>
      </c>
      <c r="D89" s="2803">
        <f>'数据-取费表'!B48+'数据-取费表'!B49</f>
        <v>3.0499999999999999E-2</v>
      </c>
      <c r="E89" s="199" t="s">
        <v>2097</v>
      </c>
      <c r="F89" s="3065"/>
      <c r="G89" s="3065"/>
      <c r="H89" s="3069"/>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2098</v>
      </c>
      <c r="C90" s="2808"/>
      <c r="D90" s="2803"/>
      <c r="E90" s="199" t="str">
        <f>IF(H88="-","土地取得成本中已包含该笔费用"," ")</f>
        <v xml:space="preserve"> </v>
      </c>
      <c r="F90" s="3065"/>
      <c r="G90" s="3357" t="s">
        <v>2867</v>
      </c>
      <c r="H90" s="3358"/>
      <c r="I90" s="2007"/>
      <c r="J90" s="2747" t="s">
        <v>3031</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2099</v>
      </c>
      <c r="B91" s="175" t="s">
        <v>2100</v>
      </c>
      <c r="C91" s="2802">
        <f>IF(H91="——",成本法!C33,I91)</f>
        <v>0</v>
      </c>
      <c r="D91" s="2803"/>
      <c r="E91" s="3272" t="s">
        <v>2101</v>
      </c>
      <c r="F91" s="3273"/>
      <c r="G91" s="3273"/>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2102</v>
      </c>
      <c r="B92" s="175" t="s">
        <v>2103</v>
      </c>
      <c r="C92" s="2802">
        <f>ROUND((C87+C90+C91)*D92,0)</f>
        <v>0</v>
      </c>
      <c r="D92" s="2809"/>
      <c r="E92" s="3272" t="s">
        <v>2104</v>
      </c>
      <c r="F92" s="3273"/>
      <c r="G92" s="3273"/>
      <c r="H92" s="3282"/>
      <c r="I92" s="2007"/>
      <c r="J92" s="2748" t="s">
        <v>3032</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2105</v>
      </c>
      <c r="B93" s="175" t="s">
        <v>2087</v>
      </c>
      <c r="C93" s="2802">
        <f ca="1">ROUND(D45*D93/(1+'数据-取费表'!C42),0)</f>
        <v>421</v>
      </c>
      <c r="D93" s="2803">
        <f>'数据-取费表'!B43</f>
        <v>6.000000000000001E-3</v>
      </c>
      <c r="E93" s="3272" t="s">
        <v>2088</v>
      </c>
      <c r="F93" s="3273"/>
      <c r="G93" s="3273"/>
      <c r="H93" s="3282"/>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2106</v>
      </c>
      <c r="B94" s="175" t="s">
        <v>2107</v>
      </c>
      <c r="C94" s="2808">
        <f>ROUND((C87+C90+C91)*D94,0)</f>
        <v>0</v>
      </c>
      <c r="D94" s="2803">
        <v>0.2</v>
      </c>
      <c r="E94" s="3283" t="s">
        <v>2108</v>
      </c>
      <c r="F94" s="3284"/>
      <c r="G94" s="3284"/>
      <c r="H94" s="3285"/>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773</v>
      </c>
      <c r="B95" s="179" t="s">
        <v>2089</v>
      </c>
      <c r="C95" s="2794">
        <f ca="1">ROUND(C85-C86,0)</f>
        <v>69747</v>
      </c>
      <c r="D95" s="175" t="s">
        <v>32</v>
      </c>
      <c r="E95" s="3070"/>
      <c r="F95" s="3063"/>
      <c r="G95" s="306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2090</v>
      </c>
      <c r="C96" s="2804">
        <f ca="1">IF(C95&lt;=0,0,C95/C86)</f>
        <v>165.66983372921615</v>
      </c>
      <c r="D96" s="175" t="s">
        <v>32</v>
      </c>
      <c r="E96" s="3077" t="str">
        <f ca="1">IF(C96&gt;=200%,"增值额超过扣除项目金额200%",IF(C96&gt;=100%,"增值额超过扣除项目金额100%，未超过200%",IF(C96&gt;=50%,"增值额超过扣除项目金额50%，未超过100%",IF(C96&lt;50%,"增值额未超过扣除项目金额50%"))))</f>
        <v>增值额超过扣除项目金额200%</v>
      </c>
      <c r="F96" s="3063"/>
      <c r="G96" s="306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2091</v>
      </c>
      <c r="C97" s="2805">
        <f ca="1">ROUND(IF(C95&lt;=0,0,IF(C96&gt;=200%,C95*60%-C86*35%,IF(C96&gt;=100%,C95*50%-C86*15%,IF(C96&gt;=50%,C95*40%-C86*5%,IF(C96&lt;50%,C95*30%,0))))),0)</f>
        <v>41701</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2109</v>
      </c>
      <c r="B99" s="1933"/>
      <c r="C99" s="1933"/>
      <c r="D99" s="1933"/>
      <c r="E99" s="1763"/>
      <c r="F99" s="1763"/>
      <c r="G99" s="1763"/>
      <c r="H99" s="1762"/>
      <c r="I99" s="134"/>
    </row>
    <row r="100" spans="1:35" ht="18.75" customHeight="1">
      <c r="A100" s="3256" t="s">
        <v>2110</v>
      </c>
      <c r="B100" s="3257"/>
      <c r="C100" s="3257"/>
      <c r="D100" s="3274"/>
      <c r="E100" s="3257" t="s">
        <v>2111</v>
      </c>
      <c r="F100" s="3257"/>
      <c r="G100" s="3257"/>
      <c r="H100" s="3274"/>
      <c r="I100" s="134"/>
    </row>
    <row r="101" spans="1:35" ht="18.75" customHeight="1">
      <c r="A101" s="3338" t="s">
        <v>2112</v>
      </c>
      <c r="B101" s="3339"/>
      <c r="C101" s="2811" t="str">
        <f>C4</f>
        <v>成本法-B</v>
      </c>
      <c r="D101" s="2812" t="str">
        <f>D4</f>
        <v>收益法-B</v>
      </c>
      <c r="E101" s="3352" t="s">
        <v>2113</v>
      </c>
      <c r="F101" s="3306"/>
      <c r="G101" s="2013" t="s">
        <v>2114</v>
      </c>
      <c r="H101" s="2821">
        <f ca="1">H118</f>
        <v>73676</v>
      </c>
      <c r="I101" s="134"/>
    </row>
    <row r="102" spans="1:35" ht="18.75" customHeight="1">
      <c r="A102" s="3308" t="s">
        <v>2115</v>
      </c>
      <c r="B102" s="2810" t="s">
        <v>2114</v>
      </c>
      <c r="C102" s="2811">
        <f ca="1">C19</f>
        <v>105134</v>
      </c>
      <c r="D102" s="2812">
        <f ca="1">D19</f>
        <v>15255</v>
      </c>
      <c r="E102" s="3352"/>
      <c r="F102" s="3306"/>
      <c r="G102" s="2013" t="s">
        <v>2116</v>
      </c>
      <c r="H102" s="2781">
        <f ca="1">I118</f>
        <v>15207</v>
      </c>
      <c r="I102" s="134"/>
    </row>
    <row r="103" spans="1:35" ht="42.75" customHeight="1">
      <c r="A103" s="3308"/>
      <c r="B103" s="2810" t="s">
        <v>2116</v>
      </c>
      <c r="C103" s="2813">
        <f ca="1">C20</f>
        <v>21700</v>
      </c>
      <c r="D103" s="2814">
        <f ca="1">D20</f>
        <v>3149</v>
      </c>
      <c r="E103" s="3346" t="s">
        <v>2117</v>
      </c>
      <c r="F103" s="3347"/>
      <c r="G103" s="2014" t="s">
        <v>2118</v>
      </c>
      <c r="H103" s="2821">
        <f>IF(D36="正常操作",H104+H105+H106,H105+H106)</f>
        <v>0</v>
      </c>
      <c r="I103" s="134"/>
    </row>
    <row r="104" spans="1:35" ht="18.75" customHeight="1">
      <c r="A104" s="3308" t="s">
        <v>2119</v>
      </c>
      <c r="B104" s="2815" t="s">
        <v>2114</v>
      </c>
      <c r="C104" s="2816">
        <f ca="1">H118</f>
        <v>73676</v>
      </c>
      <c r="D104" s="2817"/>
      <c r="E104" s="1860" t="s">
        <v>2120</v>
      </c>
      <c r="F104" s="1851"/>
      <c r="G104" s="2014" t="s">
        <v>2118</v>
      </c>
      <c r="H104" s="2822">
        <f>IF(D36="同一抵押权人同一抵押物续贷",C36&amp;"（续贷，未扣减，详见特别提示）",C36)</f>
        <v>0</v>
      </c>
      <c r="I104" s="134"/>
    </row>
    <row r="105" spans="1:35" ht="18.75" customHeight="1" thickBot="1">
      <c r="A105" s="3309"/>
      <c r="B105" s="2818" t="s">
        <v>2116</v>
      </c>
      <c r="C105" s="2819">
        <f ca="1">I118</f>
        <v>15207</v>
      </c>
      <c r="D105" s="2820"/>
      <c r="E105" s="1860" t="s">
        <v>2121</v>
      </c>
      <c r="F105" s="1851"/>
      <c r="G105" s="2014" t="s">
        <v>2118</v>
      </c>
      <c r="H105" s="2823">
        <f>C37</f>
        <v>0</v>
      </c>
      <c r="I105" s="134"/>
    </row>
    <row r="106" spans="1:35" ht="18.75" customHeight="1">
      <c r="A106" s="1933" t="s">
        <v>2122</v>
      </c>
      <c r="B106" s="1933"/>
      <c r="C106" s="1933"/>
      <c r="D106" s="1933"/>
      <c r="E106" s="2015" t="s">
        <v>2123</v>
      </c>
      <c r="F106" s="1851"/>
      <c r="G106" s="2014" t="s">
        <v>2118</v>
      </c>
      <c r="H106" s="2823">
        <f>C38</f>
        <v>0</v>
      </c>
      <c r="I106" s="134"/>
    </row>
    <row r="107" spans="1:35" ht="18.75" customHeight="1">
      <c r="A107" s="134"/>
      <c r="B107" s="134"/>
      <c r="C107" s="134"/>
      <c r="D107" s="134"/>
      <c r="E107" s="3305" t="str">
        <f>IF(项目基本情况!E8="已注销","——","3.房地产抵押价值")</f>
        <v>3.房地产抵押价值</v>
      </c>
      <c r="F107" s="3306"/>
      <c r="G107" s="2013" t="s">
        <v>2114</v>
      </c>
      <c r="H107" s="2821">
        <f ca="1">IF(E107="——","——",H101-H103)</f>
        <v>73676</v>
      </c>
      <c r="I107" s="134"/>
    </row>
    <row r="108" spans="1:35" ht="18.75" customHeight="1">
      <c r="A108" s="134"/>
      <c r="B108" s="134"/>
      <c r="C108" s="134"/>
      <c r="D108" s="134"/>
      <c r="E108" s="3305"/>
      <c r="F108" s="3306"/>
      <c r="G108" s="2013" t="s">
        <v>2116</v>
      </c>
      <c r="H108" s="2781">
        <f ca="1">ROUND(H107*10000/'数据-汇总表'!E3,0)</f>
        <v>7871</v>
      </c>
      <c r="I108" s="134"/>
    </row>
    <row r="109" spans="1:35" ht="18.75" customHeight="1">
      <c r="A109" s="134"/>
      <c r="B109" s="134"/>
      <c r="C109" s="134"/>
      <c r="D109" s="134"/>
      <c r="E109" s="3305" t="str">
        <f>IF(项目基本情况!E8="已注销及未注销","4.抵押担保权已注销时的房地产抵押价值",IF(项目基本情况!E8="已注销","3.抵押担保权已注销时的房地产抵押价值","——"))</f>
        <v>——</v>
      </c>
      <c r="F109" s="3306"/>
      <c r="G109" s="2013" t="s">
        <v>2114</v>
      </c>
      <c r="H109" s="2824" t="str">
        <f>IF(E109="——","——",H101-H105-H106)</f>
        <v>——</v>
      </c>
      <c r="I109" s="134"/>
    </row>
    <row r="110" spans="1:35" ht="18.75" customHeight="1">
      <c r="A110" s="134"/>
      <c r="B110" s="134"/>
      <c r="C110" s="134"/>
      <c r="D110" s="134"/>
      <c r="E110" s="3305"/>
      <c r="F110" s="3306"/>
      <c r="G110" s="2013" t="s">
        <v>2116</v>
      </c>
      <c r="H110" s="2781" t="str">
        <f>IF(H109="——","——",ROUND(H109*10000/'数据-汇总表'!E3,0))</f>
        <v>——</v>
      </c>
      <c r="I110" s="134"/>
    </row>
    <row r="111" spans="1:35" ht="18.75" customHeight="1">
      <c r="A111" s="134"/>
      <c r="B111" s="134"/>
      <c r="C111" s="134"/>
      <c r="D111" s="134"/>
      <c r="E111" s="3340" t="str">
        <f>IF(项目基本情况!E9="抵押净值",IF(OR(项目基本情况!E8="已注销",项目基本情况!E8="房地产抵押价值"),"4.抵押净值","5.抵押净值"),"——")</f>
        <v>——</v>
      </c>
      <c r="F111" s="3307"/>
      <c r="G111" s="2013" t="s">
        <v>2114</v>
      </c>
      <c r="H111" s="2821" t="str">
        <f>IF(E111="——","——",N59)</f>
        <v>——</v>
      </c>
      <c r="I111" s="134"/>
    </row>
    <row r="112" spans="1:35" ht="18.75" customHeight="1" thickBot="1">
      <c r="A112" s="134"/>
      <c r="B112" s="134"/>
      <c r="C112" s="134"/>
      <c r="D112" s="134"/>
      <c r="E112" s="3341"/>
      <c r="F112" s="3342"/>
      <c r="G112" s="2016" t="s">
        <v>2116</v>
      </c>
      <c r="H112" s="2825" t="str">
        <f>IF(E111="——","——",N61)</f>
        <v>——</v>
      </c>
      <c r="I112" s="134"/>
    </row>
    <row r="113" spans="1:27" ht="18.75" customHeight="1">
      <c r="A113" s="134"/>
      <c r="B113" s="134"/>
      <c r="C113" s="134"/>
      <c r="D113" s="134"/>
      <c r="E113" s="3310" t="s">
        <v>2122</v>
      </c>
      <c r="F113" s="3310"/>
      <c r="G113" s="3310"/>
      <c r="H113" s="3310"/>
      <c r="I113" s="134"/>
    </row>
    <row r="114" spans="1:27" ht="3.75" customHeight="1">
      <c r="A114" s="1933"/>
      <c r="B114" s="1933"/>
      <c r="C114" s="1933"/>
      <c r="D114" s="1933"/>
      <c r="E114" s="1995"/>
      <c r="F114" s="1995"/>
      <c r="G114" s="1995"/>
      <c r="H114" s="1995"/>
      <c r="I114" s="1933"/>
    </row>
    <row r="115" spans="1:27" ht="18.75" customHeight="1">
      <c r="A115" s="3323" t="s">
        <v>2124</v>
      </c>
      <c r="B115" s="3324"/>
      <c r="C115" s="3324"/>
      <c r="D115" s="3324"/>
      <c r="E115" s="3324"/>
      <c r="F115" s="3324"/>
      <c r="G115" s="3324"/>
      <c r="H115" s="3324"/>
      <c r="I115" s="3325"/>
    </row>
    <row r="116" spans="1:27" ht="27" customHeight="1">
      <c r="A116" s="3276" t="s">
        <v>2125</v>
      </c>
      <c r="B116" s="3311" t="s">
        <v>2126</v>
      </c>
      <c r="C116" s="3311" t="s">
        <v>2127</v>
      </c>
      <c r="D116" s="3327" t="s">
        <v>2128</v>
      </c>
      <c r="E116" s="3328"/>
      <c r="F116" s="3319" t="s">
        <v>2129</v>
      </c>
      <c r="G116" s="3319"/>
      <c r="H116" s="3276" t="s">
        <v>2130</v>
      </c>
      <c r="I116" s="3276"/>
    </row>
    <row r="117" spans="1:27" ht="18.75" customHeight="1">
      <c r="A117" s="3276"/>
      <c r="B117" s="3312"/>
      <c r="C117" s="3312"/>
      <c r="D117" s="3066" t="s">
        <v>2131</v>
      </c>
      <c r="E117" s="3066" t="s">
        <v>2132</v>
      </c>
      <c r="F117" s="3066" t="s">
        <v>2131</v>
      </c>
      <c r="G117" s="3066" t="s">
        <v>2133</v>
      </c>
      <c r="H117" s="3066" t="s">
        <v>2131</v>
      </c>
      <c r="I117" s="3066" t="s">
        <v>2133</v>
      </c>
    </row>
    <row r="118" spans="1:27" ht="24.75" customHeight="1">
      <c r="A118" s="2826" t="str">
        <f>项目基本情况!S2</f>
        <v>房地产</v>
      </c>
      <c r="B118" s="3066">
        <f>M18</f>
        <v>48448.81</v>
      </c>
      <c r="C118" s="3066">
        <f>M19</f>
        <v>68221.41</v>
      </c>
      <c r="D118" s="3066">
        <f ca="1">ROUND(IF(D32="总价",C34,E118*B118/10000),0)</f>
        <v>24018</v>
      </c>
      <c r="E118" s="3066">
        <f ca="1">ROUND(IF(C33="自定义",IF(D32="楼面单价",C34,D118*10000/B118),I118-G118),0)</f>
        <v>4957</v>
      </c>
      <c r="F118" s="3066">
        <f ca="1">ROUND(IF(D32="总价",C35,G118*B118/10000),0)</f>
        <v>49658</v>
      </c>
      <c r="G118" s="3066">
        <f ca="1">ROUND(IF(D32="楼面单价",C35,F118*10000/B118),0)</f>
        <v>10250</v>
      </c>
      <c r="H118" s="3066">
        <f ca="1">ROUND(IF(D32="总价",C32,I118*B118/10000),0)</f>
        <v>73676</v>
      </c>
      <c r="I118" s="3066">
        <f ca="1">ROUND(IF(D32="楼面单价",C32,H118*10000/B118),0)</f>
        <v>15207</v>
      </c>
    </row>
    <row r="119" spans="1:27" ht="18.75" customHeight="1">
      <c r="A119" s="3276" t="s">
        <v>2134</v>
      </c>
      <c r="B119" s="3276"/>
      <c r="C119" s="3276"/>
      <c r="D119" s="3316" t="str">
        <f ca="1">NUMBERSTRING(INT(D118*10000),2)&amp;"元整"</f>
        <v>贰亿肆仟零壹拾捌万元整</v>
      </c>
      <c r="E119" s="3318"/>
      <c r="F119" s="3316" t="str">
        <f ca="1">NUMBERSTRING(INT(F118*10000),2)&amp;"元整"</f>
        <v>肆亿玖仟陆佰伍拾捌万元整</v>
      </c>
      <c r="G119" s="3318"/>
      <c r="H119" s="3316" t="str">
        <f ca="1">NUMBERSTRING(INT(H118*10000),2)&amp;"元整"</f>
        <v>柒亿叁仟陆佰柒拾陆万元整</v>
      </c>
      <c r="I119" s="3318"/>
    </row>
    <row r="120" spans="1:27" ht="18.75" customHeight="1">
      <c r="A120" s="3343" t="str">
        <f>IF(项目基本情况!B9="房地产市场价值","",MID(E103,3,LEN(E103)-2))</f>
        <v>估价师知悉的法定优先受偿款</v>
      </c>
      <c r="B120" s="3344"/>
      <c r="C120" s="3345"/>
      <c r="D120" s="3343">
        <f>H103</f>
        <v>0</v>
      </c>
      <c r="E120" s="3344"/>
      <c r="F120" s="3344"/>
      <c r="G120" s="3344"/>
      <c r="H120" s="3344"/>
      <c r="I120" s="3345"/>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320" t="s">
        <v>2134</v>
      </c>
      <c r="B121" s="3321"/>
      <c r="C121" s="3322"/>
      <c r="D121" s="3316" t="str">
        <f>IF(D120=0,"零元整",NUMBERSTRING(INT(D120*10000),2)&amp;"元整")</f>
        <v>零元整</v>
      </c>
      <c r="E121" s="3317"/>
      <c r="F121" s="3317"/>
      <c r="G121" s="3317"/>
      <c r="H121" s="3317"/>
      <c r="I121" s="3318"/>
      <c r="AA121" s="734"/>
    </row>
    <row r="122" spans="1:27" ht="18.75" customHeight="1">
      <c r="A122" s="3307" t="str">
        <f>IF(项目基本情况!B9="房地产市场价值","",MID(E107,3,LEN(E107)-2))</f>
        <v>房地产抵押价值</v>
      </c>
      <c r="B122" s="3307"/>
      <c r="C122" s="3307"/>
      <c r="D122" s="3343">
        <f ca="1">H107</f>
        <v>73676</v>
      </c>
      <c r="E122" s="3344"/>
      <c r="F122" s="3344"/>
      <c r="G122" s="3344"/>
      <c r="H122" s="3344"/>
      <c r="I122" s="3345"/>
      <c r="AA122" s="734"/>
    </row>
    <row r="123" spans="1:27" ht="18.75" customHeight="1">
      <c r="A123" s="3276" t="s">
        <v>2134</v>
      </c>
      <c r="B123" s="3276"/>
      <c r="C123" s="3276"/>
      <c r="D123" s="3316" t="str">
        <f ca="1">NUMBERSTRING(INT(D122*10000),2)&amp;"元整"</f>
        <v>柒亿叁仟陆佰柒拾陆万元整</v>
      </c>
      <c r="E123" s="3317"/>
      <c r="F123" s="3317"/>
      <c r="G123" s="3317"/>
      <c r="H123" s="3317"/>
      <c r="I123" s="3318"/>
      <c r="AA123" s="734"/>
    </row>
    <row r="124" spans="1:27" ht="18.75" customHeight="1">
      <c r="A124" s="3307" t="str">
        <f>IF(项目基本情况!B9="房地产市场价值","",MID(E109,3,LEN(E109)-2))</f>
        <v/>
      </c>
      <c r="B124" s="3307"/>
      <c r="C124" s="3307"/>
      <c r="D124" s="3343" t="str">
        <f>H109</f>
        <v>——</v>
      </c>
      <c r="E124" s="3344"/>
      <c r="F124" s="3344"/>
      <c r="G124" s="3344"/>
      <c r="H124" s="3344"/>
      <c r="I124" s="3345"/>
      <c r="AA124" s="734"/>
    </row>
    <row r="125" spans="1:27" ht="18.75" customHeight="1">
      <c r="A125" s="3276" t="s">
        <v>2134</v>
      </c>
      <c r="B125" s="3276"/>
      <c r="C125" s="3276"/>
      <c r="D125" s="3316" t="e">
        <f>NUMBERSTRING(INT(D124*10000),2)&amp;"元整"</f>
        <v>#VALUE!</v>
      </c>
      <c r="E125" s="3317"/>
      <c r="F125" s="3317"/>
      <c r="G125" s="3317"/>
      <c r="H125" s="3317"/>
      <c r="I125" s="3318"/>
      <c r="AA125" s="734"/>
    </row>
    <row r="126" spans="1:27" ht="18.75" customHeight="1">
      <c r="A126" s="3307" t="str">
        <f>IF(项目基本情况!B9="房地产市场价值","",MID(E111,3,LEN(E111)-2))</f>
        <v/>
      </c>
      <c r="B126" s="3307"/>
      <c r="C126" s="3307"/>
      <c r="D126" s="3343" t="str">
        <f>H111</f>
        <v>——</v>
      </c>
      <c r="E126" s="3344"/>
      <c r="F126" s="3344"/>
      <c r="G126" s="3344"/>
      <c r="H126" s="3344"/>
      <c r="I126" s="3345"/>
      <c r="AA126" s="734"/>
    </row>
    <row r="127" spans="1:27" ht="18.75" customHeight="1">
      <c r="A127" s="3276" t="s">
        <v>2134</v>
      </c>
      <c r="B127" s="3276"/>
      <c r="C127" s="3276"/>
      <c r="D127" s="3316" t="e">
        <f>NUMBERSTRING(INT(D126*10000),2)&amp;"元整"</f>
        <v>#VALUE!</v>
      </c>
      <c r="E127" s="3317"/>
      <c r="F127" s="3317"/>
      <c r="G127" s="3317"/>
      <c r="H127" s="3317"/>
      <c r="I127" s="3318"/>
      <c r="AA127" s="734"/>
    </row>
    <row r="128" spans="1:27" ht="21.75" customHeight="1">
      <c r="A128" s="3326" t="s">
        <v>2135</v>
      </c>
      <c r="B128" s="3326"/>
      <c r="C128" s="3326"/>
      <c r="D128" s="3326"/>
      <c r="E128" s="3326"/>
      <c r="F128" s="3326"/>
      <c r="G128" s="3326"/>
      <c r="H128" s="3326"/>
      <c r="I128" s="3326"/>
      <c r="AA128" s="734"/>
    </row>
    <row r="129" spans="1:35" ht="21.75" customHeight="1">
      <c r="A129" s="2017" t="s">
        <v>2136</v>
      </c>
      <c r="B129" s="2018"/>
      <c r="C129" s="2019" t="s">
        <v>2137</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2138</v>
      </c>
      <c r="G135" s="2034"/>
      <c r="H135" s="2034"/>
      <c r="I135" s="2035" t="s">
        <v>2139</v>
      </c>
    </row>
    <row r="136" spans="1:35" ht="21.75" customHeight="1">
      <c r="A136" s="734"/>
      <c r="B136" s="2036" t="s">
        <v>2140</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2141</v>
      </c>
    </row>
    <row r="139" spans="1:35" ht="21.75" customHeight="1">
      <c r="A139" s="734"/>
      <c r="B139" s="2036" t="s">
        <v>2142</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2141</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4" priority="10" stopIfTrue="1" operator="equal">
      <formula>25</formula>
    </cfRule>
  </conditionalFormatting>
  <conditionalFormatting sqref="C8:C9">
    <cfRule type="cellIs" dxfId="13" priority="9" stopIfTrue="1" operator="equal">
      <formula>15</formula>
    </cfRule>
  </conditionalFormatting>
  <conditionalFormatting sqref="C14:C16">
    <cfRule type="cellIs" dxfId="12" priority="8" stopIfTrue="1" operator="equal">
      <formula>30</formula>
    </cfRule>
  </conditionalFormatting>
  <conditionalFormatting sqref="D5:D7">
    <cfRule type="cellIs" dxfId="11" priority="7" stopIfTrue="1" operator="equal">
      <formula>25</formula>
    </cfRule>
  </conditionalFormatting>
  <conditionalFormatting sqref="D8:D9">
    <cfRule type="cellIs" dxfId="10" priority="6" stopIfTrue="1" operator="equal">
      <formula>15</formula>
    </cfRule>
  </conditionalFormatting>
  <conditionalFormatting sqref="C10:D13">
    <cfRule type="cellIs" dxfId="9" priority="5" stopIfTrue="1" operator="equal">
      <formula>15</formula>
    </cfRule>
  </conditionalFormatting>
  <conditionalFormatting sqref="D14:D16">
    <cfRule type="cellIs" dxfId="8" priority="4" stopIfTrue="1" operator="equal">
      <formula>30</formula>
    </cfRule>
  </conditionalFormatting>
  <conditionalFormatting sqref="C90">
    <cfRule type="expression" dxfId="7" priority="3" stopIfTrue="1">
      <formula>$H$88&lt;&gt;"仅含出让金"</formula>
    </cfRule>
  </conditionalFormatting>
  <conditionalFormatting sqref="C91">
    <cfRule type="expression" dxfId="6" priority="2" stopIfTrue="1">
      <formula>$H$91="由企业提供"</formula>
    </cfRule>
  </conditionalFormatting>
  <conditionalFormatting sqref="E36">
    <cfRule type="expression" dxfId="5" priority="1" stopIfTrue="1">
      <formula>$D$36="同一抵押权人同一抵押物续贷"</formula>
    </cfRule>
  </conditionalFormatting>
  <dataValidations count="23">
    <dataValidation type="list" allowBlank="1" showInputMessage="1" showErrorMessage="1" sqref="D92" xr:uid="{00000000-0002-0000-2D00-000000000000}">
      <formula1>"0,5%,10%"</formula1>
    </dataValidation>
    <dataValidation type="list" allowBlank="1" showInputMessage="1" showErrorMessage="1" sqref="H59" xr:uid="{00000000-0002-0000-2D00-000001000000}">
      <formula1>"非个人房产,个人住宅（满五唯一有凭证）,个人其他（有凭证）,个人其他（无凭证）"</formula1>
    </dataValidation>
    <dataValidation type="list" allowBlank="1" showInputMessage="1" showErrorMessage="1" sqref="E103" xr:uid="{00000000-0002-0000-2D00-000002000000}">
      <formula1>"2.估价师知悉的法定优先受偿款,2.估价师知悉的除抵押担保权以外的法定优先受偿款"</formula1>
    </dataValidation>
    <dataValidation type="list" allowBlank="1" showInputMessage="1" showErrorMessage="1" sqref="G77" xr:uid="{00000000-0002-0000-2D00-000003000000}">
      <formula1>"个人住宅,2016年5月1日前购买,2016年5月1日后购买"</formula1>
    </dataValidation>
    <dataValidation type="list" allowBlank="1" showInputMessage="1" showErrorMessage="1" sqref="C1" xr:uid="{00000000-0002-0000-2D00-000004000000}">
      <formula1>项目类型</formula1>
    </dataValidation>
    <dataValidation type="list" allowBlank="1" showInputMessage="1" showErrorMessage="1" sqref="I1" xr:uid="{00000000-0002-0000-2D00-000005000000}">
      <formula1>"项目局部,项目全部,——"</formula1>
    </dataValidation>
    <dataValidation type="list" showInputMessage="1" showErrorMessage="1" sqref="G1" xr:uid="{00000000-0002-0000-2D00-000006000000}">
      <formula1>"现房,在建,土地,-"</formula1>
    </dataValidation>
    <dataValidation type="list" allowBlank="1" showInputMessage="1" showErrorMessage="1" sqref="C129" xr:uid="{00000000-0002-0000-2D00-000007000000}">
      <formula1>"无,有"</formula1>
    </dataValidation>
    <dataValidation type="list" allowBlank="1" showInputMessage="1" showErrorMessage="1" sqref="F116:G116" xr:uid="{00000000-0002-0000-2D00-000008000000}">
      <formula1>"建筑物价值,在建建筑物价值,建筑物/在建建筑物价值"</formula1>
    </dataValidation>
    <dataValidation type="list" allowBlank="1" showInputMessage="1" showErrorMessage="1" sqref="D116:E116" xr:uid="{00000000-0002-0000-2D00-000009000000}">
      <formula1>"出让国有建设用地使用权价值,划拨国有建设用地使用权价值"</formula1>
    </dataValidation>
    <dataValidation type="list" allowBlank="1" showInputMessage="1" showErrorMessage="1" sqref="C116:C117" xr:uid="{00000000-0002-0000-2D00-00000A000000}">
      <formula1>"土地面积,分摊土地面积,（分摊）土地面积"</formula1>
    </dataValidation>
    <dataValidation type="list" allowBlank="1" showInputMessage="1" showErrorMessage="1" sqref="B116:B117" xr:uid="{00000000-0002-0000-2D00-00000B000000}">
      <formula1>"建筑面积,规划建筑面积,（规划）建筑面积"</formula1>
    </dataValidation>
    <dataValidation type="list" allowBlank="1" showInputMessage="1" showErrorMessage="1" sqref="D36" xr:uid="{00000000-0002-0000-2D00-00000C000000}">
      <formula1>"同一抵押权人同一抵押物续贷,注销后放款,正常操作"</formula1>
    </dataValidation>
    <dataValidation type="list" allowBlank="1" showInputMessage="1" showErrorMessage="1" sqref="F75" xr:uid="{00000000-0002-0000-2D00-00000D000000}">
      <formula1>"买卖合同,购房发票"</formula1>
    </dataValidation>
    <dataValidation type="list" allowBlank="1" showInputMessage="1" showErrorMessage="1" sqref="H88" xr:uid="{00000000-0002-0000-2D00-00000E000000}">
      <formula1>"仅含出让金,出让金+开发费"</formula1>
    </dataValidation>
    <dataValidation type="list" allowBlank="1" showInputMessage="1" showErrorMessage="1" sqref="H91" xr:uid="{00000000-0002-0000-2D00-00000F000000}">
      <formula1>"企业提供（在右侧录入）,——"</formula1>
    </dataValidation>
    <dataValidation type="list" allowBlank="1" showInputMessage="1" showErrorMessage="1" sqref="C33" xr:uid="{00000000-0002-0000-2D00-000010000000}">
      <formula1>"成本比率,收益比率,自定义"</formula1>
    </dataValidation>
    <dataValidation type="list" allowBlank="1" showInputMessage="1" showErrorMessage="1" sqref="F45" xr:uid="{00000000-0002-0000-2D00-000011000000}">
      <formula1>"100%,80%,60%,64%"</formula1>
    </dataValidation>
    <dataValidation type="list" allowBlank="1" showInputMessage="1" showErrorMessage="1" sqref="D32" xr:uid="{00000000-0002-0000-2D00-000012000000}">
      <formula1>"总价,楼面单价"</formula1>
    </dataValidation>
    <dataValidation type="list" allowBlank="1" showInputMessage="1" showErrorMessage="1" sqref="H58" xr:uid="{00000000-0002-0000-2D00-000013000000}">
      <formula1>"转让取得,自行开发建设"</formula1>
    </dataValidation>
    <dataValidation type="list" allowBlank="1" showInputMessage="1" showErrorMessage="1" sqref="H48" xr:uid="{00000000-0002-0000-2D00-000014000000}">
      <formula1>"情况1,情况2,情况3,情况4"</formula1>
    </dataValidation>
    <dataValidation type="list" allowBlank="1" showInputMessage="1" showErrorMessage="1" sqref="H55:H56" xr:uid="{00000000-0002-0000-2D00-000015000000}">
      <formula1>"个人住宅,正常"</formula1>
    </dataValidation>
    <dataValidation type="list" allowBlank="1" showInputMessage="1" showErrorMessage="1" sqref="C4:D4 D33" xr:uid="{00000000-0002-0000-2D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pageSetUpPr fitToPage="1"/>
  </sheetPr>
  <dimension ref="A1:J57"/>
  <sheetViews>
    <sheetView view="pageBreakPreview" zoomScale="80" zoomScaleNormal="70" zoomScaleSheetLayoutView="80" workbookViewId="0">
      <selection activeCell="F10" sqref="F1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2143</v>
      </c>
      <c r="B1" s="1654" t="s">
        <v>1009</v>
      </c>
      <c r="C1" s="204"/>
      <c r="D1" s="204"/>
      <c r="E1" s="204"/>
      <c r="F1" s="204"/>
      <c r="G1" s="1288">
        <f>MATCH(B1,'数据-取费表'!A6:A16,0)+5</f>
        <v>7</v>
      </c>
    </row>
    <row r="2" spans="1:9" s="206" customFormat="1" ht="18" customHeight="1">
      <c r="A2" s="207" t="s">
        <v>1355</v>
      </c>
      <c r="B2" s="208">
        <f ca="1">IF(D2="——",C52,C52-E2)</f>
        <v>105134</v>
      </c>
      <c r="C2" s="205" t="s">
        <v>2145</v>
      </c>
      <c r="D2" s="2039" t="s">
        <v>70</v>
      </c>
      <c r="E2" s="1331" t="e">
        <f ca="1">SUMIF(INDIRECT("'"&amp;G2&amp;"'"&amp;"!A:A"),"承租人权益价值",INDIRECT("'"&amp;G2&amp;"'"&amp;"!c:c"))</f>
        <v>#REF!</v>
      </c>
      <c r="F2" s="2040" t="s">
        <v>2145</v>
      </c>
      <c r="G2" s="2041"/>
    </row>
    <row r="3" spans="1:9" s="206" customFormat="1" ht="18" customHeight="1" thickBot="1">
      <c r="A3" s="209" t="s">
        <v>1356</v>
      </c>
      <c r="B3" s="210">
        <f ca="1">ROUND(B2*10000/(IF(B1="",'数据-汇总表'!E3,INDIRECT("'数据-取费表'!k"&amp;$G$1))),0)</f>
        <v>21700</v>
      </c>
      <c r="C3" s="205" t="s">
        <v>2147</v>
      </c>
      <c r="D3" s="205"/>
      <c r="E3" s="205"/>
      <c r="F3" s="205"/>
      <c r="G3" s="205"/>
    </row>
    <row r="4" spans="1:9" s="214" customFormat="1" ht="15.75">
      <c r="A4" s="211" t="s">
        <v>2148</v>
      </c>
      <c r="B4" s="212"/>
      <c r="C4" s="212"/>
      <c r="D4" s="212"/>
      <c r="E4" s="212"/>
      <c r="F4" s="212"/>
      <c r="G4" s="213"/>
    </row>
    <row r="5" spans="1:9" s="220" customFormat="1" ht="13.5" customHeight="1">
      <c r="A5" s="261" t="s">
        <v>782</v>
      </c>
      <c r="B5" s="216" t="s">
        <v>2150</v>
      </c>
      <c r="C5" s="217">
        <f>C6+C7+C8</f>
        <v>25604</v>
      </c>
      <c r="D5" s="217" t="s">
        <v>2151</v>
      </c>
      <c r="E5" s="218" t="s">
        <v>2152</v>
      </c>
      <c r="F5" s="218" t="s">
        <v>2153</v>
      </c>
      <c r="G5" s="219"/>
    </row>
    <row r="6" spans="1:9" s="220" customFormat="1" ht="13.5" customHeight="1">
      <c r="A6" s="886" t="s">
        <v>791</v>
      </c>
      <c r="B6" s="221" t="s">
        <v>2155</v>
      </c>
      <c r="C6" s="222">
        <f>ROUND('数据-汇总表'!D20*'土地比较法-住宅、综合'!C48/10000,0)</f>
        <v>23973</v>
      </c>
      <c r="D6" s="223"/>
      <c r="E6" s="224"/>
      <c r="F6" s="224"/>
      <c r="G6" s="225"/>
    </row>
    <row r="7" spans="1:9" s="220" customFormat="1" ht="13.5" customHeight="1">
      <c r="A7" s="886" t="s">
        <v>792</v>
      </c>
      <c r="B7" s="221" t="s">
        <v>2157</v>
      </c>
      <c r="C7" s="226">
        <f>ROUND(C6*F7,0)</f>
        <v>731</v>
      </c>
      <c r="D7" s="226"/>
      <c r="E7" s="224"/>
      <c r="F7" s="227">
        <f>IF(项目基本情况!B8="出让",0,'数据-取费表'!B48+'数据-取费表'!B49)</f>
        <v>3.0499999999999999E-2</v>
      </c>
      <c r="G7" s="225"/>
    </row>
    <row r="8" spans="1:9" s="229" customFormat="1">
      <c r="A8" s="886" t="s">
        <v>793</v>
      </c>
      <c r="B8" s="221" t="s">
        <v>2159</v>
      </c>
      <c r="C8" s="226">
        <f>IF(G8="已包含在土地购买价格中","0",IF(B1="",'数据-取费表'!B29,IF(G9="全部缴纳",C9+C10,H9)))</f>
        <v>900</v>
      </c>
      <c r="D8" s="228"/>
      <c r="E8" s="226"/>
      <c r="F8" s="227"/>
      <c r="G8" s="2042" t="s">
        <v>3168</v>
      </c>
    </row>
    <row r="9" spans="1:9" s="220" customFormat="1" ht="13.5" customHeight="1">
      <c r="A9" s="887" t="s">
        <v>800</v>
      </c>
      <c r="B9" s="230" t="s">
        <v>2160</v>
      </c>
      <c r="C9" s="231">
        <f ca="1">ROUND(D9*E9/10000,0)</f>
        <v>0</v>
      </c>
      <c r="D9" s="954">
        <f ca="1">IF(B1="",'数据-汇总表'!E5,IF(INDIRECT("'数据-取费表'!c"&amp;$G$1)="住宅",INDIRECT("'数据-取费表'!k"&amp;$G$1),0))</f>
        <v>0</v>
      </c>
      <c r="E9" s="231">
        <f>'数据-取费表'!B27</f>
        <v>0</v>
      </c>
      <c r="F9" s="227"/>
      <c r="G9" s="2043" t="s">
        <v>3169</v>
      </c>
      <c r="H9" s="1299">
        <v>900</v>
      </c>
      <c r="I9" s="2044" t="s">
        <v>2161</v>
      </c>
    </row>
    <row r="10" spans="1:9" s="220" customFormat="1" ht="13.5" customHeight="1">
      <c r="A10" s="887" t="s">
        <v>801</v>
      </c>
      <c r="B10" s="230" t="s">
        <v>2162</v>
      </c>
      <c r="C10" s="231">
        <f ca="1">ROUND(D10*E10/10000,0)</f>
        <v>900</v>
      </c>
      <c r="D10" s="954">
        <f ca="1">IF(B1="",'数据-汇总表'!E6,IF(INDIRECT("'数据-取费表'!c"&amp;$G$1)="住宅",INDIRECT("'数据-取费表'!s"&amp;$G$1),INDIRECT("'数据-取费表'!k"&amp;$G$1)+INDIRECT("'数据-取费表'!s"&amp;$G$1)))</f>
        <v>48448.81</v>
      </c>
      <c r="E10" s="231">
        <f>'数据-取费表'!B28</f>
        <v>185.8</v>
      </c>
      <c r="F10" s="227"/>
      <c r="G10" s="232"/>
    </row>
    <row r="11" spans="1:9" s="220" customFormat="1" ht="13.5" hidden="1" customHeight="1">
      <c r="A11" s="233" t="s">
        <v>7</v>
      </c>
      <c r="B11" s="221" t="s">
        <v>2163</v>
      </c>
      <c r="C11" s="217"/>
      <c r="D11" s="956"/>
      <c r="E11" s="224"/>
      <c r="F11" s="224"/>
      <c r="G11" s="225"/>
    </row>
    <row r="12" spans="1:9" s="220" customFormat="1" ht="13.5" hidden="1" customHeight="1">
      <c r="A12" s="233" t="s">
        <v>8</v>
      </c>
      <c r="B12" s="221" t="s">
        <v>2164</v>
      </c>
      <c r="C12" s="217">
        <v>0</v>
      </c>
      <c r="D12" s="956"/>
      <c r="E12" s="234"/>
      <c r="F12" s="227">
        <v>3.0499999999999999E-2</v>
      </c>
      <c r="G12" s="225"/>
    </row>
    <row r="13" spans="1:9" s="220" customFormat="1" ht="13.5" hidden="1" customHeight="1">
      <c r="A13" s="233" t="s">
        <v>9</v>
      </c>
      <c r="B13" s="221" t="s">
        <v>2165</v>
      </c>
      <c r="C13" s="217"/>
      <c r="D13" s="956"/>
      <c r="E13" s="224"/>
      <c r="F13" s="224"/>
      <c r="G13" s="225"/>
    </row>
    <row r="14" spans="1:9" s="220" customFormat="1" ht="13.5" hidden="1" customHeight="1">
      <c r="A14" s="233" t="s">
        <v>10</v>
      </c>
      <c r="B14" s="221" t="s">
        <v>2159</v>
      </c>
      <c r="C14" s="217"/>
      <c r="D14" s="956"/>
      <c r="E14" s="224"/>
      <c r="F14" s="224"/>
      <c r="G14" s="225" t="s">
        <v>2167</v>
      </c>
    </row>
    <row r="15" spans="1:9" s="220" customFormat="1" ht="13.5" hidden="1" customHeight="1">
      <c r="A15" s="233" t="s">
        <v>11</v>
      </c>
      <c r="B15" s="221" t="s">
        <v>2168</v>
      </c>
      <c r="C15" s="226"/>
      <c r="D15" s="956"/>
      <c r="E15" s="224"/>
      <c r="F15" s="224"/>
      <c r="G15" s="225" t="s">
        <v>2169</v>
      </c>
    </row>
    <row r="16" spans="1:9" s="220" customFormat="1" ht="13.5" hidden="1" customHeight="1">
      <c r="A16" s="233" t="s">
        <v>12</v>
      </c>
      <c r="B16" s="221" t="s">
        <v>2159</v>
      </c>
      <c r="C16" s="226"/>
      <c r="D16" s="956"/>
      <c r="E16" s="224"/>
      <c r="F16" s="224"/>
      <c r="G16" s="225"/>
    </row>
    <row r="17" spans="1:10" s="220" customFormat="1" ht="13.5" hidden="1" customHeight="1">
      <c r="A17" s="233" t="s">
        <v>13</v>
      </c>
      <c r="B17" s="221" t="s">
        <v>2170</v>
      </c>
      <c r="C17" s="235"/>
      <c r="D17" s="957"/>
      <c r="E17" s="235"/>
      <c r="F17" s="235"/>
      <c r="G17" s="225" t="s">
        <v>2169</v>
      </c>
    </row>
    <row r="18" spans="1:10" s="220" customFormat="1" ht="13.5" hidden="1" customHeight="1">
      <c r="A18" s="233" t="s">
        <v>14</v>
      </c>
      <c r="B18" s="221" t="s">
        <v>2171</v>
      </c>
      <c r="C18" s="226">
        <v>0</v>
      </c>
      <c r="D18" s="956"/>
      <c r="E18" s="224"/>
      <c r="F18" s="227">
        <v>3.0499999999999999E-2</v>
      </c>
      <c r="G18" s="225" t="s">
        <v>2172</v>
      </c>
    </row>
    <row r="19" spans="1:10" s="229" customFormat="1" ht="13.5" customHeight="1">
      <c r="A19" s="261" t="s">
        <v>2173</v>
      </c>
      <c r="B19" s="216" t="s">
        <v>2174</v>
      </c>
      <c r="C19" s="217" t="str">
        <f>IF(G19="已包含在土地取得成本中","0",ROUND(D19*E19/10000,0))</f>
        <v>0</v>
      </c>
      <c r="D19" s="958">
        <f ca="1">D9+D10</f>
        <v>48448.81</v>
      </c>
      <c r="E19" s="217">
        <f>'数据-取费表'!B31</f>
        <v>200</v>
      </c>
      <c r="F19" s="237"/>
      <c r="G19" s="2042" t="s">
        <v>3170</v>
      </c>
    </row>
    <row r="20" spans="1:10" s="220" customFormat="1" ht="13.5" customHeight="1">
      <c r="A20" s="261" t="s">
        <v>2175</v>
      </c>
      <c r="B20" s="216" t="s">
        <v>2176</v>
      </c>
      <c r="C20" s="238">
        <f>ROUND((C5+C19)*F20,0)</f>
        <v>256</v>
      </c>
      <c r="D20" s="238"/>
      <c r="E20" s="238"/>
      <c r="F20" s="239">
        <f>'数据-取费表'!B37</f>
        <v>0.01</v>
      </c>
      <c r="G20" s="240" t="s">
        <v>2177</v>
      </c>
      <c r="J20" s="3539">
        <f>C6+成本法!C6</f>
        <v>46317</v>
      </c>
    </row>
    <row r="21" spans="1:10" s="220" customFormat="1" ht="13.5" customHeight="1">
      <c r="A21" s="261" t="s">
        <v>2178</v>
      </c>
      <c r="B21" s="216" t="s">
        <v>2179</v>
      </c>
      <c r="C21" s="241">
        <f>F21</f>
        <v>0.01</v>
      </c>
      <c r="D21" s="242" t="s">
        <v>2180</v>
      </c>
      <c r="E21" s="238"/>
      <c r="F21" s="239">
        <f>'数据-取费表'!B38</f>
        <v>0.01</v>
      </c>
      <c r="G21" s="240" t="s">
        <v>2181</v>
      </c>
    </row>
    <row r="22" spans="1:10" s="220" customFormat="1" ht="13.5" customHeight="1">
      <c r="A22" s="261" t="s">
        <v>2182</v>
      </c>
      <c r="B22" s="216" t="s">
        <v>2183</v>
      </c>
      <c r="C22" s="1264">
        <f ca="1">ROUND(SUM(C23:C25),0)</f>
        <v>2287</v>
      </c>
      <c r="D22" s="241">
        <f ca="1">C26</f>
        <v>4.0000000000000002E-4</v>
      </c>
      <c r="E22" s="242" t="s">
        <v>2180</v>
      </c>
      <c r="F22" s="243">
        <f ca="1">'数据-取费表'!B40</f>
        <v>4.3499999999999997E-2</v>
      </c>
      <c r="G22" s="240" t="str">
        <f>IF('数据-取费表'!B22&lt;=1,"单利计息","复利计息")</f>
        <v>复利计息</v>
      </c>
    </row>
    <row r="23" spans="1:10" s="220" customFormat="1" ht="13.5" customHeight="1">
      <c r="A23" s="888" t="s">
        <v>791</v>
      </c>
      <c r="B23" s="221" t="s">
        <v>2185</v>
      </c>
      <c r="C23" s="1265">
        <f ca="1">ROUND(IF('数据-取费表'!B22&lt;=1,C5*F22*'数据-取费表'!B23,C5*(POWER((1+F22),'数据-取费表'!B23)-1)),0)</f>
        <v>2276</v>
      </c>
      <c r="D23" s="244"/>
      <c r="E23" s="244"/>
      <c r="F23" s="245"/>
      <c r="G23" s="246" t="s">
        <v>2186</v>
      </c>
    </row>
    <row r="24" spans="1:10" s="220" customFormat="1" ht="13.5" customHeight="1">
      <c r="A24" s="888" t="s">
        <v>792</v>
      </c>
      <c r="B24" s="221" t="s">
        <v>2188</v>
      </c>
      <c r="C24" s="1265">
        <f ca="1">ROUND(IF('数据-取费表'!B22&lt;=1,C19*F22*('数据-取费表'!B19/2+'数据-取费表'!B21),C19*(POWER((1+F22),('数据-取费表'!B19/2+'数据-取费表'!B21))-1)),0)</f>
        <v>0</v>
      </c>
      <c r="D24" s="244"/>
      <c r="E24" s="244"/>
      <c r="F24" s="245"/>
      <c r="G24" s="246" t="s">
        <v>2189</v>
      </c>
    </row>
    <row r="25" spans="1:10" s="220" customFormat="1" ht="24">
      <c r="A25" s="888" t="s">
        <v>793</v>
      </c>
      <c r="B25" s="221" t="s">
        <v>2191</v>
      </c>
      <c r="C25" s="1265">
        <f ca="1">ROUND(IF('数据-取费表'!B22&lt;=1,C20*F22*'数据-取费表'!B23/2,C20*(POWER((1+F22),'数据-取费表'!B23/2)-1)),0)</f>
        <v>11</v>
      </c>
      <c r="D25" s="244"/>
      <c r="E25" s="247"/>
      <c r="F25" s="245"/>
      <c r="G25" s="248" t="s">
        <v>2192</v>
      </c>
    </row>
    <row r="26" spans="1:10" s="220" customFormat="1">
      <c r="A26" s="888" t="s">
        <v>795</v>
      </c>
      <c r="B26" s="221" t="s">
        <v>2193</v>
      </c>
      <c r="C26" s="244">
        <f ca="1">ROUND(IF('数据-取费表'!B22&lt;=1,F21*F22*'数据-取费表'!B23/2,F21*(POWER((1+F22),'数据-取费表'!B23/2)-1)),4)</f>
        <v>4.0000000000000002E-4</v>
      </c>
      <c r="D26" s="244"/>
      <c r="E26" s="247"/>
      <c r="F26" s="245"/>
      <c r="G26" s="249"/>
    </row>
    <row r="27" spans="1:10" s="220" customFormat="1" ht="24.75">
      <c r="A27" s="261" t="s">
        <v>2194</v>
      </c>
      <c r="B27" s="250" t="s">
        <v>2195</v>
      </c>
      <c r="C27" s="251">
        <f ca="1">C28</f>
        <v>3879</v>
      </c>
      <c r="D27" s="241">
        <f ca="1">C29</f>
        <v>1.5E-3</v>
      </c>
      <c r="E27" s="242" t="s">
        <v>2180</v>
      </c>
      <c r="F27" s="252">
        <f ca="1">IF(B1="",'数据-取费表'!Q16,INDIRECT("'数据-取费表'!q"&amp;$G$1))</f>
        <v>0.15</v>
      </c>
      <c r="G27" s="253" t="s">
        <v>2197</v>
      </c>
    </row>
    <row r="28" spans="1:10" s="220" customFormat="1" ht="13.5" customHeight="1">
      <c r="A28" s="888" t="s">
        <v>791</v>
      </c>
      <c r="B28" s="254" t="s">
        <v>2198</v>
      </c>
      <c r="C28" s="255">
        <f ca="1">ROUND((C5+C19+C20)*F27*'数据-取费表'!B21/'数据-取费表'!B20,0)</f>
        <v>3879</v>
      </c>
      <c r="D28" s="241"/>
      <c r="E28" s="242"/>
      <c r="F28" s="252"/>
      <c r="G28" s="253"/>
    </row>
    <row r="29" spans="1:10" s="220" customFormat="1" ht="13.5" customHeight="1">
      <c r="A29" s="888" t="s">
        <v>792</v>
      </c>
      <c r="B29" s="254" t="s">
        <v>2199</v>
      </c>
      <c r="C29" s="244">
        <f ca="1">ROUND(C21*F27*'数据-取费表'!B21/'数据-取费表'!B20,4)</f>
        <v>1.5E-3</v>
      </c>
      <c r="D29" s="241"/>
      <c r="E29" s="242"/>
      <c r="F29" s="252"/>
      <c r="G29" s="253"/>
    </row>
    <row r="30" spans="1:10" s="220" customFormat="1" ht="13.5" customHeight="1">
      <c r="A30" s="261" t="s">
        <v>2200</v>
      </c>
      <c r="B30" s="216" t="s">
        <v>2201</v>
      </c>
      <c r="C30" s="241">
        <f>ROUND(F30/(1+'数据-取费表'!C42),4)</f>
        <v>5.33E-2</v>
      </c>
      <c r="D30" s="242" t="s">
        <v>2180</v>
      </c>
      <c r="E30" s="247"/>
      <c r="F30" s="243">
        <f>'数据-取费表'!B41</f>
        <v>5.6000000000000001E-2</v>
      </c>
      <c r="G30" s="240" t="s">
        <v>2202</v>
      </c>
    </row>
    <row r="31" spans="1:10" ht="16.5" customHeight="1">
      <c r="A31" s="215">
        <v>1</v>
      </c>
      <c r="B31" s="216" t="s">
        <v>2203</v>
      </c>
      <c r="C31" s="217">
        <f ca="1">ROUND((C5+C19+C20+C22+C27)/(1-C21-D22-D27-C30),0)</f>
        <v>34260</v>
      </c>
      <c r="D31" s="236"/>
      <c r="E31" s="217"/>
      <c r="F31" s="256"/>
      <c r="G31" s="240" t="s">
        <v>2204</v>
      </c>
    </row>
    <row r="32" spans="1:10" s="214" customFormat="1" ht="15.75">
      <c r="A32" s="258" t="s">
        <v>2205</v>
      </c>
      <c r="B32" s="259"/>
      <c r="C32" s="259"/>
      <c r="D32" s="259"/>
      <c r="E32" s="259"/>
      <c r="F32" s="259"/>
      <c r="G32" s="260"/>
    </row>
    <row r="33" spans="1:7" s="220" customFormat="1" ht="13.5" customHeight="1">
      <c r="A33" s="261" t="s">
        <v>782</v>
      </c>
      <c r="B33" s="216" t="s">
        <v>2206</v>
      </c>
      <c r="C33" s="262">
        <f ca="1">SUM(C34:C38)</f>
        <v>56661</v>
      </c>
      <c r="D33" s="238"/>
      <c r="E33" s="218"/>
      <c r="F33" s="247"/>
      <c r="G33" s="240"/>
    </row>
    <row r="34" spans="1:7" s="264" customFormat="1" ht="13.5" customHeight="1">
      <c r="A34" s="888" t="s">
        <v>791</v>
      </c>
      <c r="B34" s="221" t="s">
        <v>2207</v>
      </c>
      <c r="C34" s="226">
        <f ca="1">IF(B1="",IF(F34=100%,'数据-取费表'!M16,'数据-取费表'!O16),IF(F34=100%,INDIRECT("'数据-取费表'!m"&amp;$G$1)+INDIRECT("'数据-取费表'!t"&amp;$G$1),INDIRECT("'数据-取费表'!o"&amp;$G$1)+INDIRECT("'数据-取费表'!aq"&amp;$G$1)))</f>
        <v>53294</v>
      </c>
      <c r="D34" s="223"/>
      <c r="E34" s="226"/>
      <c r="F34" s="263">
        <f ca="1">IF('数据-取费表'!B24=0,1,IF(B1="",'数据-取费表'!N16,INDIRECT("'数据-取费表'!n"&amp;$G$1)))</f>
        <v>1</v>
      </c>
      <c r="G34" s="225" t="s">
        <v>2208</v>
      </c>
    </row>
    <row r="35" spans="1:7" ht="13.5" customHeight="1">
      <c r="A35" s="888" t="s">
        <v>796</v>
      </c>
      <c r="B35" s="221" t="s">
        <v>2209</v>
      </c>
      <c r="C35" s="226">
        <f ca="1">ROUND(C34*F35,0)</f>
        <v>1599</v>
      </c>
      <c r="D35" s="226"/>
      <c r="E35" s="226"/>
      <c r="F35" s="265">
        <f>'数据-取费表'!B33</f>
        <v>0.03</v>
      </c>
      <c r="G35" s="225" t="s">
        <v>2210</v>
      </c>
    </row>
    <row r="36" spans="1:7" ht="24">
      <c r="A36" s="888" t="s">
        <v>797</v>
      </c>
      <c r="B36" s="221" t="s">
        <v>2211</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2212</v>
      </c>
    </row>
    <row r="37" spans="1:7" s="264" customFormat="1" ht="13.5" customHeight="1">
      <c r="A37" s="888" t="s">
        <v>798</v>
      </c>
      <c r="B37" s="221" t="s">
        <v>2213</v>
      </c>
      <c r="C37" s="255">
        <f ca="1">ROUND(E37*D37*F34/10000,0)</f>
        <v>969</v>
      </c>
      <c r="D37" s="223">
        <f ca="1">D19</f>
        <v>48448.81</v>
      </c>
      <c r="E37" s="255">
        <f>'数据-取费表'!B35</f>
        <v>200</v>
      </c>
      <c r="F37" s="265"/>
      <c r="G37" s="267" t="s">
        <v>2214</v>
      </c>
    </row>
    <row r="38" spans="1:7" ht="13.5" customHeight="1">
      <c r="A38" s="888" t="s">
        <v>799</v>
      </c>
      <c r="B38" s="221" t="s">
        <v>2215</v>
      </c>
      <c r="C38" s="226">
        <f ca="1">ROUND(C34*F38,0)</f>
        <v>799</v>
      </c>
      <c r="D38" s="226"/>
      <c r="E38" s="226"/>
      <c r="F38" s="265">
        <f>'数据-取费表'!B36</f>
        <v>1.4999999999999999E-2</v>
      </c>
      <c r="G38" s="225" t="s">
        <v>2210</v>
      </c>
    </row>
    <row r="39" spans="1:7" s="220" customFormat="1" ht="13.5" customHeight="1">
      <c r="A39" s="261" t="s">
        <v>2173</v>
      </c>
      <c r="B39" s="216" t="s">
        <v>2176</v>
      </c>
      <c r="C39" s="238">
        <f ca="1">ROUND(C33*F20,0)</f>
        <v>567</v>
      </c>
      <c r="D39" s="238"/>
      <c r="E39" s="238"/>
      <c r="F39" s="2535">
        <f>F20</f>
        <v>0.01</v>
      </c>
      <c r="G39" s="240" t="s">
        <v>2218</v>
      </c>
    </row>
    <row r="40" spans="1:7" s="220" customFormat="1" ht="13.5" customHeight="1">
      <c r="A40" s="261" t="s">
        <v>2175</v>
      </c>
      <c r="B40" s="216" t="s">
        <v>2179</v>
      </c>
      <c r="C40" s="1495">
        <f>F21</f>
        <v>0.01</v>
      </c>
      <c r="D40" s="242" t="s">
        <v>2221</v>
      </c>
      <c r="E40" s="238"/>
      <c r="F40" s="2535">
        <f>F21</f>
        <v>0.01</v>
      </c>
      <c r="G40" s="240" t="s">
        <v>2222</v>
      </c>
    </row>
    <row r="41" spans="1:7" s="220" customFormat="1" ht="13.5" customHeight="1">
      <c r="A41" s="261" t="s">
        <v>2178</v>
      </c>
      <c r="B41" s="216" t="s">
        <v>2183</v>
      </c>
      <c r="C41" s="238">
        <f ca="1">ROUND(SUM(C42:C43),0)</f>
        <v>2490</v>
      </c>
      <c r="D41" s="241">
        <f ca="1">C44</f>
        <v>4.0000000000000002E-4</v>
      </c>
      <c r="E41" s="242" t="s">
        <v>2221</v>
      </c>
      <c r="F41" s="2536">
        <f ca="1">F22</f>
        <v>4.3499999999999997E-2</v>
      </c>
      <c r="G41" s="240" t="str">
        <f>IF('数据-取费表'!B22&lt;=1,"单利计息","复利计息")</f>
        <v>复利计息</v>
      </c>
    </row>
    <row r="42" spans="1:7" ht="13.5" customHeight="1">
      <c r="A42" s="888" t="s">
        <v>791</v>
      </c>
      <c r="B42" s="221" t="s">
        <v>2185</v>
      </c>
      <c r="C42" s="244">
        <f ca="1">ROUND(IF('数据-取费表'!B22&lt;=1,C33*F22*'数据-取费表'!B21/2,C33*(POWER((1+F22),'数据-取费表'!B21/2)-1)),0)</f>
        <v>2465</v>
      </c>
      <c r="D42" s="244"/>
      <c r="E42" s="244"/>
      <c r="F42" s="245"/>
      <c r="G42" s="3359" t="s">
        <v>2226</v>
      </c>
    </row>
    <row r="43" spans="1:7" ht="13.5" customHeight="1">
      <c r="A43" s="888" t="s">
        <v>792</v>
      </c>
      <c r="B43" s="221" t="s">
        <v>2188</v>
      </c>
      <c r="C43" s="244">
        <f ca="1">ROUND(IF('数据-取费表'!B22&lt;=1,C39*F22*'数据-取费表'!B21/2,C39*(POWER((1+F22),'数据-取费表'!B21/2)-1)),0)</f>
        <v>25</v>
      </c>
      <c r="D43" s="244"/>
      <c r="E43" s="244"/>
      <c r="F43" s="245"/>
      <c r="G43" s="3360"/>
    </row>
    <row r="44" spans="1:7" ht="13.5" customHeight="1">
      <c r="A44" s="888" t="s">
        <v>793</v>
      </c>
      <c r="B44" s="221" t="s">
        <v>2191</v>
      </c>
      <c r="C44" s="244">
        <f ca="1">ROUND(IF('数据-取费表'!B22&lt;=1,C40*F22*'数据-取费表'!B21/2,C40*(POWER((1+F22),'数据-取费表'!B21/2)-1)),4)</f>
        <v>4.0000000000000002E-4</v>
      </c>
      <c r="D44" s="244"/>
      <c r="E44" s="244"/>
      <c r="F44" s="245"/>
      <c r="G44" s="3361"/>
    </row>
    <row r="45" spans="1:7" s="220" customFormat="1" ht="13.5" customHeight="1">
      <c r="A45" s="261" t="s">
        <v>2182</v>
      </c>
      <c r="B45" s="250" t="s">
        <v>2195</v>
      </c>
      <c r="C45" s="251">
        <f ca="1">C46</f>
        <v>8584</v>
      </c>
      <c r="D45" s="241">
        <f ca="1">C47</f>
        <v>1.5E-3</v>
      </c>
      <c r="E45" s="242" t="s">
        <v>2221</v>
      </c>
      <c r="F45" s="2537">
        <f ca="1">F27</f>
        <v>0.15</v>
      </c>
      <c r="G45" s="253" t="s">
        <v>2230</v>
      </c>
    </row>
    <row r="46" spans="1:7" s="220" customFormat="1" ht="13.5" customHeight="1">
      <c r="A46" s="888" t="s">
        <v>791</v>
      </c>
      <c r="B46" s="254" t="s">
        <v>2231</v>
      </c>
      <c r="C46" s="255">
        <f ca="1">ROUND((C33+C39)*F27,0)</f>
        <v>8584</v>
      </c>
      <c r="D46" s="269"/>
      <c r="E46" s="242"/>
      <c r="F46" s="252"/>
      <c r="G46" s="253"/>
    </row>
    <row r="47" spans="1:7" s="220" customFormat="1" ht="13.5" customHeight="1">
      <c r="A47" s="888" t="s">
        <v>792</v>
      </c>
      <c r="B47" s="254" t="s">
        <v>2232</v>
      </c>
      <c r="C47" s="244">
        <f ca="1">ROUND(C40*F27,4)</f>
        <v>1.5E-3</v>
      </c>
      <c r="D47" s="269"/>
      <c r="E47" s="242"/>
      <c r="F47" s="252"/>
      <c r="G47" s="253"/>
    </row>
    <row r="48" spans="1:7" s="220" customFormat="1" ht="13.5" customHeight="1">
      <c r="A48" s="261" t="s">
        <v>2194</v>
      </c>
      <c r="B48" s="216" t="s">
        <v>2233</v>
      </c>
      <c r="C48" s="1495">
        <f>ROUND(F30/(1+'数据-取费表'!C42),4)</f>
        <v>5.33E-2</v>
      </c>
      <c r="D48" s="242" t="s">
        <v>2221</v>
      </c>
      <c r="E48" s="238"/>
      <c r="F48" s="2536">
        <f>F30</f>
        <v>5.6000000000000001E-2</v>
      </c>
      <c r="G48" s="240" t="s">
        <v>2234</v>
      </c>
    </row>
    <row r="49" spans="1:7" ht="16.5" customHeight="1">
      <c r="A49" s="261" t="s">
        <v>2200</v>
      </c>
      <c r="B49" s="216" t="s">
        <v>2235</v>
      </c>
      <c r="C49" s="238">
        <f ca="1">ROUND((C33+C39+C41+C45)/(1-C40-D41-D45-C48),0)</f>
        <v>73066</v>
      </c>
      <c r="D49" s="238"/>
      <c r="E49" s="238"/>
      <c r="F49" s="270"/>
      <c r="G49" s="240" t="s">
        <v>2236</v>
      </c>
    </row>
    <row r="50" spans="1:7" s="264" customFormat="1" ht="24">
      <c r="A50" s="261" t="s">
        <v>2237</v>
      </c>
      <c r="B50" s="216" t="s">
        <v>2238</v>
      </c>
      <c r="C50" s="238"/>
      <c r="D50" s="238"/>
      <c r="E50" s="238"/>
      <c r="F50" s="270">
        <f>IF('数据-取费表'!B24=0,'数据-取费表'!N16,1)</f>
        <v>0.97</v>
      </c>
      <c r="G50" s="253" t="s">
        <v>2239</v>
      </c>
    </row>
    <row r="51" spans="1:7" ht="16.5" customHeight="1">
      <c r="A51" s="261" t="s">
        <v>2240</v>
      </c>
      <c r="B51" s="216" t="s">
        <v>2241</v>
      </c>
      <c r="C51" s="238">
        <f ca="1">ROUND(C49*F50,0)</f>
        <v>70874</v>
      </c>
      <c r="D51" s="238"/>
      <c r="E51" s="238"/>
      <c r="F51" s="270"/>
      <c r="G51" s="240" t="s">
        <v>2242</v>
      </c>
    </row>
    <row r="52" spans="1:7" s="214" customFormat="1" ht="16.5" thickBot="1">
      <c r="A52" s="271" t="s">
        <v>2243</v>
      </c>
      <c r="B52" s="272"/>
      <c r="C52" s="273">
        <f ca="1">C31+C51</f>
        <v>105134</v>
      </c>
      <c r="D52" s="272"/>
      <c r="E52" s="272"/>
      <c r="F52" s="272"/>
      <c r="G52" s="274"/>
    </row>
    <row r="55" spans="1:7" ht="15">
      <c r="B55" s="276" t="s">
        <v>2244</v>
      </c>
      <c r="C55" s="277"/>
    </row>
    <row r="56" spans="1:7">
      <c r="B56" s="279" t="s">
        <v>1474</v>
      </c>
      <c r="C56" s="281">
        <f ca="1">1-C57</f>
        <v>0.32599999999999996</v>
      </c>
    </row>
    <row r="57" spans="1:7">
      <c r="B57" s="279" t="s">
        <v>1475</v>
      </c>
      <c r="C57" s="280">
        <f ca="1">ROUND(C51/C52,3)</f>
        <v>0.67400000000000004</v>
      </c>
    </row>
  </sheetData>
  <sheetProtection password="CEE9" sheet="1" objects="1" scenarios="1" formatCells="0"/>
  <mergeCells count="1">
    <mergeCell ref="G42:G44"/>
  </mergeCells>
  <phoneticPr fontId="140" type="noConversion"/>
  <dataValidations count="6">
    <dataValidation type="list" allowBlank="1" showInputMessage="1" showErrorMessage="1" sqref="D2" xr:uid="{00000000-0002-0000-2E00-000000000000}">
      <formula1>"需扣减承租人权益,——"</formula1>
    </dataValidation>
    <dataValidation type="list" allowBlank="1" showInputMessage="1" showErrorMessage="1" sqref="G2" xr:uid="{00000000-0002-0000-2E00-000001000000}">
      <formula1>估价方法</formula1>
    </dataValidation>
    <dataValidation type="list" allowBlank="1" showInputMessage="1" showErrorMessage="1" sqref="G9" xr:uid="{00000000-0002-0000-2E00-000002000000}">
      <formula1>"部分缴纳,全部缴纳"</formula1>
    </dataValidation>
    <dataValidation type="list" allowBlank="1" showInputMessage="1" showErrorMessage="1" sqref="B1" xr:uid="{00000000-0002-0000-2E00-000003000000}">
      <formula1>项目类型</formula1>
    </dataValidation>
    <dataValidation type="list" allowBlank="1" showInputMessage="1" showErrorMessage="1" sqref="G19" xr:uid="{00000000-0002-0000-2E00-000004000000}">
      <formula1>"已包含在土地取得成本中,未包含在土地取得成本中"</formula1>
    </dataValidation>
    <dataValidation type="list" allowBlank="1" showInputMessage="1" showErrorMessage="1" sqref="G8" xr:uid="{00000000-0002-0000-2E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K83"/>
  <sheetViews>
    <sheetView view="pageBreakPreview" zoomScale="80" zoomScaleNormal="70" zoomScaleSheetLayoutView="80" workbookViewId="0">
      <selection activeCell="G12" sqref="G1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1550</v>
      </c>
      <c r="B1" s="722"/>
      <c r="C1" s="1563" t="s">
        <v>1009</v>
      </c>
      <c r="D1" s="1546" t="s">
        <v>70</v>
      </c>
      <c r="E1" s="1547" t="s">
        <v>1348</v>
      </c>
      <c r="F1" s="1193">
        <f ca="1">J53</f>
        <v>42.08</v>
      </c>
      <c r="G1" s="1562">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1476</v>
      </c>
      <c r="B2" s="1570">
        <f ca="1">C40+J29+L46</f>
        <v>15255</v>
      </c>
      <c r="C2" s="1571" t="s">
        <v>1477</v>
      </c>
      <c r="D2" s="1571"/>
      <c r="E2" s="1572"/>
      <c r="F2" s="1573"/>
      <c r="G2" s="2935"/>
      <c r="H2" s="2924"/>
      <c r="I2" s="2924"/>
      <c r="J2" s="2924"/>
      <c r="K2" s="2925"/>
      <c r="L2" s="2924"/>
      <c r="M2" s="2924"/>
    </row>
    <row r="3" spans="1:37" ht="18" customHeight="1" thickBot="1">
      <c r="A3" s="1574" t="s">
        <v>1478</v>
      </c>
      <c r="B3" s="1575">
        <f ca="1">IF(ISERROR(B2*10000/F43),0,ROUND(B2*10000/F43,0))</f>
        <v>3149</v>
      </c>
      <c r="C3" s="1571" t="s">
        <v>1479</v>
      </c>
      <c r="D3" s="1571"/>
      <c r="E3" s="1572"/>
      <c r="F3" s="1573"/>
      <c r="G3" s="2935"/>
      <c r="H3" s="692" t="s">
        <v>1549</v>
      </c>
      <c r="I3" s="1566"/>
      <c r="J3" s="1566"/>
      <c r="K3" s="1567"/>
      <c r="L3" s="1566"/>
      <c r="M3" s="1566"/>
    </row>
    <row r="4" spans="1:37" ht="18" customHeight="1">
      <c r="A4" s="301" t="s">
        <v>1357</v>
      </c>
      <c r="B4" s="302" t="s">
        <v>1358</v>
      </c>
      <c r="C4" s="302" t="s">
        <v>1359</v>
      </c>
      <c r="D4" s="302" t="s">
        <v>1360</v>
      </c>
      <c r="E4" s="303" t="s">
        <v>1361</v>
      </c>
      <c r="F4" s="304"/>
      <c r="G4" s="1568"/>
      <c r="H4" s="301" t="s">
        <v>1357</v>
      </c>
      <c r="I4" s="302" t="s">
        <v>1358</v>
      </c>
      <c r="J4" s="302" t="s">
        <v>1359</v>
      </c>
      <c r="K4" s="302" t="s">
        <v>1360</v>
      </c>
      <c r="L4" s="303" t="s">
        <v>1361</v>
      </c>
      <c r="M4" s="304"/>
    </row>
    <row r="5" spans="1:37" ht="18" customHeight="1">
      <c r="A5" s="305">
        <v>1</v>
      </c>
      <c r="B5" s="306" t="s">
        <v>1362</v>
      </c>
      <c r="C5" s="1202">
        <f ca="1">C6+C10+C12</f>
        <v>2479</v>
      </c>
      <c r="D5" s="1548" t="s">
        <v>1363</v>
      </c>
      <c r="E5" s="1203"/>
      <c r="F5" s="1204"/>
      <c r="G5" s="1568"/>
      <c r="H5" s="305">
        <v>1</v>
      </c>
      <c r="I5" s="306" t="s">
        <v>1362</v>
      </c>
      <c r="J5" s="1202">
        <f ca="1">J6+J10+J12</f>
        <v>0</v>
      </c>
      <c r="K5" s="1548" t="s">
        <v>1363</v>
      </c>
      <c r="L5" s="1203"/>
      <c r="M5" s="1204"/>
    </row>
    <row r="6" spans="1:37" ht="18" customHeight="1">
      <c r="A6" s="1201" t="s">
        <v>1003</v>
      </c>
      <c r="B6" s="3407" t="s">
        <v>1364</v>
      </c>
      <c r="C6" s="1206">
        <f ca="1">ROUND(F6*F8*F7*(1-F9)/10000,0)</f>
        <v>2476</v>
      </c>
      <c r="D6" s="160" t="s">
        <v>2846</v>
      </c>
      <c r="E6" s="308" t="s">
        <v>1366</v>
      </c>
      <c r="F6" s="309">
        <f ca="1">INDIRECT("'数据-取费表'!u"&amp;$G$1)</f>
        <v>2</v>
      </c>
      <c r="G6" s="1568"/>
      <c r="H6" s="1201" t="s">
        <v>1003</v>
      </c>
      <c r="I6" s="3407" t="s">
        <v>1364</v>
      </c>
      <c r="J6" s="307">
        <f ca="1">ROUND(M6*M8*M7*(1-M9)/10000,0)</f>
        <v>0</v>
      </c>
      <c r="K6" s="160" t="s">
        <v>2845</v>
      </c>
      <c r="L6" s="308" t="s">
        <v>1366</v>
      </c>
      <c r="M6" s="309">
        <f ca="1">INDIRECT("'数据-取费表'!z"&amp;$G$1)</f>
        <v>0</v>
      </c>
    </row>
    <row r="7" spans="1:37" ht="18" customHeight="1">
      <c r="A7" s="1205"/>
      <c r="B7" s="3408"/>
      <c r="C7" s="1207"/>
      <c r="D7" s="313"/>
      <c r="E7" s="3099" t="s">
        <v>1367</v>
      </c>
      <c r="F7" s="309">
        <f ca="1">IF(INDIRECT("'数据-取费表'!ah"&amp;$G$1)="",INDIRECT("'数据-取费表'!k"&amp;$G$1),INDIRECT("'数据-取费表'!ah"&amp;$G$1))</f>
        <v>48448.81</v>
      </c>
      <c r="G7" s="1568"/>
      <c r="H7" s="310"/>
      <c r="I7" s="3408"/>
      <c r="J7" s="312"/>
      <c r="K7" s="313"/>
      <c r="L7" s="308" t="s">
        <v>1367</v>
      </c>
      <c r="M7" s="309">
        <f ca="1">F7</f>
        <v>48448.81</v>
      </c>
    </row>
    <row r="8" spans="1:37" ht="18" customHeight="1">
      <c r="A8" s="310"/>
      <c r="B8" s="3408"/>
      <c r="C8" s="312"/>
      <c r="D8" s="313"/>
      <c r="E8" s="308" t="s">
        <v>1368</v>
      </c>
      <c r="F8" s="309">
        <f ca="1">INDIRECT("'数据-取费表'!ai"&amp;$G$1)</f>
        <v>365</v>
      </c>
      <c r="G8" s="1568"/>
      <c r="H8" s="310"/>
      <c r="I8" s="3408"/>
      <c r="J8" s="312"/>
      <c r="K8" s="313"/>
      <c r="L8" s="308" t="s">
        <v>1368</v>
      </c>
      <c r="M8" s="309">
        <f ca="1">INDIRECT("'数据-取费表'!ai"&amp;$G$1)</f>
        <v>365</v>
      </c>
    </row>
    <row r="9" spans="1:37" ht="18" customHeight="1">
      <c r="A9" s="310"/>
      <c r="B9" s="3409"/>
      <c r="C9" s="312"/>
      <c r="D9" s="313"/>
      <c r="E9" s="308" t="s">
        <v>1369</v>
      </c>
      <c r="F9" s="318">
        <f ca="1">INDIRECT("'数据-取费表'!w"&amp;$G$1)</f>
        <v>0.3</v>
      </c>
      <c r="G9" s="1568"/>
      <c r="H9" s="310"/>
      <c r="I9" s="3409"/>
      <c r="J9" s="312"/>
      <c r="K9" s="313"/>
      <c r="L9" s="319" t="s">
        <v>1369</v>
      </c>
      <c r="M9" s="320">
        <f ca="1">INDIRECT("'数据-取费表'!ab"&amp;$G$1)</f>
        <v>0</v>
      </c>
    </row>
    <row r="10" spans="1:37" ht="18" customHeight="1">
      <c r="A10" s="1201" t="s">
        <v>1007</v>
      </c>
      <c r="B10" s="1549" t="s">
        <v>1370</v>
      </c>
      <c r="C10" s="322">
        <f ca="1">ROUND(IF(F10="押一",C6/12*F11,IF(F10="押二",C6/12*2*F11,IF(F10="押三",C6/12*3*F11,C11*F11))),0)</f>
        <v>3</v>
      </c>
      <c r="D10" s="1550" t="s">
        <v>2853</v>
      </c>
      <c r="E10" s="319" t="s">
        <v>1371</v>
      </c>
      <c r="F10" s="1276" t="s">
        <v>3164</v>
      </c>
      <c r="G10" s="1568"/>
      <c r="H10" s="1201" t="s">
        <v>1007</v>
      </c>
      <c r="I10" s="1549" t="s">
        <v>1370</v>
      </c>
      <c r="J10" s="307">
        <f ca="1">ROUND(IF(M10="押一",J6/12*M11,IF(M10="押二",J6/12*2*M11,IF(M10="押三",J6/12*3*M11,J11*M11))),0)</f>
        <v>0</v>
      </c>
      <c r="K10" s="1550" t="s">
        <v>2853</v>
      </c>
      <c r="L10" s="319" t="s">
        <v>1371</v>
      </c>
      <c r="M10" s="1276" t="s">
        <v>1372</v>
      </c>
    </row>
    <row r="11" spans="1:37" ht="18" customHeight="1">
      <c r="A11" s="314"/>
      <c r="B11" s="1551" t="s">
        <v>1349</v>
      </c>
      <c r="C11" s="1090"/>
      <c r="D11" s="1552"/>
      <c r="E11" s="319" t="s">
        <v>1373</v>
      </c>
      <c r="F11" s="320">
        <f ca="1">'数据-取费表'!B39</f>
        <v>1.4999999999999999E-2</v>
      </c>
      <c r="G11" s="1568"/>
      <c r="H11" s="1209"/>
      <c r="I11" s="1551" t="s">
        <v>1349</v>
      </c>
      <c r="J11" s="1090"/>
      <c r="K11" s="693"/>
      <c r="L11" s="319" t="s">
        <v>1373</v>
      </c>
      <c r="M11" s="971">
        <f ca="1">'数据-取费表'!B39</f>
        <v>1.4999999999999999E-2</v>
      </c>
    </row>
    <row r="12" spans="1:37" ht="18" customHeight="1" thickBot="1">
      <c r="A12" s="1243" t="s">
        <v>1043</v>
      </c>
      <c r="B12" s="1553" t="s">
        <v>1374</v>
      </c>
      <c r="C12" s="1244"/>
      <c r="D12" s="1245"/>
      <c r="E12" s="1250"/>
      <c r="F12" s="1246"/>
      <c r="G12" s="1568"/>
      <c r="H12" s="1243" t="s">
        <v>1043</v>
      </c>
      <c r="I12" s="1553" t="s">
        <v>1374</v>
      </c>
      <c r="J12" s="1244"/>
      <c r="K12" s="1258"/>
      <c r="L12" s="1250"/>
      <c r="M12" s="1259"/>
    </row>
    <row r="13" spans="1:37" ht="18" customHeight="1" thickTop="1">
      <c r="A13" s="1239">
        <v>2</v>
      </c>
      <c r="B13" s="1240" t="s">
        <v>1375</v>
      </c>
      <c r="C13" s="316">
        <f ca="1">ROUND(C29*F13,0)</f>
        <v>70874</v>
      </c>
      <c r="D13" s="3091" t="s">
        <v>1376</v>
      </c>
      <c r="E13" s="3091" t="s">
        <v>1377</v>
      </c>
      <c r="F13" s="1242">
        <f ca="1">INDIRECT("'数据-取费表'!y"&amp;$G$1)</f>
        <v>0.97</v>
      </c>
      <c r="G13" s="1568"/>
      <c r="H13" s="1239">
        <v>2</v>
      </c>
      <c r="I13" s="1240" t="s">
        <v>1375</v>
      </c>
      <c r="J13" s="1200">
        <f ca="1">ROUND(J14*J15,0)</f>
        <v>0</v>
      </c>
      <c r="K13" s="1247" t="s">
        <v>1376</v>
      </c>
      <c r="L13" s="1576"/>
      <c r="M13" s="1577"/>
    </row>
    <row r="14" spans="1:37" ht="18" customHeight="1">
      <c r="A14" s="1113" t="s">
        <v>1002</v>
      </c>
      <c r="B14" s="308" t="s">
        <v>1378</v>
      </c>
      <c r="C14" s="324">
        <f ca="1">INDIRECT("'数据-取费表'!m"&amp;$G$1)+INDIRECT("'数据-取费表'!t"&amp;$G$1)</f>
        <v>53294</v>
      </c>
      <c r="D14" s="3095" t="s">
        <v>1379</v>
      </c>
      <c r="E14" s="3093"/>
      <c r="F14" s="325"/>
      <c r="G14" s="1568"/>
      <c r="H14" s="1113" t="s">
        <v>1003</v>
      </c>
      <c r="I14" s="308" t="s">
        <v>1380</v>
      </c>
      <c r="J14" s="24">
        <f ca="1">C29</f>
        <v>73066</v>
      </c>
      <c r="K14" s="3098"/>
      <c r="L14" s="916"/>
      <c r="M14" s="917"/>
    </row>
    <row r="15" spans="1:37" s="1581" customFormat="1" ht="18" customHeight="1" thickBot="1">
      <c r="A15" s="1113" t="s">
        <v>1004</v>
      </c>
      <c r="B15" s="308" t="s">
        <v>1381</v>
      </c>
      <c r="C15" s="24">
        <f ca="1">ROUND(C14*F15,0)</f>
        <v>1599</v>
      </c>
      <c r="D15" s="3092" t="s">
        <v>1382</v>
      </c>
      <c r="E15" s="3092" t="s">
        <v>1383</v>
      </c>
      <c r="F15" s="327">
        <f>'数据-取费表'!B33</f>
        <v>0.03</v>
      </c>
      <c r="G15" s="1580"/>
      <c r="H15" s="1249" t="s">
        <v>1007</v>
      </c>
      <c r="I15" s="1250" t="s">
        <v>1377</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1350</v>
      </c>
      <c r="B16" s="308" t="s">
        <v>1384</v>
      </c>
      <c r="C16" s="24">
        <f ca="1">ROUND(INDIRECT("'数据-取费表'!m"&amp;$G$1)*F16,0)</f>
        <v>0</v>
      </c>
      <c r="D16" s="308" t="s">
        <v>1382</v>
      </c>
      <c r="E16" s="308" t="s">
        <v>1383</v>
      </c>
      <c r="F16" s="328">
        <f ca="1">IF(INDIRECT("'数据-取费表'!c"&amp;$G$1)="住宅",'数据-取费表'!B34,0)</f>
        <v>0</v>
      </c>
      <c r="G16" s="1568"/>
      <c r="H16" s="1239" t="s">
        <v>998</v>
      </c>
      <c r="I16" s="1240" t="s">
        <v>1385</v>
      </c>
      <c r="J16" s="316">
        <f ca="1">ROUND(J17+J22+J23+J24,0)</f>
        <v>1786</v>
      </c>
      <c r="K16" s="1247" t="s">
        <v>1386</v>
      </c>
      <c r="L16" s="3096"/>
      <c r="M16" s="1204"/>
    </row>
    <row r="17" spans="1:37" s="1581" customFormat="1" ht="18" customHeight="1">
      <c r="A17" s="1113" t="s">
        <v>1351</v>
      </c>
      <c r="B17" s="308" t="s">
        <v>1387</v>
      </c>
      <c r="C17" s="24">
        <f ca="1">ROUND(F17*(F43+INDIRECT("'数据-取费表'!S"&amp;$G$1))/10000,0)</f>
        <v>969</v>
      </c>
      <c r="D17" s="308" t="s">
        <v>1388</v>
      </c>
      <c r="E17" s="308" t="s">
        <v>1389</v>
      </c>
      <c r="F17" s="26">
        <f>'数据-取费表'!B35</f>
        <v>200</v>
      </c>
      <c r="G17" s="1580"/>
      <c r="H17" s="1113" t="s">
        <v>1003</v>
      </c>
      <c r="I17" s="308" t="s">
        <v>1390</v>
      </c>
      <c r="J17" s="2534">
        <f ca="1">ROUND(IF(AND(项目基本情况!B11="自然人",项目基本情况!B10="北京市"),J6*M17/(1+'数据-取费表'!C42),J18+J19+J20),0)</f>
        <v>690</v>
      </c>
      <c r="K17" s="3095" t="s">
        <v>1391</v>
      </c>
      <c r="L17" s="3094" t="s">
        <v>1392</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1352</v>
      </c>
      <c r="B18" s="308" t="s">
        <v>1393</v>
      </c>
      <c r="C18" s="24">
        <f ca="1">ROUND(C14*F18,0)</f>
        <v>799</v>
      </c>
      <c r="D18" s="308" t="s">
        <v>1382</v>
      </c>
      <c r="E18" s="308" t="s">
        <v>1383</v>
      </c>
      <c r="F18" s="328">
        <f>'数据-取费表'!B36</f>
        <v>1.4999999999999999E-2</v>
      </c>
      <c r="G18" s="1580"/>
      <c r="H18" s="1113" t="s">
        <v>1002</v>
      </c>
      <c r="I18" s="308" t="s">
        <v>1394</v>
      </c>
      <c r="J18" s="24">
        <f ca="1">ROUND(J6*M18/(1+'数据-取费表'!C42),2)</f>
        <v>0</v>
      </c>
      <c r="K18" s="3094" t="s">
        <v>1395</v>
      </c>
      <c r="L18" s="308" t="s">
        <v>1383</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1396</v>
      </c>
      <c r="C19" s="24">
        <f ca="1">SUM(C14:C18)</f>
        <v>56661</v>
      </c>
      <c r="D19" s="136" t="s">
        <v>1397</v>
      </c>
      <c r="E19" s="3103"/>
      <c r="F19" s="26"/>
      <c r="G19" s="1568"/>
      <c r="H19" s="1113" t="s">
        <v>1004</v>
      </c>
      <c r="I19" s="308" t="s">
        <v>1398</v>
      </c>
      <c r="J19" s="24">
        <f ca="1">IF(K19="按租金收入计税",ROUND(J6*M19/(1+'数据-取费表'!C42),2),ROUND(C29*M19*0.7,2))</f>
        <v>613.75</v>
      </c>
      <c r="K19" s="1554" t="s">
        <v>1399</v>
      </c>
      <c r="L19" s="308" t="s">
        <v>1383</v>
      </c>
      <c r="M19" s="328">
        <f>IF(K19="按租金收入计税",'数据-取费表'!B51,'数据-取费表'!B50)</f>
        <v>1.2E-2</v>
      </c>
    </row>
    <row r="20" spans="1:37" s="1581" customFormat="1" ht="18" customHeight="1">
      <c r="A20" s="1113" t="s">
        <v>1007</v>
      </c>
      <c r="B20" s="308" t="s">
        <v>1400</v>
      </c>
      <c r="C20" s="24">
        <f ca="1">ROUND(C19*F20,0)</f>
        <v>567</v>
      </c>
      <c r="D20" s="329" t="s">
        <v>1401</v>
      </c>
      <c r="E20" s="308" t="s">
        <v>1383</v>
      </c>
      <c r="F20" s="328">
        <f>'数据-取费表'!B37</f>
        <v>0.01</v>
      </c>
      <c r="G20" s="1580"/>
      <c r="H20" s="1113" t="s">
        <v>1350</v>
      </c>
      <c r="I20" s="160" t="s">
        <v>1402</v>
      </c>
      <c r="J20" s="25">
        <f ca="1">ROUND(M20*M21/10000,2)</f>
        <v>76.41</v>
      </c>
      <c r="K20" s="330" t="s">
        <v>1403</v>
      </c>
      <c r="L20" s="308" t="s">
        <v>1404</v>
      </c>
      <c r="M20" s="331">
        <f>'数据-取费表'!B52</f>
        <v>11.2</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1405</v>
      </c>
      <c r="C21" s="24" t="s">
        <v>18</v>
      </c>
      <c r="D21" s="329" t="s">
        <v>1406</v>
      </c>
      <c r="E21" s="308" t="s">
        <v>1407</v>
      </c>
      <c r="F21" s="328">
        <f>'数据-取费表'!B38</f>
        <v>0.01</v>
      </c>
      <c r="G21" s="1580"/>
      <c r="H21" s="332"/>
      <c r="I21" s="317"/>
      <c r="J21" s="29"/>
      <c r="K21" s="333"/>
      <c r="L21" s="308" t="s">
        <v>1408</v>
      </c>
      <c r="M21" s="309">
        <f ca="1">INDIRECT("'数据-取费表'!r"&amp;$G$1)</f>
        <v>68221.41</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1353</v>
      </c>
      <c r="B22" s="308" t="s">
        <v>1409</v>
      </c>
      <c r="C22" s="24"/>
      <c r="D22" s="136" t="str">
        <f>IF(F23&lt;=1,"单利计息。","复利计息。")&amp;"建造成本、管理费用、销售费用产生的利息。"</f>
        <v>复利计息。建造成本、管理费用、销售费用产生的利息。</v>
      </c>
      <c r="E22" s="3103"/>
      <c r="F22" s="26"/>
      <c r="G22" s="1568"/>
      <c r="H22" s="1113" t="s">
        <v>1007</v>
      </c>
      <c r="I22" s="308" t="s">
        <v>1410</v>
      </c>
      <c r="J22" s="24">
        <f ca="1">ROUND(J14*M22,1)</f>
        <v>1096</v>
      </c>
      <c r="K22" s="3094" t="s">
        <v>1411</v>
      </c>
      <c r="L22" s="308" t="s">
        <v>1383</v>
      </c>
      <c r="M22" s="334">
        <f ca="1">INDIRECT("'数据-取费表'!Ak"&amp;$G$1)</f>
        <v>1.4999999999999999E-2</v>
      </c>
    </row>
    <row r="23" spans="1:37" s="1581" customFormat="1" ht="18" customHeight="1">
      <c r="A23" s="1113" t="s">
        <v>1002</v>
      </c>
      <c r="B23" s="308" t="s">
        <v>1412</v>
      </c>
      <c r="C23" s="24">
        <f ca="1">IF('数据-取费表'!B22&lt;=1,ROUND(C19*F24*F23/2,0)+ROUND(C20*F24*F23/2,0),ROUND(C19*(POWER((1+F24),F23/2)-1),0)+ROUND(C20*(POWER((1+F24),F23/2)-1),0))</f>
        <v>2490</v>
      </c>
      <c r="D23" s="335" t="str">
        <f>IF(F23&lt;=1,"(建造成本+管理费用)×利率×(建设周期÷2)","(建造成本+管理费用)×((1+利率)^(建设周期÷2)-1)")</f>
        <v>(建造成本+管理费用)×((1+利率)^(建设周期÷2)-1)</v>
      </c>
      <c r="E23" s="308" t="s">
        <v>1413</v>
      </c>
      <c r="F23" s="331">
        <f>'数据-取费表'!B20</f>
        <v>2</v>
      </c>
      <c r="G23" s="1580"/>
      <c r="H23" s="1113" t="s">
        <v>1043</v>
      </c>
      <c r="I23" s="308" t="s">
        <v>1414</v>
      </c>
      <c r="J23" s="24">
        <f ca="1">ROUND(J13*M23,1)</f>
        <v>0</v>
      </c>
      <c r="K23" s="3094" t="s">
        <v>1415</v>
      </c>
      <c r="L23" s="308" t="s">
        <v>1383</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1004</v>
      </c>
      <c r="B24" s="308" t="s">
        <v>1418</v>
      </c>
      <c r="C24" s="24">
        <f ca="1">ROUND(IF('数据-取费表'!B22&lt;=1,F21*F24*F23/2,F21*(POWER((1+F24),F23/2)-1)),4)</f>
        <v>4.0000000000000002E-4</v>
      </c>
      <c r="D24" s="335" t="str">
        <f>IF(F23&lt;=1,"销售费用×利率×(建设周期÷2)","销售费用×((1+利率)^(建设周期÷2)-1)")</f>
        <v>销售费用×((1+利率)^(建设周期÷2)-1)</v>
      </c>
      <c r="E24" s="308" t="s">
        <v>1419</v>
      </c>
      <c r="F24" s="337">
        <f ca="1">'数据-取费表'!B40</f>
        <v>4.3499999999999997E-2</v>
      </c>
      <c r="G24" s="1580"/>
      <c r="H24" s="1249" t="s">
        <v>1354</v>
      </c>
      <c r="I24" s="1250" t="s">
        <v>1400</v>
      </c>
      <c r="J24" s="1251">
        <f ca="1">ROUND(J5*M24,1)</f>
        <v>0</v>
      </c>
      <c r="K24" s="1252" t="s">
        <v>1420</v>
      </c>
      <c r="L24" s="1250" t="s">
        <v>1383</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1421</v>
      </c>
      <c r="B25" s="308" t="s">
        <v>1422</v>
      </c>
      <c r="C25" s="24"/>
      <c r="D25" s="136" t="s">
        <v>1423</v>
      </c>
      <c r="E25" s="3103"/>
      <c r="F25" s="26"/>
      <c r="G25" s="1568"/>
      <c r="H25" s="1239" t="s">
        <v>999</v>
      </c>
      <c r="I25" s="1254" t="s">
        <v>1424</v>
      </c>
      <c r="J25" s="316">
        <f ca="1">J5-J16</f>
        <v>-1786</v>
      </c>
      <c r="K25" s="1255" t="s">
        <v>1425</v>
      </c>
      <c r="L25" s="1256"/>
      <c r="M25" s="1257"/>
    </row>
    <row r="26" spans="1:37">
      <c r="A26" s="1113" t="s">
        <v>1002</v>
      </c>
      <c r="B26" s="308" t="s">
        <v>1426</v>
      </c>
      <c r="C26" s="24">
        <f ca="1">ROUND((C19+C20)*F26,0)</f>
        <v>8584</v>
      </c>
      <c r="D26" s="329" t="s">
        <v>1427</v>
      </c>
      <c r="E26" s="319" t="s">
        <v>1428</v>
      </c>
      <c r="F26" s="318">
        <f ca="1">INDIRECT("'数据-取费表'!q"&amp;$G$1)</f>
        <v>0.15</v>
      </c>
      <c r="G26" s="1568"/>
      <c r="H26" s="305" t="s">
        <v>1000</v>
      </c>
      <c r="I26" s="306" t="s">
        <v>1429</v>
      </c>
      <c r="J26" s="307">
        <f ca="1">IF(J5&lt;&gt;0,ROUND(J25*(1-((1+M28)/(1+M26))^M27)/(M26-M28),0),0)</f>
        <v>0</v>
      </c>
      <c r="K26" s="330" t="s">
        <v>1430</v>
      </c>
      <c r="L26" s="308" t="s">
        <v>1431</v>
      </c>
      <c r="M26" s="318">
        <f ca="1">INDIRECT("'数据-取费表'!I"&amp;$G$1)</f>
        <v>0.06</v>
      </c>
    </row>
    <row r="27" spans="1:37" ht="18" customHeight="1">
      <c r="A27" s="1113" t="s">
        <v>1004</v>
      </c>
      <c r="B27" s="308" t="s">
        <v>1432</v>
      </c>
      <c r="C27" s="24">
        <f ca="1">ROUND(F21*F26,4)</f>
        <v>1.5E-3</v>
      </c>
      <c r="D27" s="329" t="s">
        <v>1433</v>
      </c>
      <c r="E27" s="3092"/>
      <c r="F27" s="327"/>
      <c r="G27" s="1568"/>
      <c r="H27" s="310"/>
      <c r="I27" s="311"/>
      <c r="J27" s="312"/>
      <c r="K27" s="338" t="s">
        <v>1434</v>
      </c>
      <c r="L27" s="308" t="s">
        <v>1435</v>
      </c>
      <c r="M27" s="339">
        <f ca="1">INDIRECT("'数据-取费表'!ag"&amp;$G$1)</f>
        <v>0</v>
      </c>
    </row>
    <row r="28" spans="1:37" s="1581" customFormat="1" ht="18" customHeight="1">
      <c r="A28" s="1113" t="s">
        <v>1005</v>
      </c>
      <c r="B28" s="308" t="s">
        <v>1436</v>
      </c>
      <c r="C28" s="24">
        <f>ROUND(F28/(1+'数据-取费表'!C42),4)</f>
        <v>5.33E-2</v>
      </c>
      <c r="D28" s="329" t="s">
        <v>1437</v>
      </c>
      <c r="E28" s="308" t="s">
        <v>1383</v>
      </c>
      <c r="F28" s="328">
        <f>'数据-取费表'!B41</f>
        <v>5.6000000000000001E-2</v>
      </c>
      <c r="G28" s="1580"/>
      <c r="H28" s="314"/>
      <c r="I28" s="315"/>
      <c r="J28" s="316"/>
      <c r="K28" s="333"/>
      <c r="L28" s="308" t="s">
        <v>1438</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1439</v>
      </c>
      <c r="C29" s="1251">
        <f ca="1">ROUND((C19+C20+C23+C26)/(1-F21-C24-C27-C28),0)</f>
        <v>73066</v>
      </c>
      <c r="D29" s="1252"/>
      <c r="E29" s="1250"/>
      <c r="F29" s="1253"/>
      <c r="G29" s="1580"/>
      <c r="H29" s="340" t="s">
        <v>1001</v>
      </c>
      <c r="I29" s="341" t="s">
        <v>1440</v>
      </c>
      <c r="J29" s="342">
        <f ca="1">ROUND(J26/(1+F40)^F41,0)</f>
        <v>0</v>
      </c>
      <c r="K29" s="343" t="s">
        <v>1441</v>
      </c>
      <c r="L29" s="344"/>
      <c r="M29" s="345">
        <f ca="1">INDIRECT("'数据-取费表'!k"&amp;$G$1)</f>
        <v>48448.81</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1385</v>
      </c>
      <c r="C30" s="316">
        <f ca="1">ROUND(C31+C36+C37+C38,0)</f>
        <v>1718</v>
      </c>
      <c r="D30" s="1247" t="s">
        <v>1386</v>
      </c>
      <c r="E30" s="3096"/>
      <c r="F30" s="1204"/>
      <c r="G30" s="1568"/>
      <c r="H30" s="2926"/>
      <c r="I30" s="1582"/>
      <c r="J30" s="1583"/>
      <c r="K30" s="2701"/>
      <c r="L30" s="2927"/>
      <c r="M30" s="2928"/>
    </row>
    <row r="31" spans="1:37" ht="18" customHeight="1">
      <c r="A31" s="1113" t="s">
        <v>1003</v>
      </c>
      <c r="B31" s="308" t="s">
        <v>1390</v>
      </c>
      <c r="C31" s="2534">
        <f ca="1">ROUND(IF(AND(项目基本情况!B11="自然人",项目基本情况!B10="北京市"),C6*F31/(1+'数据-取费表'!C42),C32+C33+C34),0)</f>
        <v>491</v>
      </c>
      <c r="D31" s="3095" t="s">
        <v>1391</v>
      </c>
      <c r="E31" s="3094" t="s">
        <v>1442</v>
      </c>
      <c r="F31" s="2533" t="str">
        <f>IF(项目基本情况!B11="企业","——",IF('数据-取费表'!B10="住宅",IF(F6*F7*F8/12/(1+'数据-取费表'!F30)&gt;100000,4%,2.5%),IF(F6*F7*F8/12/(1+'数据-取费表'!F30)&gt;100000,12%,7%)))</f>
        <v>——</v>
      </c>
      <c r="G31" s="1568"/>
      <c r="H31" s="3039" t="s">
        <v>3053</v>
      </c>
      <c r="I31" s="1582"/>
      <c r="J31" s="1583"/>
      <c r="K31" s="2701"/>
      <c r="L31" s="2927"/>
      <c r="M31" s="2928"/>
    </row>
    <row r="32" spans="1:37" ht="18" customHeight="1">
      <c r="A32" s="1113" t="s">
        <v>1002</v>
      </c>
      <c r="B32" s="308" t="s">
        <v>1394</v>
      </c>
      <c r="C32" s="24">
        <f ca="1">IF(项目基本情况!B11="自然人","——",ROUND(C6*F32/(1+'数据-取费表'!C42),2))</f>
        <v>132.05000000000001</v>
      </c>
      <c r="D32" s="3094" t="s">
        <v>1395</v>
      </c>
      <c r="E32" s="308" t="s">
        <v>1383</v>
      </c>
      <c r="F32" s="337">
        <f>'数据-取费表'!B41</f>
        <v>5.6000000000000001E-2</v>
      </c>
      <c r="G32" s="1568"/>
      <c r="H32" s="2926"/>
      <c r="I32" s="1582"/>
      <c r="J32" s="1583"/>
      <c r="K32" s="2701"/>
      <c r="L32" s="2927"/>
      <c r="M32" s="2928"/>
    </row>
    <row r="33" spans="1:18" ht="18" customHeight="1">
      <c r="A33" s="1113" t="s">
        <v>1004</v>
      </c>
      <c r="B33" s="308" t="s">
        <v>1398</v>
      </c>
      <c r="C33" s="24">
        <f ca="1">IF(项目基本情况!B11="自然人","——",IF(D33="按租金收入计税",ROUND(C6*F33/(1+'数据-取费表'!C42),2),IF(D33="按房产原值计税",ROUND(C29*F33*0.7,2),INDIRECT("'数据-取费表'!Aj"&amp;$G$1))))</f>
        <v>282.97000000000003</v>
      </c>
      <c r="D33" s="1554" t="s">
        <v>3165</v>
      </c>
      <c r="E33" s="308" t="s">
        <v>1383</v>
      </c>
      <c r="F33" s="328">
        <f>IF(D33="按票据","——",IF(D33="按租金收入计税",'数据-取费表'!B51,'数据-取费表'!B50))</f>
        <v>0.12</v>
      </c>
      <c r="G33" s="1568"/>
      <c r="H33" s="2929"/>
      <c r="I33" s="1582"/>
      <c r="J33" s="1583"/>
      <c r="K33" s="2930"/>
      <c r="L33" s="2929"/>
      <c r="M33" s="2929"/>
    </row>
    <row r="34" spans="1:18" ht="18" customHeight="1">
      <c r="A34" s="1201" t="s">
        <v>1350</v>
      </c>
      <c r="B34" s="160" t="s">
        <v>1402</v>
      </c>
      <c r="C34" s="25">
        <f ca="1">IF(项目基本情况!B11="自然人","——",ROUND(F34*F35/10000,2))</f>
        <v>76.41</v>
      </c>
      <c r="D34" s="330" t="s">
        <v>1403</v>
      </c>
      <c r="E34" s="308" t="s">
        <v>1404</v>
      </c>
      <c r="F34" s="331">
        <f>'数据-取费表'!B52</f>
        <v>11.2</v>
      </c>
      <c r="G34" s="1568"/>
      <c r="H34" s="2926"/>
      <c r="I34" s="1582"/>
      <c r="J34" s="1583"/>
      <c r="K34" s="2931"/>
      <c r="L34" s="2932"/>
      <c r="M34" s="2932"/>
    </row>
    <row r="35" spans="1:18" ht="18" customHeight="1">
      <c r="A35" s="1263"/>
      <c r="B35" s="1261"/>
      <c r="C35" s="29"/>
      <c r="D35" s="333"/>
      <c r="E35" s="308" t="s">
        <v>1408</v>
      </c>
      <c r="F35" s="309">
        <f ca="1">INDIRECT("'数据-取费表'!r"&amp;$G$1)</f>
        <v>68221.41</v>
      </c>
      <c r="G35" s="1568"/>
      <c r="H35" s="2926"/>
      <c r="I35" s="1582"/>
      <c r="J35" s="1583"/>
      <c r="K35" s="2930"/>
      <c r="L35" s="2929"/>
      <c r="M35" s="2929"/>
    </row>
    <row r="36" spans="1:18" ht="18" customHeight="1">
      <c r="A36" s="1262" t="s">
        <v>1007</v>
      </c>
      <c r="B36" s="308" t="s">
        <v>1410</v>
      </c>
      <c r="C36" s="24">
        <f ca="1">ROUND(C29*F36,1)</f>
        <v>1096</v>
      </c>
      <c r="D36" s="3094" t="s">
        <v>1443</v>
      </c>
      <c r="E36" s="308" t="s">
        <v>1383</v>
      </c>
      <c r="F36" s="334">
        <f ca="1">INDIRECT("'数据-取费表'!Ak"&amp;$G$1)</f>
        <v>1.4999999999999999E-2</v>
      </c>
      <c r="G36" s="1568"/>
      <c r="H36" s="2929"/>
      <c r="I36" s="1582"/>
      <c r="J36" s="1583"/>
      <c r="K36" s="2770"/>
      <c r="L36" s="2929"/>
      <c r="M36" s="2929"/>
    </row>
    <row r="37" spans="1:18" ht="18" customHeight="1">
      <c r="A37" s="1113" t="s">
        <v>1043</v>
      </c>
      <c r="B37" s="308" t="s">
        <v>1414</v>
      </c>
      <c r="C37" s="24">
        <f ca="1">ROUND(C13*F37,1)</f>
        <v>106.3</v>
      </c>
      <c r="D37" s="3094" t="s">
        <v>1415</v>
      </c>
      <c r="E37" s="308" t="s">
        <v>1383</v>
      </c>
      <c r="F37" s="336">
        <f ca="1">INDIRECT("'数据-取费表'!Al"&amp;$G$1)</f>
        <v>1.5E-3</v>
      </c>
      <c r="G37" s="1568"/>
      <c r="H37" s="2929"/>
      <c r="I37" s="1582"/>
      <c r="J37" s="1583"/>
      <c r="K37" s="2770"/>
      <c r="L37" s="2929"/>
      <c r="M37" s="2929"/>
    </row>
    <row r="38" spans="1:18" ht="18" customHeight="1" thickBot="1">
      <c r="A38" s="1249" t="s">
        <v>1354</v>
      </c>
      <c r="B38" s="1250" t="s">
        <v>1400</v>
      </c>
      <c r="C38" s="1251">
        <f ca="1">ROUND(C5*F38,1)</f>
        <v>24.8</v>
      </c>
      <c r="D38" s="1252" t="s">
        <v>1420</v>
      </c>
      <c r="E38" s="1250" t="s">
        <v>1383</v>
      </c>
      <c r="F38" s="1246">
        <f ca="1">INDIRECT("'数据-取费表'!Am"&amp;$G$1)</f>
        <v>0.01</v>
      </c>
      <c r="G38" s="1568"/>
      <c r="H38" s="2929"/>
      <c r="I38" s="1582"/>
      <c r="J38" s="1583"/>
      <c r="K38" s="2933"/>
      <c r="L38" s="2929"/>
      <c r="M38" s="2929"/>
    </row>
    <row r="39" spans="1:18" ht="24.6" customHeight="1" thickTop="1">
      <c r="A39" s="1239" t="s">
        <v>999</v>
      </c>
      <c r="B39" s="1254" t="s">
        <v>1424</v>
      </c>
      <c r="C39" s="316">
        <f ca="1">C5-C30</f>
        <v>761</v>
      </c>
      <c r="D39" s="1255" t="s">
        <v>1425</v>
      </c>
      <c r="E39" s="1256"/>
      <c r="F39" s="1257"/>
      <c r="G39" s="1568"/>
      <c r="H39" s="2929"/>
      <c r="I39" s="1582"/>
      <c r="J39" s="1583"/>
      <c r="K39" s="2933"/>
      <c r="L39" s="2929"/>
      <c r="M39" s="2929"/>
    </row>
    <row r="40" spans="1:18" ht="18" customHeight="1">
      <c r="A40" s="305" t="s">
        <v>1000</v>
      </c>
      <c r="B40" s="306" t="s">
        <v>1446</v>
      </c>
      <c r="C40" s="307">
        <f ca="1">ROUND(C39*(1-((1+F42)/(1+F40))^F41)/(F40-F42),0)</f>
        <v>15255</v>
      </c>
      <c r="D40" s="330" t="s">
        <v>1430</v>
      </c>
      <c r="E40" s="308" t="s">
        <v>1431</v>
      </c>
      <c r="F40" s="318">
        <f ca="1">INDIRECT("'数据-取费表'!I"&amp;$G$1)</f>
        <v>0.06</v>
      </c>
      <c r="G40" s="1568"/>
      <c r="H40" s="1645"/>
      <c r="I40" s="1582"/>
      <c r="J40" s="1583"/>
      <c r="K40" s="2933"/>
      <c r="L40" s="1645"/>
      <c r="M40" s="1645"/>
    </row>
    <row r="41" spans="1:18" ht="18" customHeight="1">
      <c r="A41" s="310"/>
      <c r="B41" s="311"/>
      <c r="C41" s="312"/>
      <c r="D41" s="338" t="s">
        <v>1447</v>
      </c>
      <c r="E41" s="308" t="s">
        <v>1435</v>
      </c>
      <c r="F41" s="339">
        <f ca="1">IF(INDIRECT("'数据-取费表'!af"&amp;$G$1)=0,INDIRECT("'数据-取费表'!ae"&amp;$G$1),INDIRECT("'数据-取费表'!af"&amp;$G$1))</f>
        <v>42.08</v>
      </c>
      <c r="G41" s="1568"/>
      <c r="H41" s="1353"/>
      <c r="I41" s="1582"/>
      <c r="J41" s="1583"/>
      <c r="K41" s="2770"/>
      <c r="L41" s="1353"/>
      <c r="M41" s="1353"/>
    </row>
    <row r="42" spans="1:18" ht="18" customHeight="1">
      <c r="A42" s="314"/>
      <c r="B42" s="315"/>
      <c r="C42" s="316"/>
      <c r="D42" s="333"/>
      <c r="E42" s="308" t="s">
        <v>1438</v>
      </c>
      <c r="F42" s="318">
        <f ca="1">INDIRECT("'数据-取费表'!v"&amp;$G$1)</f>
        <v>0.02</v>
      </c>
      <c r="G42" s="1568"/>
      <c r="H42" s="1353"/>
      <c r="I42" s="1582"/>
      <c r="J42" s="1583"/>
      <c r="K42" s="2770"/>
      <c r="L42" s="1353"/>
      <c r="M42" s="1353"/>
    </row>
    <row r="43" spans="1:18" ht="18" customHeight="1" thickBot="1">
      <c r="A43" s="340" t="s">
        <v>1001</v>
      </c>
      <c r="B43" s="341" t="s">
        <v>1448</v>
      </c>
      <c r="C43" s="342">
        <f ca="1">ROUND(C40*10000/F43,0)</f>
        <v>3149</v>
      </c>
      <c r="D43" s="343" t="s">
        <v>1449</v>
      </c>
      <c r="E43" s="344" t="s">
        <v>1450</v>
      </c>
      <c r="F43" s="345">
        <f ca="1">INDIRECT("'数据-取费表'!k"&amp;$G$1)</f>
        <v>48448.81</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1480</v>
      </c>
      <c r="P45" s="1645"/>
      <c r="Q45" s="1645"/>
      <c r="R45" s="1645"/>
    </row>
    <row r="46" spans="1:18" s="1568" customFormat="1" ht="13.5" thickBot="1">
      <c r="A46" s="1588" t="s">
        <v>1481</v>
      </c>
      <c r="C46" s="1589">
        <f ca="1">C68-C40</f>
        <v>-128210</v>
      </c>
      <c r="D46" s="1590" t="str">
        <f>C2</f>
        <v>万元</v>
      </c>
      <c r="E46" s="1584"/>
      <c r="F46" s="1584"/>
      <c r="I46" s="1591" t="s">
        <v>1482</v>
      </c>
      <c r="J46" s="1592"/>
      <c r="K46" s="1593"/>
      <c r="L46" s="1594" t="str">
        <f ca="1">IF(M47="住宅",0,IF(L48&gt;J51,L60,J60))</f>
        <v>0</v>
      </c>
      <c r="O46" s="1595" t="s">
        <v>1483</v>
      </c>
      <c r="P46" s="1596" t="s">
        <v>1484</v>
      </c>
      <c r="Q46" s="1597" t="s">
        <v>1485</v>
      </c>
      <c r="R46" s="1597" t="s">
        <v>1486</v>
      </c>
    </row>
    <row r="47" spans="1:18" s="1568" customFormat="1" ht="13.5" thickBot="1">
      <c r="A47" s="1077" t="s">
        <v>1357</v>
      </c>
      <c r="B47" s="1109" t="s">
        <v>1358</v>
      </c>
      <c r="C47" s="1277" t="s">
        <v>1359</v>
      </c>
      <c r="D47" s="1109" t="s">
        <v>1360</v>
      </c>
      <c r="E47" s="1189" t="s">
        <v>1361</v>
      </c>
      <c r="F47" s="1190"/>
      <c r="G47" s="731"/>
      <c r="I47" s="1598" t="s">
        <v>1487</v>
      </c>
      <c r="J47" s="1599" t="s">
        <v>3167</v>
      </c>
      <c r="K47" s="1600" t="s">
        <v>1488</v>
      </c>
      <c r="L47" s="1601">
        <f ca="1">INDIRECT("'数据-取费表'!d"&amp;$G$1)</f>
        <v>50</v>
      </c>
      <c r="M47" s="1564" t="str">
        <f>IF(ISNUMBER(FIND("住宅",C1)),"住宅","非住宅")</f>
        <v>非住宅</v>
      </c>
      <c r="O47" s="1602" t="s">
        <v>1008</v>
      </c>
      <c r="P47" s="1603" t="s">
        <v>1489</v>
      </c>
      <c r="Q47" s="1604">
        <f ca="1">C40+J29</f>
        <v>15255</v>
      </c>
      <c r="R47" s="1604" t="s">
        <v>1490</v>
      </c>
    </row>
    <row r="48" spans="1:18" s="1568" customFormat="1" ht="28.5" thickBot="1">
      <c r="A48" s="1270" t="s">
        <v>1103</v>
      </c>
      <c r="B48" s="306" t="s">
        <v>1362</v>
      </c>
      <c r="C48" s="3102">
        <f ca="1">C49+C53+C55</f>
        <v>0</v>
      </c>
      <c r="D48" s="1272"/>
      <c r="E48" s="1273"/>
      <c r="F48" s="1093"/>
      <c r="G48" s="731"/>
      <c r="H48" s="732"/>
      <c r="I48" s="1605" t="s">
        <v>1491</v>
      </c>
      <c r="J48" s="1606" t="s">
        <v>3166</v>
      </c>
      <c r="K48" s="1607" t="s">
        <v>1492</v>
      </c>
      <c r="L48" s="1608">
        <f ca="1">INDIRECT("'数据-取费表'!f"&amp;$G$1)</f>
        <v>42.08</v>
      </c>
      <c r="O48" s="1602" t="s">
        <v>1009</v>
      </c>
      <c r="P48" s="1603" t="s">
        <v>1493</v>
      </c>
      <c r="Q48" s="1604" t="str">
        <f ca="1">J60</f>
        <v>0</v>
      </c>
      <c r="R48" s="1604" t="s">
        <v>1494</v>
      </c>
    </row>
    <row r="49" spans="1:18" s="1568" customFormat="1" ht="13.5" thickBot="1">
      <c r="A49" s="1106" t="s">
        <v>1104</v>
      </c>
      <c r="B49" s="1555" t="s">
        <v>1451</v>
      </c>
      <c r="C49" s="1274">
        <f ca="1">ROUND(F49*F51*F50*(1-F52)/10000,0)</f>
        <v>0</v>
      </c>
      <c r="D49" s="1186" t="s">
        <v>2845</v>
      </c>
      <c r="E49" s="1556" t="s">
        <v>1452</v>
      </c>
      <c r="F49" s="1191"/>
      <c r="G49" s="1609"/>
      <c r="H49" s="732"/>
      <c r="I49" s="1605" t="s">
        <v>1495</v>
      </c>
      <c r="J49" s="1610">
        <v>2019</v>
      </c>
      <c r="K49" s="1607" t="s">
        <v>1496</v>
      </c>
      <c r="L49" s="1611"/>
      <c r="O49" s="1612" t="s">
        <v>1010</v>
      </c>
      <c r="P49" s="1603" t="s">
        <v>1497</v>
      </c>
      <c r="Q49" s="1604">
        <f ca="1">C29</f>
        <v>73066</v>
      </c>
      <c r="R49" s="1604" t="s">
        <v>1490</v>
      </c>
    </row>
    <row r="50" spans="1:18" s="1568" customFormat="1" ht="13.5" thickBot="1">
      <c r="A50" s="1107"/>
      <c r="B50" s="1110"/>
      <c r="C50" s="1278"/>
      <c r="D50" s="1084"/>
      <c r="E50" s="1187" t="s">
        <v>1367</v>
      </c>
      <c r="F50" s="1188">
        <f ca="1">F7</f>
        <v>48448.81</v>
      </c>
      <c r="H50" s="732"/>
      <c r="I50" s="1605" t="s">
        <v>1498</v>
      </c>
      <c r="J50" s="1613">
        <f>SUMPRODUCT((I63:I65=J47)*(J62:L62=J48)*(J63:L65))</f>
        <v>60</v>
      </c>
      <c r="K50" s="1607" t="s">
        <v>1499</v>
      </c>
      <c r="L50" s="1611"/>
      <c r="M50" s="1614"/>
      <c r="O50" s="1612" t="s">
        <v>1011</v>
      </c>
      <c r="P50" s="1603" t="s">
        <v>1500</v>
      </c>
      <c r="Q50" s="1615" t="e">
        <f ca="1">J58</f>
        <v>#VALUE!</v>
      </c>
      <c r="R50" s="1604"/>
    </row>
    <row r="51" spans="1:18" s="1568" customFormat="1" ht="13.5" thickBot="1">
      <c r="A51" s="1108"/>
      <c r="B51" s="1110"/>
      <c r="C51" s="1111"/>
      <c r="D51" s="1084"/>
      <c r="E51" s="1112" t="s">
        <v>1368</v>
      </c>
      <c r="F51" s="309">
        <f ca="1">F8</f>
        <v>365</v>
      </c>
      <c r="I51" s="1616" t="s">
        <v>1501</v>
      </c>
      <c r="J51" s="1617">
        <f>IF(J49="",J50,J49+J50-YEAR('数据-取费表'!B2))</f>
        <v>58</v>
      </c>
      <c r="K51" s="1618" t="s">
        <v>1502</v>
      </c>
      <c r="L51" s="1619">
        <f ca="1">ROUND(-PV(INDIRECT("'数据-取费表'!h"&amp;$G$1),J51,(C39-C13*C76),0),0)</f>
        <v>-79099</v>
      </c>
      <c r="M51" s="1620"/>
      <c r="O51" s="1612" t="s">
        <v>1012</v>
      </c>
      <c r="P51" s="1603" t="s">
        <v>1503</v>
      </c>
      <c r="Q51" s="1615">
        <f>J52</f>
        <v>0.08</v>
      </c>
      <c r="R51" s="1604"/>
    </row>
    <row r="52" spans="1:18" s="1568" customFormat="1" ht="13.5" thickBot="1">
      <c r="A52" s="1108"/>
      <c r="B52" s="1110"/>
      <c r="C52" s="1111"/>
      <c r="D52" s="1084"/>
      <c r="E52" s="1112" t="s">
        <v>1369</v>
      </c>
      <c r="F52" s="1185"/>
      <c r="I52" s="1621" t="s">
        <v>1504</v>
      </c>
      <c r="J52" s="1622">
        <v>0.08</v>
      </c>
      <c r="K52" s="1621" t="s">
        <v>1505</v>
      </c>
      <c r="L52" s="1622"/>
      <c r="O52" s="1612" t="s">
        <v>1013</v>
      </c>
      <c r="P52" s="1603" t="s">
        <v>1506</v>
      </c>
      <c r="Q52" s="1604">
        <f ca="1">J53</f>
        <v>42.08</v>
      </c>
      <c r="R52" s="1604" t="s">
        <v>1507</v>
      </c>
    </row>
    <row r="53" spans="1:18" s="1568" customFormat="1" ht="24.75" thickBot="1">
      <c r="A53" s="1314" t="s">
        <v>1105</v>
      </c>
      <c r="B53" s="1557" t="s">
        <v>1370</v>
      </c>
      <c r="C53" s="322">
        <f ca="1">ROUND(IF(F53="押一",C49/12*F11,IF(F53="押二",C49/12*2*F11,IF(F53="押三",C49/12*3*F11,C54*F11))),0)</f>
        <v>0</v>
      </c>
      <c r="D53" s="1550" t="s">
        <v>2853</v>
      </c>
      <c r="E53" s="319" t="s">
        <v>1371</v>
      </c>
      <c r="F53" s="1276"/>
      <c r="I53" s="1623" t="s">
        <v>1508</v>
      </c>
      <c r="J53" s="2386">
        <f ca="1">IF(M47="住宅",IF(D1="——",MAX(J51,L48),MAX(J51,L48-'数据-取费表'!B24)),IF(D1="——",MIN(J51,L48),MIN(J51,L48-'数据-取费表'!B24)))</f>
        <v>42.08</v>
      </c>
      <c r="K53" s="3405" t="s">
        <v>1509</v>
      </c>
      <c r="L53" s="3406"/>
      <c r="O53" s="1602" t="s">
        <v>1014</v>
      </c>
      <c r="P53" s="1603" t="s">
        <v>1510</v>
      </c>
      <c r="Q53" s="1604">
        <f ca="1">Q47+Q48</f>
        <v>15255</v>
      </c>
      <c r="R53" s="1604" t="s">
        <v>1015</v>
      </c>
    </row>
    <row r="54" spans="1:18" s="1568" customFormat="1" ht="13.5" thickBot="1">
      <c r="A54" s="1315"/>
      <c r="B54" s="1551" t="s">
        <v>1349</v>
      </c>
      <c r="C54" s="1090"/>
      <c r="D54" s="1550"/>
      <c r="E54" s="3097"/>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1511</v>
      </c>
      <c r="P54" s="1565"/>
      <c r="Q54" s="1565"/>
      <c r="R54" s="1565"/>
    </row>
    <row r="55" spans="1:18" s="1568" customFormat="1" ht="13.5" thickBot="1">
      <c r="A55" s="1243" t="s">
        <v>1043</v>
      </c>
      <c r="B55" s="1553" t="s">
        <v>1374</v>
      </c>
      <c r="C55" s="1244"/>
      <c r="D55" s="1550"/>
      <c r="E55" s="3097"/>
      <c r="F55" s="1624"/>
      <c r="I55" s="1627" t="s">
        <v>1512</v>
      </c>
      <c r="J55" s="1628" t="e">
        <f ca="1">ROUND(IF(J47="钢混",J57/J50,1-(1-2%)*(J50-J57)/J50),3)</f>
        <v>#VALUE!</v>
      </c>
      <c r="K55" s="1629" t="s">
        <v>1513</v>
      </c>
      <c r="L55" s="1630" t="s">
        <v>1514</v>
      </c>
      <c r="O55" s="1595" t="s">
        <v>1483</v>
      </c>
      <c r="P55" s="1596" t="s">
        <v>1484</v>
      </c>
      <c r="Q55" s="1597" t="s">
        <v>1485</v>
      </c>
      <c r="R55" s="1597" t="s">
        <v>1486</v>
      </c>
    </row>
    <row r="56" spans="1:18" s="1568" customFormat="1" ht="25.5" thickTop="1" thickBot="1">
      <c r="A56" s="1088">
        <v>2</v>
      </c>
      <c r="B56" s="1089" t="s">
        <v>1375</v>
      </c>
      <c r="C56" s="238">
        <f ca="1">C13</f>
        <v>70874</v>
      </c>
      <c r="D56" s="1631"/>
      <c r="E56" s="1632"/>
      <c r="F56" s="1624"/>
      <c r="I56" s="1633" t="s">
        <v>1515</v>
      </c>
      <c r="J56" s="1634" t="s">
        <v>3154</v>
      </c>
      <c r="K56" s="1605" t="s">
        <v>1516</v>
      </c>
      <c r="L56" s="1608" t="str">
        <f ca="1">IF(L48&lt;J51,"——",L48-J53)</f>
        <v>——</v>
      </c>
      <c r="O56" s="1602" t="s">
        <v>1008</v>
      </c>
      <c r="P56" s="1603" t="s">
        <v>1489</v>
      </c>
      <c r="Q56" s="1604">
        <f ca="1">C40+J29</f>
        <v>15255</v>
      </c>
      <c r="R56" s="1604" t="s">
        <v>1490</v>
      </c>
    </row>
    <row r="57" spans="1:18" s="1568" customFormat="1" ht="24.75" thickBot="1">
      <c r="A57" s="1635"/>
      <c r="B57" s="1081" t="s">
        <v>1439</v>
      </c>
      <c r="C57" s="244">
        <f ca="1">C29</f>
        <v>73066</v>
      </c>
      <c r="D57" s="1636"/>
      <c r="E57" s="1637"/>
      <c r="F57" s="1638"/>
      <c r="I57" s="1639" t="s">
        <v>1517</v>
      </c>
      <c r="J57" s="1640" t="str">
        <f ca="1">IF(OR(M47="住宅",J51&lt;L48,J56="是"),"——",J51-L48)</f>
        <v>——</v>
      </c>
      <c r="K57" s="1605" t="s">
        <v>1518</v>
      </c>
      <c r="L57" s="1608" t="str">
        <f ca="1">IF(L48&lt;J51,"——",IF(L55="比较法",L49,IF(L55="基准地价",L50,L51)))</f>
        <v>——</v>
      </c>
      <c r="O57" s="1602" t="s">
        <v>1009</v>
      </c>
      <c r="P57" s="1603" t="s">
        <v>1519</v>
      </c>
      <c r="Q57" s="1604">
        <f ca="1">L60</f>
        <v>0</v>
      </c>
      <c r="R57" s="1604" t="s">
        <v>1520</v>
      </c>
    </row>
    <row r="58" spans="1:18" s="1568" customFormat="1" ht="24.75" thickBot="1">
      <c r="A58" s="321" t="s">
        <v>998</v>
      </c>
      <c r="B58" s="1089" t="s">
        <v>1385</v>
      </c>
      <c r="C58" s="322">
        <f ca="1">ROUND(C59+C64+C65+C66,0)</f>
        <v>7416</v>
      </c>
      <c r="D58" s="1091" t="s">
        <v>1386</v>
      </c>
      <c r="E58" s="1092"/>
      <c r="F58" s="1093"/>
      <c r="I58" s="1639" t="s">
        <v>1521</v>
      </c>
      <c r="J58" s="1641" t="e">
        <f ca="1">IF(J55&lt;0.4,0.4,J55)</f>
        <v>#VALUE!</v>
      </c>
      <c r="K58" s="1618" t="s">
        <v>1522</v>
      </c>
      <c r="L58" s="1608" t="e">
        <f ca="1">ROUND(POWER(1+L52,L47-L48)*(POWER(1+L52,L48)-1)/(POWER(1+L52,L47)-1),4)</f>
        <v>#DIV/0!</v>
      </c>
      <c r="O58" s="1612" t="s">
        <v>1010</v>
      </c>
      <c r="P58" s="1603" t="s">
        <v>1523</v>
      </c>
      <c r="Q58" s="1604">
        <f>IF(L55="比较法",L49,IF(L55="基准地价",L50,0))</f>
        <v>0</v>
      </c>
      <c r="R58" s="1604" t="s">
        <v>1490</v>
      </c>
    </row>
    <row r="59" spans="1:18" s="1568" customFormat="1" ht="24.75" thickBot="1">
      <c r="A59" s="1113" t="s">
        <v>1003</v>
      </c>
      <c r="B59" s="1081" t="s">
        <v>1390</v>
      </c>
      <c r="C59" s="2534">
        <f ca="1">ROUND(IF(AND(项目基本情况!B11="自然人",项目基本情况!B10="北京市"),C49*F59/(1+'数据-取费表'!C42),C60+C61+C62),0)</f>
        <v>6214</v>
      </c>
      <c r="D59" s="1094" t="s">
        <v>1391</v>
      </c>
      <c r="E59" s="1095" t="s">
        <v>1392</v>
      </c>
      <c r="F59" s="2533" t="str">
        <f>IF(项目基本情况!B11="企业","——",IF('数据-取费表'!B10="住宅",IF(F49*F50*F51/12/(1+'数据-取费表'!F30)&gt;100000,4%,2.5%),IF(F49*F50*F51/12/(1+'数据-取费表'!F30)&gt;100000,12%,7%)))</f>
        <v>——</v>
      </c>
      <c r="I59" s="1639" t="s">
        <v>1524</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1525</v>
      </c>
      <c r="Q59" s="1615">
        <f>L52</f>
        <v>0</v>
      </c>
      <c r="R59" s="1604"/>
    </row>
    <row r="60" spans="1:18" s="1568" customFormat="1" ht="16.5" thickBot="1">
      <c r="A60" s="1113" t="s">
        <v>1002</v>
      </c>
      <c r="B60" s="1081" t="s">
        <v>1394</v>
      </c>
      <c r="C60" s="24">
        <f ca="1">IF(项目基本情况!B11="自然人","——",ROUND(C48*F60/(1+'数据-取费表'!C42),2))</f>
        <v>0</v>
      </c>
      <c r="D60" s="1095" t="s">
        <v>1395</v>
      </c>
      <c r="E60" s="1081" t="s">
        <v>1383</v>
      </c>
      <c r="F60" s="337">
        <f t="shared" ref="F60:F66" si="0">F32</f>
        <v>5.6000000000000001E-2</v>
      </c>
      <c r="I60" s="1642" t="s">
        <v>1526</v>
      </c>
      <c r="J60" s="1643" t="str">
        <f ca="1">IF(OR(M47="住宅",J51&lt;L48,J56="是"),"0",ROUND(J59/(1+J52)^J53,0))</f>
        <v>0</v>
      </c>
      <c r="K60" s="1644" t="s">
        <v>1527</v>
      </c>
      <c r="L60" s="1643">
        <f ca="1">IF(OR(M47="住宅",L48&lt;J51),0,ROUND(L57*(L58/L59-1),0))</f>
        <v>0</v>
      </c>
      <c r="O60" s="1612" t="s">
        <v>1012</v>
      </c>
      <c r="P60" s="1603" t="s">
        <v>1528</v>
      </c>
      <c r="Q60" s="1604" t="e">
        <f ca="1">L58</f>
        <v>#DIV/0!</v>
      </c>
      <c r="R60" s="1604" t="s">
        <v>1529</v>
      </c>
    </row>
    <row r="61" spans="1:18" s="1568" customFormat="1" ht="13.5" thickBot="1">
      <c r="A61" s="1113" t="s">
        <v>1453</v>
      </c>
      <c r="B61" s="1081" t="s">
        <v>1398</v>
      </c>
      <c r="C61" s="24">
        <f ca="1">IF(项目基本情况!B11="自然人","——",IF(D61="按租金收入计税",ROUND(C49*F61/(1+'数据-取费表'!C42),2),IF(D61="按房产原值计税",ROUND(C57*F61*0.7,2),INDIRECT("'数据-取费表'!Aj"&amp;$G$1))))</f>
        <v>6137.54</v>
      </c>
      <c r="D61" s="1554" t="s">
        <v>1399</v>
      </c>
      <c r="E61" s="1081" t="s">
        <v>1383</v>
      </c>
      <c r="F61" s="328">
        <f t="shared" si="0"/>
        <v>0.12</v>
      </c>
      <c r="I61" s="1645"/>
      <c r="J61" s="1645"/>
      <c r="K61" s="1645"/>
      <c r="L61" s="1645"/>
      <c r="O61" s="1612" t="s">
        <v>1013</v>
      </c>
      <c r="P61" s="1603" t="str">
        <f>K59</f>
        <v>建筑物剩余耐用年限下的土地年期修正系数Kn</v>
      </c>
      <c r="Q61" s="1604" t="e">
        <f ca="1">L59</f>
        <v>#DIV/0!</v>
      </c>
      <c r="R61" s="1604" t="s">
        <v>1530</v>
      </c>
    </row>
    <row r="62" spans="1:18" s="1568" customFormat="1" ht="13.5" thickBot="1">
      <c r="A62" s="1113" t="s">
        <v>1456</v>
      </c>
      <c r="B62" s="1080" t="s">
        <v>1457</v>
      </c>
      <c r="C62" s="25">
        <f ca="1">IF(项目基本情况!B11="自然人","——",ROUND(F62*F63/10000,2))</f>
        <v>76.41</v>
      </c>
      <c r="D62" s="1096" t="s">
        <v>1403</v>
      </c>
      <c r="E62" s="1081" t="s">
        <v>1404</v>
      </c>
      <c r="F62" s="331">
        <f t="shared" si="0"/>
        <v>11.2</v>
      </c>
      <c r="I62" s="1646" t="s">
        <v>1531</v>
      </c>
      <c r="J62" s="1647" t="s">
        <v>1532</v>
      </c>
      <c r="K62" s="1647" t="s">
        <v>1533</v>
      </c>
      <c r="L62" s="1647" t="s">
        <v>1534</v>
      </c>
      <c r="M62" s="1648" t="s">
        <v>1535</v>
      </c>
      <c r="O62" s="1602" t="s">
        <v>1014</v>
      </c>
      <c r="P62" s="1603" t="s">
        <v>1510</v>
      </c>
      <c r="Q62" s="1604">
        <f ca="1">Q56+Q57</f>
        <v>15255</v>
      </c>
      <c r="R62" s="1604" t="s">
        <v>1015</v>
      </c>
    </row>
    <row r="63" spans="1:18" s="1568" customFormat="1" ht="13.5" thickBot="1">
      <c r="A63" s="332"/>
      <c r="B63" s="1087"/>
      <c r="C63" s="29"/>
      <c r="D63" s="1097"/>
      <c r="E63" s="1081" t="s">
        <v>1408</v>
      </c>
      <c r="F63" s="309">
        <f t="shared" ca="1" si="0"/>
        <v>68221.41</v>
      </c>
      <c r="I63" s="1646" t="s">
        <v>1537</v>
      </c>
      <c r="J63" s="1647">
        <v>70</v>
      </c>
      <c r="K63" s="1647">
        <v>50</v>
      </c>
      <c r="L63" s="1647">
        <v>80</v>
      </c>
      <c r="M63" s="1649">
        <v>0.02</v>
      </c>
      <c r="O63" s="1587" t="s">
        <v>1538</v>
      </c>
      <c r="P63" s="1565"/>
      <c r="Q63" s="1565"/>
      <c r="R63" s="1565"/>
    </row>
    <row r="64" spans="1:18" s="1568" customFormat="1" ht="13.5" thickBot="1">
      <c r="A64" s="1113" t="s">
        <v>1461</v>
      </c>
      <c r="B64" s="1081" t="s">
        <v>1462</v>
      </c>
      <c r="C64" s="24">
        <f ca="1">ROUND(C57*F64,1)</f>
        <v>1096</v>
      </c>
      <c r="D64" s="1095" t="s">
        <v>1463</v>
      </c>
      <c r="E64" s="1081" t="s">
        <v>1383</v>
      </c>
      <c r="F64" s="334">
        <f t="shared" ca="1" si="0"/>
        <v>1.4999999999999999E-2</v>
      </c>
      <c r="I64" s="1646" t="s">
        <v>1539</v>
      </c>
      <c r="J64" s="1647">
        <v>50</v>
      </c>
      <c r="K64" s="1647">
        <v>35</v>
      </c>
      <c r="L64" s="1647">
        <v>60</v>
      </c>
      <c r="M64" s="1648">
        <v>0</v>
      </c>
      <c r="O64" s="1595" t="s">
        <v>1483</v>
      </c>
      <c r="P64" s="1596" t="s">
        <v>1484</v>
      </c>
      <c r="Q64" s="1597" t="s">
        <v>1485</v>
      </c>
      <c r="R64" s="1597" t="s">
        <v>1486</v>
      </c>
    </row>
    <row r="65" spans="1:18" s="1568" customFormat="1" ht="13.5" thickBot="1">
      <c r="A65" s="1113" t="s">
        <v>1464</v>
      </c>
      <c r="B65" s="1081" t="s">
        <v>1414</v>
      </c>
      <c r="C65" s="24">
        <f ca="1">ROUND(C56*F65,1)</f>
        <v>106.3</v>
      </c>
      <c r="D65" s="1095" t="s">
        <v>1415</v>
      </c>
      <c r="E65" s="1081" t="s">
        <v>1383</v>
      </c>
      <c r="F65" s="336">
        <f t="shared" ca="1" si="0"/>
        <v>1.5E-3</v>
      </c>
      <c r="I65" s="1646" t="s">
        <v>1540</v>
      </c>
      <c r="J65" s="1647">
        <v>40</v>
      </c>
      <c r="K65" s="1647">
        <v>30</v>
      </c>
      <c r="L65" s="1647">
        <v>50</v>
      </c>
      <c r="M65" s="1649">
        <v>0.02</v>
      </c>
      <c r="O65" s="1602" t="s">
        <v>1008</v>
      </c>
      <c r="P65" s="1603" t="s">
        <v>1541</v>
      </c>
      <c r="Q65" s="1604">
        <f ca="1">C40+J29</f>
        <v>15255</v>
      </c>
      <c r="R65" s="1604" t="s">
        <v>1490</v>
      </c>
    </row>
    <row r="66" spans="1:18" s="1568" customFormat="1" ht="16.5" thickBot="1">
      <c r="A66" s="1113" t="s">
        <v>1465</v>
      </c>
      <c r="B66" s="1081" t="s">
        <v>1400</v>
      </c>
      <c r="C66" s="24">
        <f ca="1">ROUND(C48*F66,1)</f>
        <v>0</v>
      </c>
      <c r="D66" s="1095" t="s">
        <v>1466</v>
      </c>
      <c r="E66" s="1081" t="s">
        <v>1383</v>
      </c>
      <c r="F66" s="318">
        <f t="shared" ca="1" si="0"/>
        <v>0.01</v>
      </c>
      <c r="O66" s="1602" t="s">
        <v>1009</v>
      </c>
      <c r="P66" s="1603" t="s">
        <v>1519</v>
      </c>
      <c r="Q66" s="1604">
        <f ca="1">L60</f>
        <v>0</v>
      </c>
      <c r="R66" s="1604" t="s">
        <v>1542</v>
      </c>
    </row>
    <row r="67" spans="1:18" s="1568" customFormat="1" ht="16.5" thickBot="1">
      <c r="A67" s="1088" t="s">
        <v>999</v>
      </c>
      <c r="B67" s="1098" t="s">
        <v>1424</v>
      </c>
      <c r="C67" s="322">
        <f ca="1">C48-C58</f>
        <v>-7416</v>
      </c>
      <c r="D67" s="1094" t="s">
        <v>1425</v>
      </c>
      <c r="E67" s="1099"/>
      <c r="F67" s="1100"/>
      <c r="O67" s="1612" t="s">
        <v>1010</v>
      </c>
      <c r="P67" s="1603" t="s">
        <v>1523</v>
      </c>
      <c r="Q67" s="1650">
        <f ca="1">L51</f>
        <v>-79099</v>
      </c>
      <c r="R67" s="1604" t="s">
        <v>1543</v>
      </c>
    </row>
    <row r="68" spans="1:18" s="1568" customFormat="1" ht="16.5" thickBot="1">
      <c r="A68" s="1078" t="s">
        <v>1000</v>
      </c>
      <c r="B68" s="1079" t="s">
        <v>1446</v>
      </c>
      <c r="C68" s="307">
        <f ca="1">ROUND(C67*(1-((1+F70)/(1+F68))^F69)/(F68-F70),0)</f>
        <v>-112955</v>
      </c>
      <c r="D68" s="1096" t="s">
        <v>1430</v>
      </c>
      <c r="E68" s="1081" t="s">
        <v>1431</v>
      </c>
      <c r="F68" s="318">
        <f ca="1">F40</f>
        <v>0.06</v>
      </c>
      <c r="O68" s="1612" t="s">
        <v>1011</v>
      </c>
      <c r="P68" s="1651" t="s">
        <v>1544</v>
      </c>
      <c r="Q68" s="1604">
        <f ca="1">ROUND(Q69-Q70*Q71,0)</f>
        <v>-4555</v>
      </c>
      <c r="R68" s="1604" t="s">
        <v>1019</v>
      </c>
    </row>
    <row r="69" spans="1:18" s="1568" customFormat="1" ht="13.5" thickBot="1">
      <c r="A69" s="1082"/>
      <c r="B69" s="1083"/>
      <c r="C69" s="312"/>
      <c r="D69" s="1101" t="s">
        <v>1434</v>
      </c>
      <c r="E69" s="1081" t="s">
        <v>1435</v>
      </c>
      <c r="F69" s="339">
        <f ca="1">F41</f>
        <v>42.08</v>
      </c>
      <c r="O69" s="1612" t="s">
        <v>1016</v>
      </c>
      <c r="P69" s="1651" t="s">
        <v>1545</v>
      </c>
      <c r="Q69" s="1604">
        <f ca="1">C39</f>
        <v>761</v>
      </c>
      <c r="R69" s="1604" t="s">
        <v>1490</v>
      </c>
    </row>
    <row r="70" spans="1:18" s="1568" customFormat="1" ht="13.5" thickBot="1">
      <c r="A70" s="1085"/>
      <c r="B70" s="1086"/>
      <c r="C70" s="316"/>
      <c r="D70" s="1097"/>
      <c r="E70" s="1081" t="s">
        <v>1438</v>
      </c>
      <c r="F70" s="1185"/>
      <c r="O70" s="1612" t="s">
        <v>1017</v>
      </c>
      <c r="P70" s="1651" t="s">
        <v>1546</v>
      </c>
      <c r="Q70" s="1604">
        <f ca="1">C13</f>
        <v>70874</v>
      </c>
      <c r="R70" s="1604" t="s">
        <v>1490</v>
      </c>
    </row>
    <row r="71" spans="1:18" s="1568" customFormat="1" ht="13.5" thickBot="1">
      <c r="A71" s="1102" t="s">
        <v>1001</v>
      </c>
      <c r="B71" s="1103" t="s">
        <v>1448</v>
      </c>
      <c r="C71" s="342">
        <f ca="1">ROUND(C68*10000/F71,0)</f>
        <v>-23314</v>
      </c>
      <c r="D71" s="1104" t="s">
        <v>1449</v>
      </c>
      <c r="E71" s="1105" t="s">
        <v>1450</v>
      </c>
      <c r="F71" s="345">
        <f ca="1">F43</f>
        <v>48448.81</v>
      </c>
      <c r="O71" s="1612" t="s">
        <v>1018</v>
      </c>
      <c r="P71" s="1651" t="s">
        <v>1547</v>
      </c>
      <c r="Q71" s="1615">
        <f ca="1">C76</f>
        <v>7.4999999999999997E-2</v>
      </c>
      <c r="R71" s="1604"/>
    </row>
    <row r="72" spans="1:18" s="1568" customFormat="1" ht="13.5" thickBot="1">
      <c r="B72" s="735"/>
      <c r="C72" s="735"/>
      <c r="O72" s="1612" t="s">
        <v>1012</v>
      </c>
      <c r="P72" s="1603" t="s">
        <v>1525</v>
      </c>
      <c r="Q72" s="1615">
        <f>L52</f>
        <v>0</v>
      </c>
      <c r="R72" s="1604"/>
    </row>
    <row r="73" spans="1:18" ht="16.5" thickBot="1">
      <c r="A73" s="1568"/>
      <c r="B73" s="735"/>
      <c r="C73" s="735"/>
      <c r="D73" s="1568"/>
      <c r="E73" s="1568"/>
      <c r="F73" s="1568"/>
      <c r="O73" s="1612" t="s">
        <v>1013</v>
      </c>
      <c r="P73" s="1603" t="s">
        <v>1528</v>
      </c>
      <c r="Q73" s="1604" t="e">
        <f ca="1">L58</f>
        <v>#DIV/0!</v>
      </c>
      <c r="R73" s="1604" t="s">
        <v>1529</v>
      </c>
    </row>
    <row r="74" spans="1:18" ht="13.5" thickBot="1">
      <c r="A74" s="1568"/>
      <c r="B74" s="279" t="s">
        <v>1548</v>
      </c>
      <c r="C74" s="1653"/>
      <c r="D74" s="1568"/>
      <c r="E74" s="1568"/>
      <c r="F74" s="1568"/>
      <c r="O74" s="1612" t="s">
        <v>1020</v>
      </c>
      <c r="P74" s="1603" t="str">
        <f>K59</f>
        <v>建筑物剩余耐用年限下的土地年期修正系数Kn</v>
      </c>
      <c r="Q74" s="1604" t="e">
        <f ca="1">L59</f>
        <v>#DIV/0!</v>
      </c>
      <c r="R74" s="1604" t="s">
        <v>1530</v>
      </c>
    </row>
    <row r="75" spans="1:18" ht="13.5" thickBot="1">
      <c r="A75" s="1568"/>
      <c r="B75" s="346" t="s">
        <v>1467</v>
      </c>
      <c r="C75" s="347">
        <f ca="1">ROUND(C13*C76,0)</f>
        <v>5316</v>
      </c>
      <c r="D75" s="1568"/>
      <c r="E75" s="1568"/>
      <c r="F75" s="1568"/>
      <c r="K75" s="1586"/>
      <c r="L75" s="1568"/>
      <c r="O75" s="1602" t="s">
        <v>1014</v>
      </c>
      <c r="P75" s="1603" t="s">
        <v>1510</v>
      </c>
      <c r="Q75" s="1604">
        <f ca="1">Q65+Q66</f>
        <v>15255</v>
      </c>
      <c r="R75" s="1604" t="s">
        <v>1015</v>
      </c>
    </row>
    <row r="76" spans="1:18">
      <c r="B76" s="348" t="s">
        <v>1468</v>
      </c>
      <c r="C76" s="349">
        <f ca="1">INDIRECT("'数据-取费表'!j"&amp;$G$1)</f>
        <v>7.4999999999999997E-2</v>
      </c>
      <c r="I76" s="1568"/>
      <c r="J76" s="1568"/>
      <c r="K76" s="1586"/>
      <c r="L76" s="1568"/>
    </row>
    <row r="77" spans="1:18">
      <c r="B77" s="350" t="s">
        <v>1469</v>
      </c>
      <c r="C77" s="351"/>
      <c r="I77" s="1568"/>
      <c r="J77" s="1568"/>
      <c r="K77" s="1586"/>
      <c r="L77" s="1568"/>
    </row>
    <row r="78" spans="1:18">
      <c r="B78" s="276" t="s">
        <v>1470</v>
      </c>
      <c r="C78" s="352"/>
    </row>
    <row r="79" spans="1:18">
      <c r="B79" s="346" t="s">
        <v>1471</v>
      </c>
      <c r="C79" s="280">
        <f ca="1">1-C80</f>
        <v>-5.9859999999999998</v>
      </c>
    </row>
    <row r="80" spans="1:18">
      <c r="B80" s="346" t="s">
        <v>1472</v>
      </c>
      <c r="C80" s="280">
        <f ca="1">ROUND(C75/C39,3)</f>
        <v>6.9859999999999998</v>
      </c>
    </row>
    <row r="81" spans="2:3">
      <c r="B81" s="276" t="s">
        <v>1473</v>
      </c>
      <c r="C81" s="244"/>
    </row>
    <row r="82" spans="2:3">
      <c r="B82" s="279" t="s">
        <v>1474</v>
      </c>
      <c r="C82" s="281">
        <f ca="1">1-C83</f>
        <v>-3.6459999999999999</v>
      </c>
    </row>
    <row r="83" spans="2:3">
      <c r="B83" s="279" t="s">
        <v>1475</v>
      </c>
      <c r="C83" s="280">
        <f ca="1">ROUND(C13/C40,3)</f>
        <v>4.6459999999999999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xr:uid="{00000000-0002-0000-2F00-000000000000}">
      <formula1>"在建（套用方法）,土地（套用方法）,——"</formula1>
    </dataValidation>
    <dataValidation type="list" allowBlank="1" showInputMessage="1" showErrorMessage="1" sqref="M10 F10 F53" xr:uid="{00000000-0002-0000-2F00-000001000000}">
      <formula1>"押一,押二,押三,自定义"</formula1>
    </dataValidation>
    <dataValidation type="list" allowBlank="1" showInputMessage="1" showErrorMessage="1" sqref="L55" xr:uid="{00000000-0002-0000-2F00-000002000000}">
      <formula1>"比较法,基准地价,收益还原"</formula1>
    </dataValidation>
    <dataValidation type="list" allowBlank="1" showInputMessage="1" showErrorMessage="1" sqref="J56" xr:uid="{00000000-0002-0000-2F00-000003000000}">
      <formula1>判定</formula1>
    </dataValidation>
    <dataValidation type="list" allowBlank="1" showInputMessage="1" showErrorMessage="1" sqref="J48" xr:uid="{00000000-0002-0000-2F00-000004000000}">
      <formula1>"非生产用房,生产用房,受腐蚀的生产用房"</formula1>
    </dataValidation>
    <dataValidation type="list" allowBlank="1" showInputMessage="1" showErrorMessage="1" sqref="J47" xr:uid="{00000000-0002-0000-2F00-000005000000}">
      <formula1>"钢,钢混,砖混"</formula1>
    </dataValidation>
    <dataValidation type="list" allowBlank="1" showInputMessage="1" showErrorMessage="1" sqref="C1" xr:uid="{00000000-0002-0000-2F00-000006000000}">
      <formula1>项目类型</formula1>
    </dataValidation>
    <dataValidation type="list" allowBlank="1" showInputMessage="1" showErrorMessage="1" sqref="D33 D61" xr:uid="{00000000-0002-0000-2F00-000007000000}">
      <formula1>"按租金收入计税,按房产原值计税,按票据"</formula1>
    </dataValidation>
    <dataValidation type="list" allowBlank="1" showInputMessage="1" showErrorMessage="1" sqref="K19" xr:uid="{00000000-0002-0000-2F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Q20"/>
  <sheetViews>
    <sheetView workbookViewId="0">
      <selection activeCell="N1" sqref="N1:N1048576"/>
    </sheetView>
  </sheetViews>
  <sheetFormatPr defaultRowHeight="13.5"/>
  <cols>
    <col min="1" max="1" width="12.375" customWidth="1"/>
    <col min="2" max="2" width="0" hidden="1" customWidth="1"/>
    <col min="6" max="6" width="26.75" customWidth="1"/>
    <col min="7" max="7" width="0" hidden="1" customWidth="1"/>
    <col min="9" max="9" width="0" hidden="1" customWidth="1"/>
    <col min="11" max="11" width="43.5" customWidth="1"/>
  </cols>
  <sheetData>
    <row r="1" spans="1:17">
      <c r="A1" s="3079" t="s">
        <v>3070</v>
      </c>
      <c r="B1" s="3079" t="s">
        <v>3071</v>
      </c>
      <c r="C1" s="3079" t="s">
        <v>3072</v>
      </c>
      <c r="D1" s="3079" t="s">
        <v>3073</v>
      </c>
      <c r="E1" s="3079" t="s">
        <v>3074</v>
      </c>
      <c r="F1" s="3079" t="s">
        <v>3075</v>
      </c>
      <c r="G1" s="3079" t="s">
        <v>3076</v>
      </c>
      <c r="H1" s="3079" t="s">
        <v>3077</v>
      </c>
      <c r="I1" s="3079" t="s">
        <v>3078</v>
      </c>
      <c r="J1" s="3079" t="s">
        <v>3079</v>
      </c>
      <c r="K1" s="3079" t="s">
        <v>3080</v>
      </c>
      <c r="L1" s="3079" t="s">
        <v>3081</v>
      </c>
      <c r="M1" s="3079" t="s">
        <v>3082</v>
      </c>
      <c r="N1" s="3079" t="s">
        <v>3083</v>
      </c>
      <c r="O1" s="3082" t="s">
        <v>3151</v>
      </c>
      <c r="P1" s="3079" t="s">
        <v>3084</v>
      </c>
      <c r="Q1" s="3079" t="s">
        <v>3085</v>
      </c>
    </row>
    <row r="2" spans="1:17">
      <c r="A2" s="3079" t="s">
        <v>3086</v>
      </c>
      <c r="B2" s="3079" t="s">
        <v>3087</v>
      </c>
      <c r="C2" s="3079" t="s">
        <v>3088</v>
      </c>
      <c r="D2" s="3079">
        <v>10176</v>
      </c>
      <c r="E2" s="3079">
        <v>35616</v>
      </c>
      <c r="F2" s="3079" t="s">
        <v>3089</v>
      </c>
      <c r="G2" s="3079" t="s">
        <v>3090</v>
      </c>
      <c r="H2" s="3079" t="s">
        <v>3091</v>
      </c>
      <c r="I2" s="3079">
        <v>0</v>
      </c>
      <c r="J2" s="3079" t="s">
        <v>3092</v>
      </c>
      <c r="K2" s="3079" t="s">
        <v>3093</v>
      </c>
      <c r="L2" s="3079">
        <v>6128</v>
      </c>
      <c r="M2" s="3079">
        <v>6128</v>
      </c>
      <c r="N2" s="3079">
        <v>1720.57</v>
      </c>
      <c r="O2" s="3079">
        <f>ROUND(M2/D2*10000,0)</f>
        <v>6022</v>
      </c>
      <c r="P2" s="3079">
        <v>0</v>
      </c>
      <c r="Q2" s="3079" t="s">
        <v>3094</v>
      </c>
    </row>
    <row r="3" spans="1:17" s="3081" customFormat="1">
      <c r="A3" s="3080" t="s">
        <v>3095</v>
      </c>
      <c r="B3" s="3080" t="s">
        <v>3087</v>
      </c>
      <c r="C3" s="3080" t="s">
        <v>3088</v>
      </c>
      <c r="D3" s="3080">
        <v>6327</v>
      </c>
      <c r="E3" s="3080">
        <v>18981</v>
      </c>
      <c r="F3" s="3080" t="s">
        <v>3096</v>
      </c>
      <c r="G3" s="3080" t="s">
        <v>3090</v>
      </c>
      <c r="H3" s="3080" t="s">
        <v>3097</v>
      </c>
      <c r="I3" s="3080">
        <v>0</v>
      </c>
      <c r="J3" s="3080" t="s">
        <v>3098</v>
      </c>
      <c r="K3" s="3080" t="s">
        <v>3099</v>
      </c>
      <c r="L3" s="3080">
        <v>6043</v>
      </c>
      <c r="M3" s="3080">
        <v>6043</v>
      </c>
      <c r="N3" s="3080">
        <v>3183.71</v>
      </c>
      <c r="O3" s="3080">
        <f t="shared" ref="O3:O20" si="0">ROUND(M3/D3*10000,0)</f>
        <v>9551</v>
      </c>
      <c r="P3" s="3080">
        <v>0</v>
      </c>
      <c r="Q3" s="3080" t="s">
        <v>3100</v>
      </c>
    </row>
    <row r="4" spans="1:17" s="3081" customFormat="1">
      <c r="A4" s="3080" t="s">
        <v>3101</v>
      </c>
      <c r="B4" s="3080" t="s">
        <v>3087</v>
      </c>
      <c r="C4" s="3080" t="s">
        <v>3088</v>
      </c>
      <c r="D4" s="3080">
        <v>63477</v>
      </c>
      <c r="E4" s="3080">
        <v>222169.5</v>
      </c>
      <c r="F4" s="3080" t="s">
        <v>3089</v>
      </c>
      <c r="G4" s="3080" t="s">
        <v>3090</v>
      </c>
      <c r="H4" s="3080" t="s">
        <v>3091</v>
      </c>
      <c r="I4" s="3080">
        <v>0</v>
      </c>
      <c r="J4" s="3080" t="s">
        <v>3098</v>
      </c>
      <c r="K4" s="3080" t="s">
        <v>3099</v>
      </c>
      <c r="L4" s="3080">
        <v>54348</v>
      </c>
      <c r="M4" s="3080">
        <v>54348</v>
      </c>
      <c r="N4" s="3080">
        <v>2446.23</v>
      </c>
      <c r="O4" s="3080">
        <f t="shared" si="0"/>
        <v>8562</v>
      </c>
      <c r="P4" s="3080">
        <v>0</v>
      </c>
      <c r="Q4" s="3080" t="s">
        <v>3100</v>
      </c>
    </row>
    <row r="5" spans="1:17">
      <c r="A5" s="3079" t="s">
        <v>3102</v>
      </c>
      <c r="B5" s="3079" t="s">
        <v>3087</v>
      </c>
      <c r="C5" s="3079" t="s">
        <v>3088</v>
      </c>
      <c r="D5" s="3079">
        <v>18965</v>
      </c>
      <c r="E5" s="3079">
        <v>66377.5</v>
      </c>
      <c r="F5" s="3079" t="s">
        <v>3089</v>
      </c>
      <c r="G5" s="3079" t="s">
        <v>3090</v>
      </c>
      <c r="H5" s="3079" t="s">
        <v>3091</v>
      </c>
      <c r="I5" s="3079">
        <v>0</v>
      </c>
      <c r="J5" s="3079" t="s">
        <v>3103</v>
      </c>
      <c r="K5" s="3079" t="s">
        <v>3104</v>
      </c>
      <c r="L5" s="3079">
        <v>7397</v>
      </c>
      <c r="M5" s="3079">
        <v>7397</v>
      </c>
      <c r="N5" s="3079">
        <v>1114.3800000000001</v>
      </c>
      <c r="O5" s="3079">
        <f t="shared" si="0"/>
        <v>3900</v>
      </c>
      <c r="P5" s="3079">
        <v>0</v>
      </c>
      <c r="Q5" s="3079" t="s">
        <v>3094</v>
      </c>
    </row>
    <row r="6" spans="1:17" s="3084" customFormat="1">
      <c r="A6" s="3165" t="s">
        <v>3518</v>
      </c>
      <c r="B6" s="3083" t="s">
        <v>3087</v>
      </c>
      <c r="C6" s="3083" t="s">
        <v>3088</v>
      </c>
      <c r="D6" s="3083">
        <v>10059</v>
      </c>
      <c r="E6" s="3083">
        <v>25147.5</v>
      </c>
      <c r="F6" s="3083" t="s">
        <v>3105</v>
      </c>
      <c r="G6" s="3083" t="s">
        <v>3090</v>
      </c>
      <c r="H6" s="3083" t="s">
        <v>3091</v>
      </c>
      <c r="I6" s="3083">
        <v>0</v>
      </c>
      <c r="J6" s="3083" t="s">
        <v>3106</v>
      </c>
      <c r="K6" s="3083" t="s">
        <v>3107</v>
      </c>
      <c r="L6" s="3083">
        <v>3923</v>
      </c>
      <c r="M6" s="3083">
        <v>3923</v>
      </c>
      <c r="N6" s="3083">
        <v>1560</v>
      </c>
      <c r="O6" s="3083">
        <f t="shared" si="0"/>
        <v>3900</v>
      </c>
      <c r="P6" s="3083">
        <v>0</v>
      </c>
      <c r="Q6" s="3083" t="s">
        <v>3094</v>
      </c>
    </row>
    <row r="7" spans="1:17" s="3081" customFormat="1">
      <c r="A7" s="3080" t="s">
        <v>3108</v>
      </c>
      <c r="B7" s="3080" t="s">
        <v>3087</v>
      </c>
      <c r="C7" s="3080" t="s">
        <v>3088</v>
      </c>
      <c r="D7" s="3080">
        <v>52581</v>
      </c>
      <c r="E7" s="3080">
        <v>131452.5</v>
      </c>
      <c r="F7" s="3080" t="s">
        <v>3105</v>
      </c>
      <c r="G7" s="3080" t="s">
        <v>3090</v>
      </c>
      <c r="H7" s="3080" t="s">
        <v>3109</v>
      </c>
      <c r="I7" s="3080">
        <v>0</v>
      </c>
      <c r="J7" s="3080" t="s">
        <v>3106</v>
      </c>
      <c r="K7" s="3080" t="s">
        <v>3110</v>
      </c>
      <c r="L7" s="3080">
        <v>31833</v>
      </c>
      <c r="M7" s="3080">
        <v>31833</v>
      </c>
      <c r="N7" s="3080">
        <v>2421.63</v>
      </c>
      <c r="O7" s="3080">
        <f t="shared" si="0"/>
        <v>6054</v>
      </c>
      <c r="P7" s="3080">
        <v>0</v>
      </c>
      <c r="Q7" s="3080" t="s">
        <v>3094</v>
      </c>
    </row>
    <row r="8" spans="1:17" s="3081" customFormat="1">
      <c r="A8" s="3080" t="s">
        <v>3111</v>
      </c>
      <c r="B8" s="3080" t="s">
        <v>3087</v>
      </c>
      <c r="C8" s="3080" t="s">
        <v>3088</v>
      </c>
      <c r="D8" s="3080">
        <v>220228</v>
      </c>
      <c r="E8" s="3080">
        <v>528547.19999999995</v>
      </c>
      <c r="F8" s="3080" t="s">
        <v>3112</v>
      </c>
      <c r="G8" s="3080" t="s">
        <v>3090</v>
      </c>
      <c r="H8" s="3080" t="s">
        <v>3109</v>
      </c>
      <c r="I8" s="3080">
        <v>0</v>
      </c>
      <c r="J8" s="3080" t="s">
        <v>3113</v>
      </c>
      <c r="K8" s="3080" t="s">
        <v>3099</v>
      </c>
      <c r="L8" s="3080">
        <v>156109</v>
      </c>
      <c r="M8" s="3080">
        <v>156109</v>
      </c>
      <c r="N8" s="3080">
        <v>2953.55</v>
      </c>
      <c r="O8" s="3080">
        <f t="shared" si="0"/>
        <v>7089</v>
      </c>
      <c r="P8" s="3080">
        <v>0</v>
      </c>
      <c r="Q8" s="3080" t="s">
        <v>3100</v>
      </c>
    </row>
    <row r="9" spans="1:17">
      <c r="A9" s="3079" t="s">
        <v>3114</v>
      </c>
      <c r="B9" s="3079" t="s">
        <v>3087</v>
      </c>
      <c r="C9" s="3079" t="s">
        <v>3088</v>
      </c>
      <c r="D9" s="3079">
        <v>3486.78</v>
      </c>
      <c r="E9" s="3079">
        <v>8281.1</v>
      </c>
      <c r="F9" s="3079" t="s">
        <v>3115</v>
      </c>
      <c r="G9" s="3079" t="s">
        <v>3090</v>
      </c>
      <c r="H9" s="3079" t="s">
        <v>3116</v>
      </c>
      <c r="I9" s="3079">
        <v>0</v>
      </c>
      <c r="J9" s="3079" t="s">
        <v>3117</v>
      </c>
      <c r="K9" s="3079" t="s">
        <v>3118</v>
      </c>
      <c r="L9" s="3079">
        <v>1203</v>
      </c>
      <c r="M9" s="3079">
        <v>1203</v>
      </c>
      <c r="N9" s="3079">
        <v>1452.71</v>
      </c>
      <c r="O9" s="3079">
        <f t="shared" si="0"/>
        <v>3450</v>
      </c>
      <c r="P9" s="3079">
        <v>0</v>
      </c>
      <c r="Q9" s="3079" t="s">
        <v>3094</v>
      </c>
    </row>
    <row r="10" spans="1:17" s="3084" customFormat="1">
      <c r="A10" s="3165" t="s">
        <v>3519</v>
      </c>
      <c r="B10" s="3083" t="s">
        <v>3087</v>
      </c>
      <c r="C10" s="3083" t="s">
        <v>3088</v>
      </c>
      <c r="D10" s="3083">
        <v>13191.24</v>
      </c>
      <c r="E10" s="3083">
        <v>22108.52</v>
      </c>
      <c r="F10" s="3083" t="s">
        <v>3119</v>
      </c>
      <c r="G10" s="3083" t="s">
        <v>3090</v>
      </c>
      <c r="H10" s="3083" t="s">
        <v>3116</v>
      </c>
      <c r="I10" s="3083">
        <v>0</v>
      </c>
      <c r="J10" s="3083" t="s">
        <v>3117</v>
      </c>
      <c r="K10" s="3083" t="s">
        <v>3118</v>
      </c>
      <c r="L10" s="3083">
        <v>4552</v>
      </c>
      <c r="M10" s="3083">
        <v>4552</v>
      </c>
      <c r="N10" s="3083">
        <v>2058.92</v>
      </c>
      <c r="O10" s="3083">
        <f t="shared" si="0"/>
        <v>3451</v>
      </c>
      <c r="P10" s="3083">
        <v>0</v>
      </c>
      <c r="Q10" s="3083" t="s">
        <v>3094</v>
      </c>
    </row>
    <row r="11" spans="1:17">
      <c r="A11" s="3079" t="s">
        <v>3120</v>
      </c>
      <c r="B11" s="3079" t="s">
        <v>3087</v>
      </c>
      <c r="C11" s="3079" t="s">
        <v>3088</v>
      </c>
      <c r="D11" s="3079">
        <v>9483</v>
      </c>
      <c r="E11" s="3079">
        <v>12327.9</v>
      </c>
      <c r="F11" s="3079" t="s">
        <v>3121</v>
      </c>
      <c r="G11" s="3079" t="s">
        <v>3090</v>
      </c>
      <c r="H11" s="3079" t="s">
        <v>3122</v>
      </c>
      <c r="I11" s="3079">
        <v>0</v>
      </c>
      <c r="J11" s="3079" t="s">
        <v>3123</v>
      </c>
      <c r="K11" s="3079" t="s">
        <v>3124</v>
      </c>
      <c r="L11" s="3079">
        <v>1987</v>
      </c>
      <c r="M11" s="3079">
        <v>1987</v>
      </c>
      <c r="N11" s="3079">
        <v>1611.78</v>
      </c>
      <c r="O11" s="3079">
        <f t="shared" si="0"/>
        <v>2095</v>
      </c>
      <c r="P11" s="3079">
        <v>0</v>
      </c>
      <c r="Q11" s="3079" t="s">
        <v>3100</v>
      </c>
    </row>
    <row r="12" spans="1:17" s="3081" customFormat="1">
      <c r="A12" s="3080" t="s">
        <v>3125</v>
      </c>
      <c r="B12" s="3080" t="s">
        <v>3087</v>
      </c>
      <c r="C12" s="3080" t="s">
        <v>3088</v>
      </c>
      <c r="D12" s="3080">
        <v>20899</v>
      </c>
      <c r="E12" s="3080">
        <v>65413.87</v>
      </c>
      <c r="F12" s="3080" t="s">
        <v>3126</v>
      </c>
      <c r="G12" s="3080" t="s">
        <v>3090</v>
      </c>
      <c r="H12" s="3080" t="s">
        <v>3109</v>
      </c>
      <c r="I12" s="3080">
        <v>0</v>
      </c>
      <c r="J12" s="3080" t="s">
        <v>3127</v>
      </c>
      <c r="K12" s="3080" t="s">
        <v>3128</v>
      </c>
      <c r="L12" s="3080">
        <v>5848</v>
      </c>
      <c r="M12" s="3080">
        <v>5848</v>
      </c>
      <c r="N12" s="3080">
        <v>894</v>
      </c>
      <c r="O12" s="3080">
        <f t="shared" si="0"/>
        <v>2798</v>
      </c>
      <c r="P12" s="3080">
        <v>0</v>
      </c>
      <c r="Q12" s="3080" t="s">
        <v>3129</v>
      </c>
    </row>
    <row r="13" spans="1:17" s="3081" customFormat="1">
      <c r="A13" s="3080" t="s">
        <v>3130</v>
      </c>
      <c r="B13" s="3080" t="s">
        <v>3087</v>
      </c>
      <c r="C13" s="3080" t="s">
        <v>3088</v>
      </c>
      <c r="D13" s="3080">
        <v>62415</v>
      </c>
      <c r="E13" s="3080">
        <v>232183.8</v>
      </c>
      <c r="F13" s="3080" t="s">
        <v>3131</v>
      </c>
      <c r="G13" s="3080" t="s">
        <v>3090</v>
      </c>
      <c r="H13" s="3080" t="s">
        <v>3109</v>
      </c>
      <c r="I13" s="3080">
        <v>0</v>
      </c>
      <c r="J13" s="3080" t="s">
        <v>3127</v>
      </c>
      <c r="K13" s="3080" t="s">
        <v>3128</v>
      </c>
      <c r="L13" s="3080">
        <v>17464</v>
      </c>
      <c r="M13" s="3080">
        <v>17464</v>
      </c>
      <c r="N13" s="3080">
        <v>752.15</v>
      </c>
      <c r="O13" s="3080">
        <f t="shared" si="0"/>
        <v>2798</v>
      </c>
      <c r="P13" s="3080">
        <v>0</v>
      </c>
      <c r="Q13" s="3080" t="s">
        <v>3129</v>
      </c>
    </row>
    <row r="14" spans="1:17" s="3084" customFormat="1">
      <c r="A14" s="3165" t="s">
        <v>3520</v>
      </c>
      <c r="B14" s="3083" t="s">
        <v>3087</v>
      </c>
      <c r="C14" s="3083" t="s">
        <v>3088</v>
      </c>
      <c r="D14" s="3083">
        <v>139020</v>
      </c>
      <c r="E14" s="3083">
        <v>208530</v>
      </c>
      <c r="F14" s="3083" t="s">
        <v>3132</v>
      </c>
      <c r="G14" s="3083" t="s">
        <v>3090</v>
      </c>
      <c r="H14" s="3083" t="s">
        <v>3091</v>
      </c>
      <c r="I14" s="3083">
        <v>0</v>
      </c>
      <c r="J14" s="3083" t="s">
        <v>3133</v>
      </c>
      <c r="K14" s="3083" t="s">
        <v>3134</v>
      </c>
      <c r="L14" s="3083">
        <v>38898</v>
      </c>
      <c r="M14" s="3083">
        <v>38898</v>
      </c>
      <c r="N14" s="3083">
        <v>1865.33</v>
      </c>
      <c r="O14" s="3083">
        <f t="shared" si="0"/>
        <v>2798</v>
      </c>
      <c r="P14" s="3083">
        <v>0</v>
      </c>
      <c r="Q14" s="3083" t="s">
        <v>3100</v>
      </c>
    </row>
    <row r="15" spans="1:17">
      <c r="A15" s="3079" t="s">
        <v>3135</v>
      </c>
      <c r="B15" s="3079" t="s">
        <v>3087</v>
      </c>
      <c r="C15" s="3079" t="s">
        <v>3088</v>
      </c>
      <c r="D15" s="3079">
        <v>20750</v>
      </c>
      <c r="E15" s="3079">
        <v>145250</v>
      </c>
      <c r="F15" s="3079" t="s">
        <v>3136</v>
      </c>
      <c r="G15" s="3079" t="s">
        <v>3090</v>
      </c>
      <c r="H15" s="3079" t="s">
        <v>3109</v>
      </c>
      <c r="I15" s="3079">
        <v>0</v>
      </c>
      <c r="J15" s="3079" t="s">
        <v>3133</v>
      </c>
      <c r="K15" s="3079" t="s">
        <v>3134</v>
      </c>
      <c r="L15" s="3079">
        <v>7160</v>
      </c>
      <c r="M15" s="3079">
        <v>7160</v>
      </c>
      <c r="N15" s="3079">
        <v>492.93</v>
      </c>
      <c r="O15" s="3079">
        <f t="shared" si="0"/>
        <v>3451</v>
      </c>
      <c r="P15" s="3079">
        <v>0</v>
      </c>
      <c r="Q15" s="3079" t="s">
        <v>3100</v>
      </c>
    </row>
    <row r="16" spans="1:17" s="3081" customFormat="1">
      <c r="A16" s="3080" t="s">
        <v>3137</v>
      </c>
      <c r="B16" s="3080" t="s">
        <v>3087</v>
      </c>
      <c r="C16" s="3080" t="s">
        <v>3088</v>
      </c>
      <c r="D16" s="3080">
        <v>33637</v>
      </c>
      <c r="E16" s="3080">
        <v>90819.9</v>
      </c>
      <c r="F16" s="3080" t="s">
        <v>3138</v>
      </c>
      <c r="G16" s="3080" t="s">
        <v>3090</v>
      </c>
      <c r="H16" s="3080" t="s">
        <v>3091</v>
      </c>
      <c r="I16" s="3080">
        <v>0</v>
      </c>
      <c r="J16" s="3080" t="s">
        <v>3139</v>
      </c>
      <c r="K16" s="3080" t="s">
        <v>3110</v>
      </c>
      <c r="L16" s="3080">
        <v>30328</v>
      </c>
      <c r="M16" s="3080">
        <v>30328</v>
      </c>
      <c r="N16" s="3080">
        <v>3339.36</v>
      </c>
      <c r="O16" s="3080">
        <f t="shared" si="0"/>
        <v>9016</v>
      </c>
      <c r="P16" s="3080">
        <v>0</v>
      </c>
      <c r="Q16" s="3080" t="s">
        <v>3094</v>
      </c>
    </row>
    <row r="17" spans="1:17" s="3081" customFormat="1">
      <c r="A17" s="3080" t="s">
        <v>3140</v>
      </c>
      <c r="B17" s="3080" t="s">
        <v>3087</v>
      </c>
      <c r="C17" s="3080" t="s">
        <v>3088</v>
      </c>
      <c r="D17" s="3080">
        <v>74915</v>
      </c>
      <c r="E17" s="3080">
        <v>149830</v>
      </c>
      <c r="F17" s="3080" t="s">
        <v>3141</v>
      </c>
      <c r="G17" s="3080" t="s">
        <v>3090</v>
      </c>
      <c r="H17" s="3080" t="s">
        <v>3091</v>
      </c>
      <c r="I17" s="3080">
        <v>0</v>
      </c>
      <c r="J17" s="3080" t="s">
        <v>3139</v>
      </c>
      <c r="K17" s="3080" t="s">
        <v>3110</v>
      </c>
      <c r="L17" s="3080">
        <v>51535</v>
      </c>
      <c r="M17" s="3080">
        <v>51535</v>
      </c>
      <c r="N17" s="3080">
        <v>3439.55</v>
      </c>
      <c r="O17" s="3080">
        <f t="shared" si="0"/>
        <v>6879</v>
      </c>
      <c r="P17" s="3080">
        <v>0</v>
      </c>
      <c r="Q17" s="3080" t="s">
        <v>3094</v>
      </c>
    </row>
    <row r="18" spans="1:17" s="3081" customFormat="1">
      <c r="A18" s="3080" t="s">
        <v>3142</v>
      </c>
      <c r="B18" s="3080" t="s">
        <v>3087</v>
      </c>
      <c r="C18" s="3080" t="s">
        <v>3088</v>
      </c>
      <c r="D18" s="3080">
        <v>58723</v>
      </c>
      <c r="E18" s="3080">
        <v>146807.5</v>
      </c>
      <c r="F18" s="3080" t="s">
        <v>3143</v>
      </c>
      <c r="G18" s="3080" t="s">
        <v>3090</v>
      </c>
      <c r="H18" s="3080" t="s">
        <v>3091</v>
      </c>
      <c r="I18" s="3080">
        <v>0</v>
      </c>
      <c r="J18" s="3080" t="s">
        <v>3139</v>
      </c>
      <c r="K18" s="3080" t="s">
        <v>3110</v>
      </c>
      <c r="L18" s="3080">
        <v>50079</v>
      </c>
      <c r="M18" s="3080">
        <v>50079</v>
      </c>
      <c r="N18" s="3080">
        <v>3411.19</v>
      </c>
      <c r="O18" s="3080">
        <f t="shared" si="0"/>
        <v>8528</v>
      </c>
      <c r="P18" s="3080">
        <v>0</v>
      </c>
      <c r="Q18" s="3080" t="s">
        <v>3094</v>
      </c>
    </row>
    <row r="19" spans="1:17">
      <c r="A19" s="3079" t="s">
        <v>3144</v>
      </c>
      <c r="B19" s="3079" t="s">
        <v>3087</v>
      </c>
      <c r="C19" s="3079" t="s">
        <v>3088</v>
      </c>
      <c r="D19" s="3079">
        <v>22866</v>
      </c>
      <c r="E19" s="3079">
        <v>91464</v>
      </c>
      <c r="F19" s="3079" t="s">
        <v>3145</v>
      </c>
      <c r="G19" s="3079" t="s">
        <v>3090</v>
      </c>
      <c r="H19" s="3079" t="s">
        <v>3116</v>
      </c>
      <c r="I19" s="3079">
        <v>0</v>
      </c>
      <c r="J19" s="3079" t="s">
        <v>3139</v>
      </c>
      <c r="K19" s="3079" t="s">
        <v>3146</v>
      </c>
      <c r="L19" s="3079">
        <v>6398</v>
      </c>
      <c r="M19" s="3079">
        <v>6398</v>
      </c>
      <c r="N19" s="3079">
        <v>699.5</v>
      </c>
      <c r="O19" s="3079">
        <f t="shared" si="0"/>
        <v>2798</v>
      </c>
      <c r="P19" s="3079">
        <v>0</v>
      </c>
      <c r="Q19" s="3079" t="s">
        <v>3100</v>
      </c>
    </row>
    <row r="20" spans="1:17">
      <c r="A20" s="3079" t="s">
        <v>3147</v>
      </c>
      <c r="B20" s="3079" t="s">
        <v>3087</v>
      </c>
      <c r="C20" s="3079" t="s">
        <v>3088</v>
      </c>
      <c r="D20" s="3079">
        <v>6507</v>
      </c>
      <c r="E20" s="3079">
        <v>16267.5</v>
      </c>
      <c r="F20" s="3079" t="s">
        <v>3143</v>
      </c>
      <c r="G20" s="3079" t="s">
        <v>3090</v>
      </c>
      <c r="H20" s="3079" t="s">
        <v>3148</v>
      </c>
      <c r="I20" s="3079">
        <v>0</v>
      </c>
      <c r="J20" s="3079" t="s">
        <v>3149</v>
      </c>
      <c r="K20" s="3079" t="s">
        <v>3150</v>
      </c>
      <c r="L20" s="3079">
        <v>2020</v>
      </c>
      <c r="M20" s="3079">
        <v>2020</v>
      </c>
      <c r="N20" s="3079">
        <v>1241.74</v>
      </c>
      <c r="O20" s="3079">
        <f t="shared" si="0"/>
        <v>3104</v>
      </c>
      <c r="P20" s="3079">
        <v>0</v>
      </c>
      <c r="Q20" s="3079" t="s">
        <v>3100</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188" t="str">
        <f>IF(项目基本情况!B9="房地产市场价值","估价结果一览表","结果表-2")</f>
        <v>结果表-2</v>
      </c>
      <c r="B1" s="3188"/>
      <c r="C1" s="3188"/>
      <c r="D1" s="3188"/>
      <c r="E1" s="3188"/>
      <c r="F1" s="3188"/>
      <c r="G1" s="3188"/>
      <c r="H1" s="3188"/>
      <c r="I1" s="3188"/>
    </row>
    <row r="2" spans="1:9" ht="30" customHeight="1" thickTop="1">
      <c r="A2" s="3189" t="s">
        <v>1602</v>
      </c>
      <c r="B2" s="3189" t="s">
        <v>1603</v>
      </c>
      <c r="C2" s="3189" t="s">
        <v>1604</v>
      </c>
      <c r="D2" s="3189" t="str">
        <f>结果表!D116</f>
        <v>出让国有建设用地使用权价值</v>
      </c>
      <c r="E2" s="3189"/>
      <c r="F2" s="3189" t="str">
        <f>结果表!F116</f>
        <v>在建建筑物价值</v>
      </c>
      <c r="G2" s="3189"/>
      <c r="H2" s="3189" t="str">
        <f>IF(项目基本情况!B9="房地产市场价值","房地产市场价值","房地产价值")</f>
        <v>房地产价值</v>
      </c>
      <c r="I2" s="3189"/>
    </row>
    <row r="3" spans="1:9" ht="15">
      <c r="A3" s="3183"/>
      <c r="B3" s="3183"/>
      <c r="C3" s="3183"/>
      <c r="D3" s="963" t="s">
        <v>1599</v>
      </c>
      <c r="E3" s="963" t="s">
        <v>1605</v>
      </c>
      <c r="F3" s="963" t="s">
        <v>1599</v>
      </c>
      <c r="G3" s="963" t="s">
        <v>1600</v>
      </c>
      <c r="H3" s="963" t="s">
        <v>1599</v>
      </c>
      <c r="I3" s="963" t="s">
        <v>1600</v>
      </c>
    </row>
    <row r="4" spans="1:9" ht="15">
      <c r="A4" s="1690" t="str">
        <f>项目基本情况!S2</f>
        <v>房地产</v>
      </c>
      <c r="B4" s="963">
        <f>项目基本情况!C17</f>
        <v>93605.4</v>
      </c>
      <c r="C4" s="963">
        <f>项目基本情况!C18</f>
        <v>131807</v>
      </c>
      <c r="D4" s="963">
        <f ca="1">结果表!D118</f>
        <v>21802</v>
      </c>
      <c r="E4" s="963">
        <f ca="1">结果表!E118</f>
        <v>4828</v>
      </c>
      <c r="F4" s="963">
        <f ca="1">结果表!F118</f>
        <v>81527</v>
      </c>
      <c r="G4" s="963">
        <f ca="1">结果表!G118</f>
        <v>18054</v>
      </c>
      <c r="H4" s="963">
        <f ca="1">结果表!H118</f>
        <v>103329</v>
      </c>
      <c r="I4" s="963">
        <f ca="1">结果表!I118</f>
        <v>22882</v>
      </c>
    </row>
    <row r="5" spans="1:9" ht="30" customHeight="1">
      <c r="A5" s="3183" t="s">
        <v>1601</v>
      </c>
      <c r="B5" s="3183"/>
      <c r="C5" s="3183"/>
      <c r="D5" s="3184" t="str">
        <f ca="1">结果表!D119</f>
        <v>贰亿壹仟捌佰零贰万元整</v>
      </c>
      <c r="E5" s="3184"/>
      <c r="F5" s="3184" t="str">
        <f ca="1">结果表!F119</f>
        <v>捌亿壹仟伍佰贰拾柒万元整</v>
      </c>
      <c r="G5" s="3184"/>
      <c r="H5" s="3184" t="str">
        <f ca="1">结果表!H119</f>
        <v>壹拾亿叁仟叁佰贰拾玖万元整</v>
      </c>
      <c r="I5" s="3184"/>
    </row>
    <row r="6" spans="1:9" ht="15.75">
      <c r="A6" s="3182" t="str">
        <f>结果表!A120</f>
        <v>估价师知悉的法定优先受偿款</v>
      </c>
      <c r="B6" s="3182"/>
      <c r="C6" s="3182"/>
      <c r="D6" s="3182">
        <f>结果表!D120</f>
        <v>0</v>
      </c>
      <c r="E6" s="3182"/>
      <c r="F6" s="3182"/>
      <c r="G6" s="3182"/>
      <c r="H6" s="3182"/>
      <c r="I6" s="3182"/>
    </row>
    <row r="7" spans="1:9" ht="15">
      <c r="A7" s="3183" t="s">
        <v>1601</v>
      </c>
      <c r="B7" s="3183"/>
      <c r="C7" s="3183"/>
      <c r="D7" s="3185" t="str">
        <f>结果表!D121</f>
        <v>零元整</v>
      </c>
      <c r="E7" s="3186"/>
      <c r="F7" s="3186"/>
      <c r="G7" s="3186"/>
      <c r="H7" s="3186"/>
      <c r="I7" s="3187"/>
    </row>
    <row r="8" spans="1:9" ht="15.75">
      <c r="A8" s="3182" t="str">
        <f>结果表!A122</f>
        <v>房地产抵押价值</v>
      </c>
      <c r="B8" s="3182"/>
      <c r="C8" s="3182"/>
      <c r="D8" s="3182">
        <f ca="1">结果表!D122</f>
        <v>103329</v>
      </c>
      <c r="E8" s="3182"/>
      <c r="F8" s="3182"/>
      <c r="G8" s="3182"/>
      <c r="H8" s="3182"/>
      <c r="I8" s="3182"/>
    </row>
    <row r="9" spans="1:9" ht="15">
      <c r="A9" s="3183" t="s">
        <v>1601</v>
      </c>
      <c r="B9" s="3183"/>
      <c r="C9" s="3183"/>
      <c r="D9" s="3184" t="str">
        <f ca="1">结果表!D123</f>
        <v>壹拾亿叁仟叁佰贰拾玖万元整</v>
      </c>
      <c r="E9" s="3184"/>
      <c r="F9" s="3184"/>
      <c r="G9" s="3184"/>
      <c r="H9" s="3184"/>
      <c r="I9" s="3184"/>
    </row>
    <row r="10" spans="1:9" ht="15.75">
      <c r="A10" s="3182" t="str">
        <f>结果表!A124</f>
        <v/>
      </c>
      <c r="B10" s="3182"/>
      <c r="C10" s="3182"/>
      <c r="D10" s="3182" t="str">
        <f>结果表!D124</f>
        <v>——</v>
      </c>
      <c r="E10" s="3182"/>
      <c r="F10" s="3182"/>
      <c r="G10" s="3182"/>
      <c r="H10" s="3182"/>
      <c r="I10" s="3182"/>
    </row>
    <row r="11" spans="1:9" ht="15">
      <c r="A11" s="3183" t="s">
        <v>1601</v>
      </c>
      <c r="B11" s="3183"/>
      <c r="C11" s="3183"/>
      <c r="D11" s="3184" t="e">
        <f>结果表!D125</f>
        <v>#VALUE!</v>
      </c>
      <c r="E11" s="3184"/>
      <c r="F11" s="3184"/>
      <c r="G11" s="3184"/>
      <c r="H11" s="3184"/>
      <c r="I11" s="3184"/>
    </row>
    <row r="12" spans="1:9" ht="15.75">
      <c r="A12" s="3182" t="str">
        <f>结果表!A126</f>
        <v/>
      </c>
      <c r="B12" s="3182"/>
      <c r="C12" s="3182"/>
      <c r="D12" s="3182" t="str">
        <f>结果表!D126</f>
        <v>——</v>
      </c>
      <c r="E12" s="3182"/>
      <c r="F12" s="3182"/>
      <c r="G12" s="3182"/>
      <c r="H12" s="3182"/>
      <c r="I12" s="3182"/>
    </row>
    <row r="13" spans="1:9" ht="15.75" thickBot="1">
      <c r="A13" s="3179" t="s">
        <v>1601</v>
      </c>
      <c r="B13" s="3179"/>
      <c r="C13" s="3179"/>
      <c r="D13" s="3180" t="e">
        <f>结果表!D127</f>
        <v>#VALUE!</v>
      </c>
      <c r="E13" s="3180"/>
      <c r="F13" s="3180"/>
      <c r="G13" s="3180"/>
      <c r="H13" s="3180"/>
      <c r="I13" s="3180"/>
    </row>
    <row r="14" spans="1:9" ht="15" thickTop="1">
      <c r="A14" s="3181" t="s">
        <v>1606</v>
      </c>
      <c r="B14" s="3181"/>
      <c r="C14" s="3181"/>
      <c r="D14" s="3181"/>
      <c r="E14" s="3181"/>
      <c r="F14" s="3181"/>
      <c r="G14" s="3181"/>
      <c r="H14" s="3181"/>
      <c r="I14" s="3181"/>
    </row>
    <row r="16" spans="1:9" ht="18.75">
      <c r="A16" s="1691" t="s">
        <v>1589</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J335"/>
  <sheetViews>
    <sheetView topLeftCell="A22" workbookViewId="0">
      <selection activeCell="M32" sqref="M32"/>
    </sheetView>
  </sheetViews>
  <sheetFormatPr defaultColWidth="9" defaultRowHeight="13.5"/>
  <cols>
    <col min="1" max="1" width="6.375" style="3110" customWidth="1"/>
    <col min="2" max="2" width="13.875" style="3110" customWidth="1"/>
    <col min="3" max="3" width="10" style="3110" customWidth="1"/>
    <col min="4" max="4" width="9.625" style="3160" customWidth="1"/>
    <col min="5" max="5" width="9.625" style="3161" customWidth="1"/>
    <col min="6" max="6" width="9.625" style="3160" customWidth="1"/>
    <col min="7" max="7" width="4.75" style="3110" customWidth="1"/>
    <col min="8" max="8" width="9.625" style="3160" customWidth="1"/>
    <col min="9" max="9" width="9" style="3105"/>
    <col min="10" max="10" width="15.375" style="3105" customWidth="1"/>
    <col min="11" max="256" width="9" style="3105"/>
    <col min="257" max="257" width="6.375" style="3105" customWidth="1"/>
    <col min="258" max="258" width="13.875" style="3105" customWidth="1"/>
    <col min="259" max="259" width="10" style="3105" customWidth="1"/>
    <col min="260" max="262" width="9.625" style="3105" customWidth="1"/>
    <col min="263" max="263" width="4.75" style="3105" customWidth="1"/>
    <col min="264" max="264" width="9.625" style="3105" customWidth="1"/>
    <col min="265" max="265" width="9" style="3105"/>
    <col min="266" max="266" width="15.375" style="3105" customWidth="1"/>
    <col min="267" max="512" width="9" style="3105"/>
    <col min="513" max="513" width="6.375" style="3105" customWidth="1"/>
    <col min="514" max="514" width="13.875" style="3105" customWidth="1"/>
    <col min="515" max="515" width="10" style="3105" customWidth="1"/>
    <col min="516" max="518" width="9.625" style="3105" customWidth="1"/>
    <col min="519" max="519" width="4.75" style="3105" customWidth="1"/>
    <col min="520" max="520" width="9.625" style="3105" customWidth="1"/>
    <col min="521" max="521" width="9" style="3105"/>
    <col min="522" max="522" width="15.375" style="3105" customWidth="1"/>
    <col min="523" max="768" width="9" style="3105"/>
    <col min="769" max="769" width="6.375" style="3105" customWidth="1"/>
    <col min="770" max="770" width="13.875" style="3105" customWidth="1"/>
    <col min="771" max="771" width="10" style="3105" customWidth="1"/>
    <col min="772" max="774" width="9.625" style="3105" customWidth="1"/>
    <col min="775" max="775" width="4.75" style="3105" customWidth="1"/>
    <col min="776" max="776" width="9.625" style="3105" customWidth="1"/>
    <col min="777" max="777" width="9" style="3105"/>
    <col min="778" max="778" width="15.375" style="3105" customWidth="1"/>
    <col min="779" max="1024" width="9" style="3105"/>
    <col min="1025" max="1025" width="6.375" style="3105" customWidth="1"/>
    <col min="1026" max="1026" width="13.875" style="3105" customWidth="1"/>
    <col min="1027" max="1027" width="10" style="3105" customWidth="1"/>
    <col min="1028" max="1030" width="9.625" style="3105" customWidth="1"/>
    <col min="1031" max="1031" width="4.75" style="3105" customWidth="1"/>
    <col min="1032" max="1032" width="9.625" style="3105" customWidth="1"/>
    <col min="1033" max="1033" width="9" style="3105"/>
    <col min="1034" max="1034" width="15.375" style="3105" customWidth="1"/>
    <col min="1035" max="1280" width="9" style="3105"/>
    <col min="1281" max="1281" width="6.375" style="3105" customWidth="1"/>
    <col min="1282" max="1282" width="13.875" style="3105" customWidth="1"/>
    <col min="1283" max="1283" width="10" style="3105" customWidth="1"/>
    <col min="1284" max="1286" width="9.625" style="3105" customWidth="1"/>
    <col min="1287" max="1287" width="4.75" style="3105" customWidth="1"/>
    <col min="1288" max="1288" width="9.625" style="3105" customWidth="1"/>
    <col min="1289" max="1289" width="9" style="3105"/>
    <col min="1290" max="1290" width="15.375" style="3105" customWidth="1"/>
    <col min="1291" max="1536" width="9" style="3105"/>
    <col min="1537" max="1537" width="6.375" style="3105" customWidth="1"/>
    <col min="1538" max="1538" width="13.875" style="3105" customWidth="1"/>
    <col min="1539" max="1539" width="10" style="3105" customWidth="1"/>
    <col min="1540" max="1542" width="9.625" style="3105" customWidth="1"/>
    <col min="1543" max="1543" width="4.75" style="3105" customWidth="1"/>
    <col min="1544" max="1544" width="9.625" style="3105" customWidth="1"/>
    <col min="1545" max="1545" width="9" style="3105"/>
    <col min="1546" max="1546" width="15.375" style="3105" customWidth="1"/>
    <col min="1547" max="1792" width="9" style="3105"/>
    <col min="1793" max="1793" width="6.375" style="3105" customWidth="1"/>
    <col min="1794" max="1794" width="13.875" style="3105" customWidth="1"/>
    <col min="1795" max="1795" width="10" style="3105" customWidth="1"/>
    <col min="1796" max="1798" width="9.625" style="3105" customWidth="1"/>
    <col min="1799" max="1799" width="4.75" style="3105" customWidth="1"/>
    <col min="1800" max="1800" width="9.625" style="3105" customWidth="1"/>
    <col min="1801" max="1801" width="9" style="3105"/>
    <col min="1802" max="1802" width="15.375" style="3105" customWidth="1"/>
    <col min="1803" max="2048" width="9" style="3105"/>
    <col min="2049" max="2049" width="6.375" style="3105" customWidth="1"/>
    <col min="2050" max="2050" width="13.875" style="3105" customWidth="1"/>
    <col min="2051" max="2051" width="10" style="3105" customWidth="1"/>
    <col min="2052" max="2054" width="9.625" style="3105" customWidth="1"/>
    <col min="2055" max="2055" width="4.75" style="3105" customWidth="1"/>
    <col min="2056" max="2056" width="9.625" style="3105" customWidth="1"/>
    <col min="2057" max="2057" width="9" style="3105"/>
    <col min="2058" max="2058" width="15.375" style="3105" customWidth="1"/>
    <col min="2059" max="2304" width="9" style="3105"/>
    <col min="2305" max="2305" width="6.375" style="3105" customWidth="1"/>
    <col min="2306" max="2306" width="13.875" style="3105" customWidth="1"/>
    <col min="2307" max="2307" width="10" style="3105" customWidth="1"/>
    <col min="2308" max="2310" width="9.625" style="3105" customWidth="1"/>
    <col min="2311" max="2311" width="4.75" style="3105" customWidth="1"/>
    <col min="2312" max="2312" width="9.625" style="3105" customWidth="1"/>
    <col min="2313" max="2313" width="9" style="3105"/>
    <col min="2314" max="2314" width="15.375" style="3105" customWidth="1"/>
    <col min="2315" max="2560" width="9" style="3105"/>
    <col min="2561" max="2561" width="6.375" style="3105" customWidth="1"/>
    <col min="2562" max="2562" width="13.875" style="3105" customWidth="1"/>
    <col min="2563" max="2563" width="10" style="3105" customWidth="1"/>
    <col min="2564" max="2566" width="9.625" style="3105" customWidth="1"/>
    <col min="2567" max="2567" width="4.75" style="3105" customWidth="1"/>
    <col min="2568" max="2568" width="9.625" style="3105" customWidth="1"/>
    <col min="2569" max="2569" width="9" style="3105"/>
    <col min="2570" max="2570" width="15.375" style="3105" customWidth="1"/>
    <col min="2571" max="2816" width="9" style="3105"/>
    <col min="2817" max="2817" width="6.375" style="3105" customWidth="1"/>
    <col min="2818" max="2818" width="13.875" style="3105" customWidth="1"/>
    <col min="2819" max="2819" width="10" style="3105" customWidth="1"/>
    <col min="2820" max="2822" width="9.625" style="3105" customWidth="1"/>
    <col min="2823" max="2823" width="4.75" style="3105" customWidth="1"/>
    <col min="2824" max="2824" width="9.625" style="3105" customWidth="1"/>
    <col min="2825" max="2825" width="9" style="3105"/>
    <col min="2826" max="2826" width="15.375" style="3105" customWidth="1"/>
    <col min="2827" max="3072" width="9" style="3105"/>
    <col min="3073" max="3073" width="6.375" style="3105" customWidth="1"/>
    <col min="3074" max="3074" width="13.875" style="3105" customWidth="1"/>
    <col min="3075" max="3075" width="10" style="3105" customWidth="1"/>
    <col min="3076" max="3078" width="9.625" style="3105" customWidth="1"/>
    <col min="3079" max="3079" width="4.75" style="3105" customWidth="1"/>
    <col min="3080" max="3080" width="9.625" style="3105" customWidth="1"/>
    <col min="3081" max="3081" width="9" style="3105"/>
    <col min="3082" max="3082" width="15.375" style="3105" customWidth="1"/>
    <col min="3083" max="3328" width="9" style="3105"/>
    <col min="3329" max="3329" width="6.375" style="3105" customWidth="1"/>
    <col min="3330" max="3330" width="13.875" style="3105" customWidth="1"/>
    <col min="3331" max="3331" width="10" style="3105" customWidth="1"/>
    <col min="3332" max="3334" width="9.625" style="3105" customWidth="1"/>
    <col min="3335" max="3335" width="4.75" style="3105" customWidth="1"/>
    <col min="3336" max="3336" width="9.625" style="3105" customWidth="1"/>
    <col min="3337" max="3337" width="9" style="3105"/>
    <col min="3338" max="3338" width="15.375" style="3105" customWidth="1"/>
    <col min="3339" max="3584" width="9" style="3105"/>
    <col min="3585" max="3585" width="6.375" style="3105" customWidth="1"/>
    <col min="3586" max="3586" width="13.875" style="3105" customWidth="1"/>
    <col min="3587" max="3587" width="10" style="3105" customWidth="1"/>
    <col min="3588" max="3590" width="9.625" style="3105" customWidth="1"/>
    <col min="3591" max="3591" width="4.75" style="3105" customWidth="1"/>
    <col min="3592" max="3592" width="9.625" style="3105" customWidth="1"/>
    <col min="3593" max="3593" width="9" style="3105"/>
    <col min="3594" max="3594" width="15.375" style="3105" customWidth="1"/>
    <col min="3595" max="3840" width="9" style="3105"/>
    <col min="3841" max="3841" width="6.375" style="3105" customWidth="1"/>
    <col min="3842" max="3842" width="13.875" style="3105" customWidth="1"/>
    <col min="3843" max="3843" width="10" style="3105" customWidth="1"/>
    <col min="3844" max="3846" width="9.625" style="3105" customWidth="1"/>
    <col min="3847" max="3847" width="4.75" style="3105" customWidth="1"/>
    <col min="3848" max="3848" width="9.625" style="3105" customWidth="1"/>
    <col min="3849" max="3849" width="9" style="3105"/>
    <col min="3850" max="3850" width="15.375" style="3105" customWidth="1"/>
    <col min="3851" max="4096" width="9" style="3105"/>
    <col min="4097" max="4097" width="6.375" style="3105" customWidth="1"/>
    <col min="4098" max="4098" width="13.875" style="3105" customWidth="1"/>
    <col min="4099" max="4099" width="10" style="3105" customWidth="1"/>
    <col min="4100" max="4102" width="9.625" style="3105" customWidth="1"/>
    <col min="4103" max="4103" width="4.75" style="3105" customWidth="1"/>
    <col min="4104" max="4104" width="9.625" style="3105" customWidth="1"/>
    <col min="4105" max="4105" width="9" style="3105"/>
    <col min="4106" max="4106" width="15.375" style="3105" customWidth="1"/>
    <col min="4107" max="4352" width="9" style="3105"/>
    <col min="4353" max="4353" width="6.375" style="3105" customWidth="1"/>
    <col min="4354" max="4354" width="13.875" style="3105" customWidth="1"/>
    <col min="4355" max="4355" width="10" style="3105" customWidth="1"/>
    <col min="4356" max="4358" width="9.625" style="3105" customWidth="1"/>
    <col min="4359" max="4359" width="4.75" style="3105" customWidth="1"/>
    <col min="4360" max="4360" width="9.625" style="3105" customWidth="1"/>
    <col min="4361" max="4361" width="9" style="3105"/>
    <col min="4362" max="4362" width="15.375" style="3105" customWidth="1"/>
    <col min="4363" max="4608" width="9" style="3105"/>
    <col min="4609" max="4609" width="6.375" style="3105" customWidth="1"/>
    <col min="4610" max="4610" width="13.875" style="3105" customWidth="1"/>
    <col min="4611" max="4611" width="10" style="3105" customWidth="1"/>
    <col min="4612" max="4614" width="9.625" style="3105" customWidth="1"/>
    <col min="4615" max="4615" width="4.75" style="3105" customWidth="1"/>
    <col min="4616" max="4616" width="9.625" style="3105" customWidth="1"/>
    <col min="4617" max="4617" width="9" style="3105"/>
    <col min="4618" max="4618" width="15.375" style="3105" customWidth="1"/>
    <col min="4619" max="4864" width="9" style="3105"/>
    <col min="4865" max="4865" width="6.375" style="3105" customWidth="1"/>
    <col min="4866" max="4866" width="13.875" style="3105" customWidth="1"/>
    <col min="4867" max="4867" width="10" style="3105" customWidth="1"/>
    <col min="4868" max="4870" width="9.625" style="3105" customWidth="1"/>
    <col min="4871" max="4871" width="4.75" style="3105" customWidth="1"/>
    <col min="4872" max="4872" width="9.625" style="3105" customWidth="1"/>
    <col min="4873" max="4873" width="9" style="3105"/>
    <col min="4874" max="4874" width="15.375" style="3105" customWidth="1"/>
    <col min="4875" max="5120" width="9" style="3105"/>
    <col min="5121" max="5121" width="6.375" style="3105" customWidth="1"/>
    <col min="5122" max="5122" width="13.875" style="3105" customWidth="1"/>
    <col min="5123" max="5123" width="10" style="3105" customWidth="1"/>
    <col min="5124" max="5126" width="9.625" style="3105" customWidth="1"/>
    <col min="5127" max="5127" width="4.75" style="3105" customWidth="1"/>
    <col min="5128" max="5128" width="9.625" style="3105" customWidth="1"/>
    <col min="5129" max="5129" width="9" style="3105"/>
    <col min="5130" max="5130" width="15.375" style="3105" customWidth="1"/>
    <col min="5131" max="5376" width="9" style="3105"/>
    <col min="5377" max="5377" width="6.375" style="3105" customWidth="1"/>
    <col min="5378" max="5378" width="13.875" style="3105" customWidth="1"/>
    <col min="5379" max="5379" width="10" style="3105" customWidth="1"/>
    <col min="5380" max="5382" width="9.625" style="3105" customWidth="1"/>
    <col min="5383" max="5383" width="4.75" style="3105" customWidth="1"/>
    <col min="5384" max="5384" width="9.625" style="3105" customWidth="1"/>
    <col min="5385" max="5385" width="9" style="3105"/>
    <col min="5386" max="5386" width="15.375" style="3105" customWidth="1"/>
    <col min="5387" max="5632" width="9" style="3105"/>
    <col min="5633" max="5633" width="6.375" style="3105" customWidth="1"/>
    <col min="5634" max="5634" width="13.875" style="3105" customWidth="1"/>
    <col min="5635" max="5635" width="10" style="3105" customWidth="1"/>
    <col min="5636" max="5638" width="9.625" style="3105" customWidth="1"/>
    <col min="5639" max="5639" width="4.75" style="3105" customWidth="1"/>
    <col min="5640" max="5640" width="9.625" style="3105" customWidth="1"/>
    <col min="5641" max="5641" width="9" style="3105"/>
    <col min="5642" max="5642" width="15.375" style="3105" customWidth="1"/>
    <col min="5643" max="5888" width="9" style="3105"/>
    <col min="5889" max="5889" width="6.375" style="3105" customWidth="1"/>
    <col min="5890" max="5890" width="13.875" style="3105" customWidth="1"/>
    <col min="5891" max="5891" width="10" style="3105" customWidth="1"/>
    <col min="5892" max="5894" width="9.625" style="3105" customWidth="1"/>
    <col min="5895" max="5895" width="4.75" style="3105" customWidth="1"/>
    <col min="5896" max="5896" width="9.625" style="3105" customWidth="1"/>
    <col min="5897" max="5897" width="9" style="3105"/>
    <col min="5898" max="5898" width="15.375" style="3105" customWidth="1"/>
    <col min="5899" max="6144" width="9" style="3105"/>
    <col min="6145" max="6145" width="6.375" style="3105" customWidth="1"/>
    <col min="6146" max="6146" width="13.875" style="3105" customWidth="1"/>
    <col min="6147" max="6147" width="10" style="3105" customWidth="1"/>
    <col min="6148" max="6150" width="9.625" style="3105" customWidth="1"/>
    <col min="6151" max="6151" width="4.75" style="3105" customWidth="1"/>
    <col min="6152" max="6152" width="9.625" style="3105" customWidth="1"/>
    <col min="6153" max="6153" width="9" style="3105"/>
    <col min="6154" max="6154" width="15.375" style="3105" customWidth="1"/>
    <col min="6155" max="6400" width="9" style="3105"/>
    <col min="6401" max="6401" width="6.375" style="3105" customWidth="1"/>
    <col min="6402" max="6402" width="13.875" style="3105" customWidth="1"/>
    <col min="6403" max="6403" width="10" style="3105" customWidth="1"/>
    <col min="6404" max="6406" width="9.625" style="3105" customWidth="1"/>
    <col min="6407" max="6407" width="4.75" style="3105" customWidth="1"/>
    <col min="6408" max="6408" width="9.625" style="3105" customWidth="1"/>
    <col min="6409" max="6409" width="9" style="3105"/>
    <col min="6410" max="6410" width="15.375" style="3105" customWidth="1"/>
    <col min="6411" max="6656" width="9" style="3105"/>
    <col min="6657" max="6657" width="6.375" style="3105" customWidth="1"/>
    <col min="6658" max="6658" width="13.875" style="3105" customWidth="1"/>
    <col min="6659" max="6659" width="10" style="3105" customWidth="1"/>
    <col min="6660" max="6662" width="9.625" style="3105" customWidth="1"/>
    <col min="6663" max="6663" width="4.75" style="3105" customWidth="1"/>
    <col min="6664" max="6664" width="9.625" style="3105" customWidth="1"/>
    <col min="6665" max="6665" width="9" style="3105"/>
    <col min="6666" max="6666" width="15.375" style="3105" customWidth="1"/>
    <col min="6667" max="6912" width="9" style="3105"/>
    <col min="6913" max="6913" width="6.375" style="3105" customWidth="1"/>
    <col min="6914" max="6914" width="13.875" style="3105" customWidth="1"/>
    <col min="6915" max="6915" width="10" style="3105" customWidth="1"/>
    <col min="6916" max="6918" width="9.625" style="3105" customWidth="1"/>
    <col min="6919" max="6919" width="4.75" style="3105" customWidth="1"/>
    <col min="6920" max="6920" width="9.625" style="3105" customWidth="1"/>
    <col min="6921" max="6921" width="9" style="3105"/>
    <col min="6922" max="6922" width="15.375" style="3105" customWidth="1"/>
    <col min="6923" max="7168" width="9" style="3105"/>
    <col min="7169" max="7169" width="6.375" style="3105" customWidth="1"/>
    <col min="7170" max="7170" width="13.875" style="3105" customWidth="1"/>
    <col min="7171" max="7171" width="10" style="3105" customWidth="1"/>
    <col min="7172" max="7174" width="9.625" style="3105" customWidth="1"/>
    <col min="7175" max="7175" width="4.75" style="3105" customWidth="1"/>
    <col min="7176" max="7176" width="9.625" style="3105" customWidth="1"/>
    <col min="7177" max="7177" width="9" style="3105"/>
    <col min="7178" max="7178" width="15.375" style="3105" customWidth="1"/>
    <col min="7179" max="7424" width="9" style="3105"/>
    <col min="7425" max="7425" width="6.375" style="3105" customWidth="1"/>
    <col min="7426" max="7426" width="13.875" style="3105" customWidth="1"/>
    <col min="7427" max="7427" width="10" style="3105" customWidth="1"/>
    <col min="7428" max="7430" width="9.625" style="3105" customWidth="1"/>
    <col min="7431" max="7431" width="4.75" style="3105" customWidth="1"/>
    <col min="7432" max="7432" width="9.625" style="3105" customWidth="1"/>
    <col min="7433" max="7433" width="9" style="3105"/>
    <col min="7434" max="7434" width="15.375" style="3105" customWidth="1"/>
    <col min="7435" max="7680" width="9" style="3105"/>
    <col min="7681" max="7681" width="6.375" style="3105" customWidth="1"/>
    <col min="7682" max="7682" width="13.875" style="3105" customWidth="1"/>
    <col min="7683" max="7683" width="10" style="3105" customWidth="1"/>
    <col min="7684" max="7686" width="9.625" style="3105" customWidth="1"/>
    <col min="7687" max="7687" width="4.75" style="3105" customWidth="1"/>
    <col min="7688" max="7688" width="9.625" style="3105" customWidth="1"/>
    <col min="7689" max="7689" width="9" style="3105"/>
    <col min="7690" max="7690" width="15.375" style="3105" customWidth="1"/>
    <col min="7691" max="7936" width="9" style="3105"/>
    <col min="7937" max="7937" width="6.375" style="3105" customWidth="1"/>
    <col min="7938" max="7938" width="13.875" style="3105" customWidth="1"/>
    <col min="7939" max="7939" width="10" style="3105" customWidth="1"/>
    <col min="7940" max="7942" width="9.625" style="3105" customWidth="1"/>
    <col min="7943" max="7943" width="4.75" style="3105" customWidth="1"/>
    <col min="7944" max="7944" width="9.625" style="3105" customWidth="1"/>
    <col min="7945" max="7945" width="9" style="3105"/>
    <col min="7946" max="7946" width="15.375" style="3105" customWidth="1"/>
    <col min="7947" max="8192" width="9" style="3105"/>
    <col min="8193" max="8193" width="6.375" style="3105" customWidth="1"/>
    <col min="8194" max="8194" width="13.875" style="3105" customWidth="1"/>
    <col min="8195" max="8195" width="10" style="3105" customWidth="1"/>
    <col min="8196" max="8198" width="9.625" style="3105" customWidth="1"/>
    <col min="8199" max="8199" width="4.75" style="3105" customWidth="1"/>
    <col min="8200" max="8200" width="9.625" style="3105" customWidth="1"/>
    <col min="8201" max="8201" width="9" style="3105"/>
    <col min="8202" max="8202" width="15.375" style="3105" customWidth="1"/>
    <col min="8203" max="8448" width="9" style="3105"/>
    <col min="8449" max="8449" width="6.375" style="3105" customWidth="1"/>
    <col min="8450" max="8450" width="13.875" style="3105" customWidth="1"/>
    <col min="8451" max="8451" width="10" style="3105" customWidth="1"/>
    <col min="8452" max="8454" width="9.625" style="3105" customWidth="1"/>
    <col min="8455" max="8455" width="4.75" style="3105" customWidth="1"/>
    <col min="8456" max="8456" width="9.625" style="3105" customWidth="1"/>
    <col min="8457" max="8457" width="9" style="3105"/>
    <col min="8458" max="8458" width="15.375" style="3105" customWidth="1"/>
    <col min="8459" max="8704" width="9" style="3105"/>
    <col min="8705" max="8705" width="6.375" style="3105" customWidth="1"/>
    <col min="8706" max="8706" width="13.875" style="3105" customWidth="1"/>
    <col min="8707" max="8707" width="10" style="3105" customWidth="1"/>
    <col min="8708" max="8710" width="9.625" style="3105" customWidth="1"/>
    <col min="8711" max="8711" width="4.75" style="3105" customWidth="1"/>
    <col min="8712" max="8712" width="9.625" style="3105" customWidth="1"/>
    <col min="8713" max="8713" width="9" style="3105"/>
    <col min="8714" max="8714" width="15.375" style="3105" customWidth="1"/>
    <col min="8715" max="8960" width="9" style="3105"/>
    <col min="8961" max="8961" width="6.375" style="3105" customWidth="1"/>
    <col min="8962" max="8962" width="13.875" style="3105" customWidth="1"/>
    <col min="8963" max="8963" width="10" style="3105" customWidth="1"/>
    <col min="8964" max="8966" width="9.625" style="3105" customWidth="1"/>
    <col min="8967" max="8967" width="4.75" style="3105" customWidth="1"/>
    <col min="8968" max="8968" width="9.625" style="3105" customWidth="1"/>
    <col min="8969" max="8969" width="9" style="3105"/>
    <col min="8970" max="8970" width="15.375" style="3105" customWidth="1"/>
    <col min="8971" max="9216" width="9" style="3105"/>
    <col min="9217" max="9217" width="6.375" style="3105" customWidth="1"/>
    <col min="9218" max="9218" width="13.875" style="3105" customWidth="1"/>
    <col min="9219" max="9219" width="10" style="3105" customWidth="1"/>
    <col min="9220" max="9222" width="9.625" style="3105" customWidth="1"/>
    <col min="9223" max="9223" width="4.75" style="3105" customWidth="1"/>
    <col min="9224" max="9224" width="9.625" style="3105" customWidth="1"/>
    <col min="9225" max="9225" width="9" style="3105"/>
    <col min="9226" max="9226" width="15.375" style="3105" customWidth="1"/>
    <col min="9227" max="9472" width="9" style="3105"/>
    <col min="9473" max="9473" width="6.375" style="3105" customWidth="1"/>
    <col min="9474" max="9474" width="13.875" style="3105" customWidth="1"/>
    <col min="9475" max="9475" width="10" style="3105" customWidth="1"/>
    <col min="9476" max="9478" width="9.625" style="3105" customWidth="1"/>
    <col min="9479" max="9479" width="4.75" style="3105" customWidth="1"/>
    <col min="9480" max="9480" width="9.625" style="3105" customWidth="1"/>
    <col min="9481" max="9481" width="9" style="3105"/>
    <col min="9482" max="9482" width="15.375" style="3105" customWidth="1"/>
    <col min="9483" max="9728" width="9" style="3105"/>
    <col min="9729" max="9729" width="6.375" style="3105" customWidth="1"/>
    <col min="9730" max="9730" width="13.875" style="3105" customWidth="1"/>
    <col min="9731" max="9731" width="10" style="3105" customWidth="1"/>
    <col min="9732" max="9734" width="9.625" style="3105" customWidth="1"/>
    <col min="9735" max="9735" width="4.75" style="3105" customWidth="1"/>
    <col min="9736" max="9736" width="9.625" style="3105" customWidth="1"/>
    <col min="9737" max="9737" width="9" style="3105"/>
    <col min="9738" max="9738" width="15.375" style="3105" customWidth="1"/>
    <col min="9739" max="9984" width="9" style="3105"/>
    <col min="9985" max="9985" width="6.375" style="3105" customWidth="1"/>
    <col min="9986" max="9986" width="13.875" style="3105" customWidth="1"/>
    <col min="9987" max="9987" width="10" style="3105" customWidth="1"/>
    <col min="9988" max="9990" width="9.625" style="3105" customWidth="1"/>
    <col min="9991" max="9991" width="4.75" style="3105" customWidth="1"/>
    <col min="9992" max="9992" width="9.625" style="3105" customWidth="1"/>
    <col min="9993" max="9993" width="9" style="3105"/>
    <col min="9994" max="9994" width="15.375" style="3105" customWidth="1"/>
    <col min="9995" max="10240" width="9" style="3105"/>
    <col min="10241" max="10241" width="6.375" style="3105" customWidth="1"/>
    <col min="10242" max="10242" width="13.875" style="3105" customWidth="1"/>
    <col min="10243" max="10243" width="10" style="3105" customWidth="1"/>
    <col min="10244" max="10246" width="9.625" style="3105" customWidth="1"/>
    <col min="10247" max="10247" width="4.75" style="3105" customWidth="1"/>
    <col min="10248" max="10248" width="9.625" style="3105" customWidth="1"/>
    <col min="10249" max="10249" width="9" style="3105"/>
    <col min="10250" max="10250" width="15.375" style="3105" customWidth="1"/>
    <col min="10251" max="10496" width="9" style="3105"/>
    <col min="10497" max="10497" width="6.375" style="3105" customWidth="1"/>
    <col min="10498" max="10498" width="13.875" style="3105" customWidth="1"/>
    <col min="10499" max="10499" width="10" style="3105" customWidth="1"/>
    <col min="10500" max="10502" width="9.625" style="3105" customWidth="1"/>
    <col min="10503" max="10503" width="4.75" style="3105" customWidth="1"/>
    <col min="10504" max="10504" width="9.625" style="3105" customWidth="1"/>
    <col min="10505" max="10505" width="9" style="3105"/>
    <col min="10506" max="10506" width="15.375" style="3105" customWidth="1"/>
    <col min="10507" max="10752" width="9" style="3105"/>
    <col min="10753" max="10753" width="6.375" style="3105" customWidth="1"/>
    <col min="10754" max="10754" width="13.875" style="3105" customWidth="1"/>
    <col min="10755" max="10755" width="10" style="3105" customWidth="1"/>
    <col min="10756" max="10758" width="9.625" style="3105" customWidth="1"/>
    <col min="10759" max="10759" width="4.75" style="3105" customWidth="1"/>
    <col min="10760" max="10760" width="9.625" style="3105" customWidth="1"/>
    <col min="10761" max="10761" width="9" style="3105"/>
    <col min="10762" max="10762" width="15.375" style="3105" customWidth="1"/>
    <col min="10763" max="11008" width="9" style="3105"/>
    <col min="11009" max="11009" width="6.375" style="3105" customWidth="1"/>
    <col min="11010" max="11010" width="13.875" style="3105" customWidth="1"/>
    <col min="11011" max="11011" width="10" style="3105" customWidth="1"/>
    <col min="11012" max="11014" width="9.625" style="3105" customWidth="1"/>
    <col min="11015" max="11015" width="4.75" style="3105" customWidth="1"/>
    <col min="11016" max="11016" width="9.625" style="3105" customWidth="1"/>
    <col min="11017" max="11017" width="9" style="3105"/>
    <col min="11018" max="11018" width="15.375" style="3105" customWidth="1"/>
    <col min="11019" max="11264" width="9" style="3105"/>
    <col min="11265" max="11265" width="6.375" style="3105" customWidth="1"/>
    <col min="11266" max="11266" width="13.875" style="3105" customWidth="1"/>
    <col min="11267" max="11267" width="10" style="3105" customWidth="1"/>
    <col min="11268" max="11270" width="9.625" style="3105" customWidth="1"/>
    <col min="11271" max="11271" width="4.75" style="3105" customWidth="1"/>
    <col min="11272" max="11272" width="9.625" style="3105" customWidth="1"/>
    <col min="11273" max="11273" width="9" style="3105"/>
    <col min="11274" max="11274" width="15.375" style="3105" customWidth="1"/>
    <col min="11275" max="11520" width="9" style="3105"/>
    <col min="11521" max="11521" width="6.375" style="3105" customWidth="1"/>
    <col min="11522" max="11522" width="13.875" style="3105" customWidth="1"/>
    <col min="11523" max="11523" width="10" style="3105" customWidth="1"/>
    <col min="11524" max="11526" width="9.625" style="3105" customWidth="1"/>
    <col min="11527" max="11527" width="4.75" style="3105" customWidth="1"/>
    <col min="11528" max="11528" width="9.625" style="3105" customWidth="1"/>
    <col min="11529" max="11529" width="9" style="3105"/>
    <col min="11530" max="11530" width="15.375" style="3105" customWidth="1"/>
    <col min="11531" max="11776" width="9" style="3105"/>
    <col min="11777" max="11777" width="6.375" style="3105" customWidth="1"/>
    <col min="11778" max="11778" width="13.875" style="3105" customWidth="1"/>
    <col min="11779" max="11779" width="10" style="3105" customWidth="1"/>
    <col min="11780" max="11782" width="9.625" style="3105" customWidth="1"/>
    <col min="11783" max="11783" width="4.75" style="3105" customWidth="1"/>
    <col min="11784" max="11784" width="9.625" style="3105" customWidth="1"/>
    <col min="11785" max="11785" width="9" style="3105"/>
    <col min="11786" max="11786" width="15.375" style="3105" customWidth="1"/>
    <col min="11787" max="12032" width="9" style="3105"/>
    <col min="12033" max="12033" width="6.375" style="3105" customWidth="1"/>
    <col min="12034" max="12034" width="13.875" style="3105" customWidth="1"/>
    <col min="12035" max="12035" width="10" style="3105" customWidth="1"/>
    <col min="12036" max="12038" width="9.625" style="3105" customWidth="1"/>
    <col min="12039" max="12039" width="4.75" style="3105" customWidth="1"/>
    <col min="12040" max="12040" width="9.625" style="3105" customWidth="1"/>
    <col min="12041" max="12041" width="9" style="3105"/>
    <col min="12042" max="12042" width="15.375" style="3105" customWidth="1"/>
    <col min="12043" max="12288" width="9" style="3105"/>
    <col min="12289" max="12289" width="6.375" style="3105" customWidth="1"/>
    <col min="12290" max="12290" width="13.875" style="3105" customWidth="1"/>
    <col min="12291" max="12291" width="10" style="3105" customWidth="1"/>
    <col min="12292" max="12294" width="9.625" style="3105" customWidth="1"/>
    <col min="12295" max="12295" width="4.75" style="3105" customWidth="1"/>
    <col min="12296" max="12296" width="9.625" style="3105" customWidth="1"/>
    <col min="12297" max="12297" width="9" style="3105"/>
    <col min="12298" max="12298" width="15.375" style="3105" customWidth="1"/>
    <col min="12299" max="12544" width="9" style="3105"/>
    <col min="12545" max="12545" width="6.375" style="3105" customWidth="1"/>
    <col min="12546" max="12546" width="13.875" style="3105" customWidth="1"/>
    <col min="12547" max="12547" width="10" style="3105" customWidth="1"/>
    <col min="12548" max="12550" width="9.625" style="3105" customWidth="1"/>
    <col min="12551" max="12551" width="4.75" style="3105" customWidth="1"/>
    <col min="12552" max="12552" width="9.625" style="3105" customWidth="1"/>
    <col min="12553" max="12553" width="9" style="3105"/>
    <col min="12554" max="12554" width="15.375" style="3105" customWidth="1"/>
    <col min="12555" max="12800" width="9" style="3105"/>
    <col min="12801" max="12801" width="6.375" style="3105" customWidth="1"/>
    <col min="12802" max="12802" width="13.875" style="3105" customWidth="1"/>
    <col min="12803" max="12803" width="10" style="3105" customWidth="1"/>
    <col min="12804" max="12806" width="9.625" style="3105" customWidth="1"/>
    <col min="12807" max="12807" width="4.75" style="3105" customWidth="1"/>
    <col min="12808" max="12808" width="9.625" style="3105" customWidth="1"/>
    <col min="12809" max="12809" width="9" style="3105"/>
    <col min="12810" max="12810" width="15.375" style="3105" customWidth="1"/>
    <col min="12811" max="13056" width="9" style="3105"/>
    <col min="13057" max="13057" width="6.375" style="3105" customWidth="1"/>
    <col min="13058" max="13058" width="13.875" style="3105" customWidth="1"/>
    <col min="13059" max="13059" width="10" style="3105" customWidth="1"/>
    <col min="13060" max="13062" width="9.625" style="3105" customWidth="1"/>
    <col min="13063" max="13063" width="4.75" style="3105" customWidth="1"/>
    <col min="13064" max="13064" width="9.625" style="3105" customWidth="1"/>
    <col min="13065" max="13065" width="9" style="3105"/>
    <col min="13066" max="13066" width="15.375" style="3105" customWidth="1"/>
    <col min="13067" max="13312" width="9" style="3105"/>
    <col min="13313" max="13313" width="6.375" style="3105" customWidth="1"/>
    <col min="13314" max="13314" width="13.875" style="3105" customWidth="1"/>
    <col min="13315" max="13315" width="10" style="3105" customWidth="1"/>
    <col min="13316" max="13318" width="9.625" style="3105" customWidth="1"/>
    <col min="13319" max="13319" width="4.75" style="3105" customWidth="1"/>
    <col min="13320" max="13320" width="9.625" style="3105" customWidth="1"/>
    <col min="13321" max="13321" width="9" style="3105"/>
    <col min="13322" max="13322" width="15.375" style="3105" customWidth="1"/>
    <col min="13323" max="13568" width="9" style="3105"/>
    <col min="13569" max="13569" width="6.375" style="3105" customWidth="1"/>
    <col min="13570" max="13570" width="13.875" style="3105" customWidth="1"/>
    <col min="13571" max="13571" width="10" style="3105" customWidth="1"/>
    <col min="13572" max="13574" width="9.625" style="3105" customWidth="1"/>
    <col min="13575" max="13575" width="4.75" style="3105" customWidth="1"/>
    <col min="13576" max="13576" width="9.625" style="3105" customWidth="1"/>
    <col min="13577" max="13577" width="9" style="3105"/>
    <col min="13578" max="13578" width="15.375" style="3105" customWidth="1"/>
    <col min="13579" max="13824" width="9" style="3105"/>
    <col min="13825" max="13825" width="6.375" style="3105" customWidth="1"/>
    <col min="13826" max="13826" width="13.875" style="3105" customWidth="1"/>
    <col min="13827" max="13827" width="10" style="3105" customWidth="1"/>
    <col min="13828" max="13830" width="9.625" style="3105" customWidth="1"/>
    <col min="13831" max="13831" width="4.75" style="3105" customWidth="1"/>
    <col min="13832" max="13832" width="9.625" style="3105" customWidth="1"/>
    <col min="13833" max="13833" width="9" style="3105"/>
    <col min="13834" max="13834" width="15.375" style="3105" customWidth="1"/>
    <col min="13835" max="14080" width="9" style="3105"/>
    <col min="14081" max="14081" width="6.375" style="3105" customWidth="1"/>
    <col min="14082" max="14082" width="13.875" style="3105" customWidth="1"/>
    <col min="14083" max="14083" width="10" style="3105" customWidth="1"/>
    <col min="14084" max="14086" width="9.625" style="3105" customWidth="1"/>
    <col min="14087" max="14087" width="4.75" style="3105" customWidth="1"/>
    <col min="14088" max="14088" width="9.625" style="3105" customWidth="1"/>
    <col min="14089" max="14089" width="9" style="3105"/>
    <col min="14090" max="14090" width="15.375" style="3105" customWidth="1"/>
    <col min="14091" max="14336" width="9" style="3105"/>
    <col min="14337" max="14337" width="6.375" style="3105" customWidth="1"/>
    <col min="14338" max="14338" width="13.875" style="3105" customWidth="1"/>
    <col min="14339" max="14339" width="10" style="3105" customWidth="1"/>
    <col min="14340" max="14342" width="9.625" style="3105" customWidth="1"/>
    <col min="14343" max="14343" width="4.75" style="3105" customWidth="1"/>
    <col min="14344" max="14344" width="9.625" style="3105" customWidth="1"/>
    <col min="14345" max="14345" width="9" style="3105"/>
    <col min="14346" max="14346" width="15.375" style="3105" customWidth="1"/>
    <col min="14347" max="14592" width="9" style="3105"/>
    <col min="14593" max="14593" width="6.375" style="3105" customWidth="1"/>
    <col min="14594" max="14594" width="13.875" style="3105" customWidth="1"/>
    <col min="14595" max="14595" width="10" style="3105" customWidth="1"/>
    <col min="14596" max="14598" width="9.625" style="3105" customWidth="1"/>
    <col min="14599" max="14599" width="4.75" style="3105" customWidth="1"/>
    <col min="14600" max="14600" width="9.625" style="3105" customWidth="1"/>
    <col min="14601" max="14601" width="9" style="3105"/>
    <col min="14602" max="14602" width="15.375" style="3105" customWidth="1"/>
    <col min="14603" max="14848" width="9" style="3105"/>
    <col min="14849" max="14849" width="6.375" style="3105" customWidth="1"/>
    <col min="14850" max="14850" width="13.875" style="3105" customWidth="1"/>
    <col min="14851" max="14851" width="10" style="3105" customWidth="1"/>
    <col min="14852" max="14854" width="9.625" style="3105" customWidth="1"/>
    <col min="14855" max="14855" width="4.75" style="3105" customWidth="1"/>
    <col min="14856" max="14856" width="9.625" style="3105" customWidth="1"/>
    <col min="14857" max="14857" width="9" style="3105"/>
    <col min="14858" max="14858" width="15.375" style="3105" customWidth="1"/>
    <col min="14859" max="15104" width="9" style="3105"/>
    <col min="15105" max="15105" width="6.375" style="3105" customWidth="1"/>
    <col min="15106" max="15106" width="13.875" style="3105" customWidth="1"/>
    <col min="15107" max="15107" width="10" style="3105" customWidth="1"/>
    <col min="15108" max="15110" width="9.625" style="3105" customWidth="1"/>
    <col min="15111" max="15111" width="4.75" style="3105" customWidth="1"/>
    <col min="15112" max="15112" width="9.625" style="3105" customWidth="1"/>
    <col min="15113" max="15113" width="9" style="3105"/>
    <col min="15114" max="15114" width="15.375" style="3105" customWidth="1"/>
    <col min="15115" max="15360" width="9" style="3105"/>
    <col min="15361" max="15361" width="6.375" style="3105" customWidth="1"/>
    <col min="15362" max="15362" width="13.875" style="3105" customWidth="1"/>
    <col min="15363" max="15363" width="10" style="3105" customWidth="1"/>
    <col min="15364" max="15366" width="9.625" style="3105" customWidth="1"/>
    <col min="15367" max="15367" width="4.75" style="3105" customWidth="1"/>
    <col min="15368" max="15368" width="9.625" style="3105" customWidth="1"/>
    <col min="15369" max="15369" width="9" style="3105"/>
    <col min="15370" max="15370" width="15.375" style="3105" customWidth="1"/>
    <col min="15371" max="15616" width="9" style="3105"/>
    <col min="15617" max="15617" width="6.375" style="3105" customWidth="1"/>
    <col min="15618" max="15618" width="13.875" style="3105" customWidth="1"/>
    <col min="15619" max="15619" width="10" style="3105" customWidth="1"/>
    <col min="15620" max="15622" width="9.625" style="3105" customWidth="1"/>
    <col min="15623" max="15623" width="4.75" style="3105" customWidth="1"/>
    <col min="15624" max="15624" width="9.625" style="3105" customWidth="1"/>
    <col min="15625" max="15625" width="9" style="3105"/>
    <col min="15626" max="15626" width="15.375" style="3105" customWidth="1"/>
    <col min="15627" max="15872" width="9" style="3105"/>
    <col min="15873" max="15873" width="6.375" style="3105" customWidth="1"/>
    <col min="15874" max="15874" width="13.875" style="3105" customWidth="1"/>
    <col min="15875" max="15875" width="10" style="3105" customWidth="1"/>
    <col min="15876" max="15878" width="9.625" style="3105" customWidth="1"/>
    <col min="15879" max="15879" width="4.75" style="3105" customWidth="1"/>
    <col min="15880" max="15880" width="9.625" style="3105" customWidth="1"/>
    <col min="15881" max="15881" width="9" style="3105"/>
    <col min="15882" max="15882" width="15.375" style="3105" customWidth="1"/>
    <col min="15883" max="16128" width="9" style="3105"/>
    <col min="16129" max="16129" width="6.375" style="3105" customWidth="1"/>
    <col min="16130" max="16130" width="13.875" style="3105" customWidth="1"/>
    <col min="16131" max="16131" width="10" style="3105" customWidth="1"/>
    <col min="16132" max="16134" width="9.625" style="3105" customWidth="1"/>
    <col min="16135" max="16135" width="4.75" style="3105" customWidth="1"/>
    <col min="16136" max="16136" width="9.625" style="3105" customWidth="1"/>
    <col min="16137" max="16137" width="9" style="3105"/>
    <col min="16138" max="16138" width="15.375" style="3105" customWidth="1"/>
    <col min="16139" max="16384" width="9" style="3105"/>
  </cols>
  <sheetData>
    <row r="1" spans="1:10" ht="33.950000000000003" customHeight="1">
      <c r="A1" s="3516" t="s">
        <v>3180</v>
      </c>
      <c r="B1" s="3516"/>
      <c r="C1" s="3516"/>
      <c r="D1" s="3517"/>
      <c r="E1" s="3518"/>
      <c r="F1" s="3517"/>
      <c r="G1" s="3516"/>
      <c r="H1" s="3517"/>
    </row>
    <row r="2" spans="1:10" ht="14.1" customHeight="1">
      <c r="A2" s="3519"/>
      <c r="B2" s="3519"/>
      <c r="C2" s="3519"/>
      <c r="D2" s="3520"/>
      <c r="E2" s="3521"/>
      <c r="F2" s="3520"/>
      <c r="G2" s="3519"/>
      <c r="H2" s="3520"/>
    </row>
    <row r="3" spans="1:10" ht="18" customHeight="1">
      <c r="A3" s="3106"/>
      <c r="B3" s="3106"/>
      <c r="C3" s="3106"/>
      <c r="D3" s="3107"/>
      <c r="E3" s="3108"/>
      <c r="F3" s="3109"/>
      <c r="H3" s="3107"/>
    </row>
    <row r="4" spans="1:10" ht="35.1" customHeight="1">
      <c r="A4" s="3419" t="s">
        <v>3181</v>
      </c>
      <c r="B4" s="3419" t="s">
        <v>3182</v>
      </c>
      <c r="C4" s="3419" t="s">
        <v>3183</v>
      </c>
      <c r="D4" s="3522" t="s">
        <v>3184</v>
      </c>
      <c r="E4" s="3523"/>
      <c r="F4" s="3524" t="s">
        <v>3185</v>
      </c>
      <c r="G4" s="3525"/>
      <c r="H4" s="3526"/>
    </row>
    <row r="5" spans="1:10" ht="35.1" customHeight="1">
      <c r="A5" s="3419"/>
      <c r="B5" s="3419"/>
      <c r="C5" s="3419"/>
      <c r="D5" s="3111" t="s">
        <v>3186</v>
      </c>
      <c r="E5" s="3112" t="s">
        <v>3187</v>
      </c>
      <c r="F5" s="3113" t="s">
        <v>3188</v>
      </c>
      <c r="G5" s="3114" t="s">
        <v>3189</v>
      </c>
      <c r="H5" s="3115" t="s">
        <v>3190</v>
      </c>
    </row>
    <row r="6" spans="1:10" s="3118" customFormat="1" ht="35.1" customHeight="1">
      <c r="A6" s="3420" t="s">
        <v>37</v>
      </c>
      <c r="B6" s="3420"/>
      <c r="C6" s="3420"/>
      <c r="D6" s="3116">
        <f>D12+D95+D151+D257+D11</f>
        <v>339321.63922800007</v>
      </c>
      <c r="E6" s="3117">
        <f>E12+E95+E151+E257+E11</f>
        <v>338058.96006200009</v>
      </c>
      <c r="F6" s="3116">
        <f>F12+F95+F151+F257+F11</f>
        <v>257730.91399894998</v>
      </c>
      <c r="G6" s="1218"/>
      <c r="H6" s="3116">
        <f>H12+H95+H151+H257+H11</f>
        <v>259090.778995</v>
      </c>
      <c r="J6" s="3119"/>
    </row>
    <row r="7" spans="1:10" s="3118" customFormat="1" ht="35.1" customHeight="1">
      <c r="A7" s="3510" t="s">
        <v>3191</v>
      </c>
      <c r="B7" s="3510"/>
      <c r="C7" s="3510"/>
      <c r="D7" s="3116">
        <f>D12</f>
        <v>104974.86758850001</v>
      </c>
      <c r="E7" s="3117">
        <f>E12</f>
        <v>100446.90277950003</v>
      </c>
      <c r="F7" s="3116">
        <f>F12</f>
        <v>73957.660269987493</v>
      </c>
      <c r="G7" s="1218"/>
      <c r="H7" s="3116">
        <f>H12</f>
        <v>73867.351040000009</v>
      </c>
      <c r="I7" s="3118">
        <v>45156.59</v>
      </c>
      <c r="J7" s="3120">
        <f>E7/I7*10000</f>
        <v>22244.12932409202</v>
      </c>
    </row>
    <row r="8" spans="1:10" s="3118" customFormat="1" ht="35.1" customHeight="1">
      <c r="A8" s="3510" t="s">
        <v>3192</v>
      </c>
      <c r="B8" s="3510"/>
      <c r="C8" s="3510"/>
      <c r="D8" s="3116">
        <f>D95</f>
        <v>54656.454209480013</v>
      </c>
      <c r="E8" s="3117">
        <f>E95</f>
        <v>54720.260150120004</v>
      </c>
      <c r="F8" s="3116">
        <f>F95</f>
        <v>40216.364330197001</v>
      </c>
      <c r="G8" s="1218"/>
      <c r="H8" s="3116">
        <f>H95</f>
        <v>40454.699671999995</v>
      </c>
      <c r="I8" s="3118">
        <v>48448.81</v>
      </c>
      <c r="J8" s="3120">
        <f>E8/I8*10000</f>
        <v>11294.448749127172</v>
      </c>
    </row>
    <row r="9" spans="1:10" s="3118" customFormat="1" ht="35.1" customHeight="1">
      <c r="A9" s="3510" t="s">
        <v>3193</v>
      </c>
      <c r="B9" s="3510"/>
      <c r="C9" s="3510"/>
      <c r="D9" s="3116">
        <f>D151</f>
        <v>93345.248161020048</v>
      </c>
      <c r="E9" s="3117">
        <f>E151</f>
        <v>97514.200333220026</v>
      </c>
      <c r="F9" s="3116">
        <f>F151</f>
        <v>70452.357115544495</v>
      </c>
      <c r="G9" s="1218"/>
      <c r="H9" s="3116">
        <f>H151</f>
        <v>70318.758768</v>
      </c>
      <c r="I9" s="3118">
        <f>37495.14+21299.25</f>
        <v>58794.39</v>
      </c>
      <c r="J9" s="3120">
        <f>E9/I9*10000</f>
        <v>16585.630080220242</v>
      </c>
    </row>
    <row r="10" spans="1:10" s="3118" customFormat="1" ht="27" customHeight="1">
      <c r="A10" s="3510" t="s">
        <v>3194</v>
      </c>
      <c r="B10" s="3510"/>
      <c r="C10" s="3510"/>
      <c r="D10" s="3116">
        <f>D257</f>
        <v>44091.069269</v>
      </c>
      <c r="E10" s="3117">
        <f>E257</f>
        <v>43123.596799160005</v>
      </c>
      <c r="F10" s="3116">
        <f>F257</f>
        <v>30850.532283221</v>
      </c>
      <c r="G10" s="1218"/>
      <c r="H10" s="3116">
        <f>H257</f>
        <v>32195.969515000001</v>
      </c>
      <c r="J10" s="3120"/>
    </row>
    <row r="11" spans="1:10" s="3118" customFormat="1" ht="35.1" customHeight="1">
      <c r="A11" s="3510" t="s">
        <v>3195</v>
      </c>
      <c r="B11" s="3510"/>
      <c r="C11" s="3510"/>
      <c r="D11" s="3116">
        <v>42254</v>
      </c>
      <c r="E11" s="3117">
        <v>42254</v>
      </c>
      <c r="F11" s="3116">
        <v>42254</v>
      </c>
      <c r="G11" s="1218"/>
      <c r="H11" s="3116">
        <v>42254</v>
      </c>
      <c r="J11" s="3120"/>
    </row>
    <row r="12" spans="1:10" s="3118" customFormat="1" ht="35.1" customHeight="1">
      <c r="A12" s="3101" t="s">
        <v>3196</v>
      </c>
      <c r="B12" s="3514" t="s">
        <v>3197</v>
      </c>
      <c r="C12" s="3515"/>
      <c r="D12" s="3116">
        <f>D13+D43</f>
        <v>104974.86758850001</v>
      </c>
      <c r="E12" s="3117">
        <f>E13+E43</f>
        <v>100446.90277950003</v>
      </c>
      <c r="F12" s="3116">
        <f>F13+F43</f>
        <v>73957.660269987493</v>
      </c>
      <c r="G12" s="3121"/>
      <c r="H12" s="3116">
        <f>H13+H43</f>
        <v>73867.351040000009</v>
      </c>
      <c r="J12" s="3120"/>
    </row>
    <row r="13" spans="1:10" s="3120" customFormat="1" ht="27" customHeight="1">
      <c r="A13" s="3101" t="s">
        <v>3198</v>
      </c>
      <c r="B13" s="3512" t="s">
        <v>3199</v>
      </c>
      <c r="C13" s="3513"/>
      <c r="D13" s="3116">
        <f>SUM(D14:D42)</f>
        <v>97954.65250175001</v>
      </c>
      <c r="E13" s="3117">
        <f>SUM(E14:E42)</f>
        <v>93435.597692750031</v>
      </c>
      <c r="F13" s="3116">
        <f>SUM(F14:F42)</f>
        <v>67575.254280187495</v>
      </c>
      <c r="G13" s="3121"/>
      <c r="H13" s="3116">
        <f>SUM(H14:H42)</f>
        <v>67559.109700000001</v>
      </c>
    </row>
    <row r="14" spans="1:10" s="3106" customFormat="1" ht="35.1" customHeight="1">
      <c r="A14" s="3100">
        <v>1</v>
      </c>
      <c r="B14" s="3114" t="s">
        <v>3200</v>
      </c>
      <c r="C14" s="3114" t="s">
        <v>3201</v>
      </c>
      <c r="D14" s="3111">
        <f>79138.77+95.5768</f>
        <v>79234.346799999999</v>
      </c>
      <c r="E14" s="3112">
        <v>74550.084765000007</v>
      </c>
      <c r="F14" s="3111">
        <f t="shared" ref="F14:F42" si="0">E14*G14</f>
        <v>52185.059335500002</v>
      </c>
      <c r="G14" s="3122">
        <v>0.7</v>
      </c>
      <c r="H14" s="3111">
        <f>17902+3677+4256+4131+5645+66.9+2880+2500+500+200+1000+1500+7925.75</f>
        <v>52183.65</v>
      </c>
      <c r="J14" s="3110"/>
    </row>
    <row r="15" spans="1:10" s="3106" customFormat="1" ht="35.1" customHeight="1">
      <c r="A15" s="3100">
        <v>2</v>
      </c>
      <c r="B15" s="3114" t="s">
        <v>3202</v>
      </c>
      <c r="C15" s="3114" t="s">
        <v>3203</v>
      </c>
      <c r="D15" s="3111">
        <f>1450+1135.99108875</f>
        <v>2585.99108875</v>
      </c>
      <c r="E15" s="3112">
        <f>1450+1135.99108875</f>
        <v>2585.99108875</v>
      </c>
      <c r="F15" s="3111">
        <f t="shared" si="0"/>
        <v>2198.0924254375</v>
      </c>
      <c r="G15" s="3122">
        <v>0.85</v>
      </c>
      <c r="H15" s="3111">
        <f>870+745.75+140*0.25+145+217.5+185</f>
        <v>2198.25</v>
      </c>
      <c r="J15" s="3110"/>
    </row>
    <row r="16" spans="1:10" s="3106" customFormat="1" ht="35.1" customHeight="1">
      <c r="A16" s="3100">
        <v>3</v>
      </c>
      <c r="B16" s="3114" t="s">
        <v>3204</v>
      </c>
      <c r="C16" s="3114" t="s">
        <v>3205</v>
      </c>
      <c r="D16" s="3111">
        <v>1354.57</v>
      </c>
      <c r="E16" s="3112">
        <v>1111.1369999999999</v>
      </c>
      <c r="F16" s="3111">
        <f t="shared" si="0"/>
        <v>944.4664499999999</v>
      </c>
      <c r="G16" s="3122">
        <v>0.85</v>
      </c>
      <c r="H16" s="3111">
        <f>781+27.9+64+72</f>
        <v>944.9</v>
      </c>
      <c r="J16" s="3110"/>
    </row>
    <row r="17" spans="1:10" s="3106" customFormat="1" ht="35.1" customHeight="1">
      <c r="A17" s="3100">
        <v>4</v>
      </c>
      <c r="B17" s="3114" t="s">
        <v>3206</v>
      </c>
      <c r="C17" s="3114" t="s">
        <v>3207</v>
      </c>
      <c r="D17" s="3111">
        <v>3457.6338999999998</v>
      </c>
      <c r="E17" s="3112">
        <f>970.83+1200.24+707.95+428.61+126.42</f>
        <v>3434.0500000000006</v>
      </c>
      <c r="F17" s="3111">
        <f t="shared" si="0"/>
        <v>2747.2400000000007</v>
      </c>
      <c r="G17" s="3122">
        <v>0.8</v>
      </c>
      <c r="H17" s="3111">
        <f>0+420+259+840+495+300+433</f>
        <v>2747</v>
      </c>
      <c r="J17" s="3110"/>
    </row>
    <row r="18" spans="1:10" s="3106" customFormat="1" ht="35.1" customHeight="1">
      <c r="A18" s="3100">
        <v>5</v>
      </c>
      <c r="B18" s="3114" t="s">
        <v>3208</v>
      </c>
      <c r="C18" s="3114" t="s">
        <v>3209</v>
      </c>
      <c r="D18" s="3111">
        <v>373.76256999999998</v>
      </c>
      <c r="E18" s="3112">
        <v>485.89250600000003</v>
      </c>
      <c r="F18" s="3111">
        <f t="shared" si="0"/>
        <v>340.12475419999998</v>
      </c>
      <c r="G18" s="3122">
        <v>0.7</v>
      </c>
      <c r="H18" s="3111">
        <f>115+119+20+86.12</f>
        <v>340.12</v>
      </c>
      <c r="J18" s="3110"/>
    </row>
    <row r="19" spans="1:10" s="3106" customFormat="1" ht="35.1" customHeight="1">
      <c r="A19" s="3100">
        <v>6</v>
      </c>
      <c r="B19" s="3114" t="s">
        <v>3210</v>
      </c>
      <c r="C19" s="3114" t="s">
        <v>3211</v>
      </c>
      <c r="D19" s="3111">
        <f>1333.788076*0.25</f>
        <v>333.44701900000001</v>
      </c>
      <c r="E19" s="3112">
        <v>432.6875</v>
      </c>
      <c r="F19" s="3111">
        <f t="shared" si="0"/>
        <v>302.88124999999997</v>
      </c>
      <c r="G19" s="3122">
        <v>0.7</v>
      </c>
      <c r="H19" s="3111">
        <f>12.725+22+162+31+75.15</f>
        <v>302.875</v>
      </c>
      <c r="J19" s="3110"/>
    </row>
    <row r="20" spans="1:10" s="3106" customFormat="1" ht="35.1" customHeight="1">
      <c r="A20" s="3100">
        <v>7</v>
      </c>
      <c r="B20" s="3114" t="s">
        <v>3212</v>
      </c>
      <c r="C20" s="3114" t="s">
        <v>3213</v>
      </c>
      <c r="D20" s="3111">
        <v>180.397865</v>
      </c>
      <c r="E20" s="3112">
        <v>187.30330000000001</v>
      </c>
      <c r="F20" s="3111">
        <f t="shared" si="0"/>
        <v>131.11231000000001</v>
      </c>
      <c r="G20" s="3122">
        <v>0.7</v>
      </c>
      <c r="H20" s="3111">
        <f>77+29+18+6.4</f>
        <v>130.4</v>
      </c>
      <c r="J20" s="3110"/>
    </row>
    <row r="21" spans="1:10" s="3106" customFormat="1" ht="35.1" customHeight="1">
      <c r="A21" s="3100">
        <v>8</v>
      </c>
      <c r="B21" s="3114" t="s">
        <v>3214</v>
      </c>
      <c r="C21" s="3114" t="s">
        <v>3215</v>
      </c>
      <c r="D21" s="3111">
        <v>156.907003</v>
      </c>
      <c r="E21" s="3112">
        <v>155.43</v>
      </c>
      <c r="F21" s="3111">
        <f t="shared" si="0"/>
        <v>108.801</v>
      </c>
      <c r="G21" s="3122">
        <v>0.7</v>
      </c>
      <c r="H21" s="3111">
        <f>6.9+19.5+44+30.4+8</f>
        <v>108.80000000000001</v>
      </c>
      <c r="J21" s="3110"/>
    </row>
    <row r="22" spans="1:10" s="3106" customFormat="1" ht="35.1" customHeight="1">
      <c r="A22" s="3100">
        <v>9</v>
      </c>
      <c r="B22" s="3114" t="s">
        <v>3216</v>
      </c>
      <c r="C22" s="3114" t="s">
        <v>3217</v>
      </c>
      <c r="D22" s="3111">
        <v>489.8888</v>
      </c>
      <c r="E22" s="3112">
        <f>489.8888+92.4</f>
        <v>582.28880000000004</v>
      </c>
      <c r="F22" s="3111">
        <f t="shared" si="0"/>
        <v>465.83104000000003</v>
      </c>
      <c r="G22" s="3122">
        <v>0.8</v>
      </c>
      <c r="H22" s="3111">
        <f>146+244+76</f>
        <v>466</v>
      </c>
      <c r="J22" s="3110"/>
    </row>
    <row r="23" spans="1:10" s="3106" customFormat="1" ht="35.1" customHeight="1">
      <c r="A23" s="3100">
        <v>10</v>
      </c>
      <c r="B23" s="3114" t="s">
        <v>3216</v>
      </c>
      <c r="C23" s="3114" t="s">
        <v>3218</v>
      </c>
      <c r="D23" s="3111">
        <v>2345.7025589999998</v>
      </c>
      <c r="E23" s="3112">
        <f>1248.3634+781.38+244</f>
        <v>2273.7433999999998</v>
      </c>
      <c r="F23" s="3111">
        <f t="shared" si="0"/>
        <v>1818.9947199999999</v>
      </c>
      <c r="G23" s="3122">
        <v>0.8</v>
      </c>
      <c r="H23" s="3111">
        <f>15+856+546+402</f>
        <v>1819</v>
      </c>
      <c r="J23" s="3110"/>
    </row>
    <row r="24" spans="1:10" s="3106" customFormat="1" ht="35.1" customHeight="1">
      <c r="A24" s="3100">
        <v>11</v>
      </c>
      <c r="B24" s="3114" t="s">
        <v>3219</v>
      </c>
      <c r="C24" s="3114" t="s">
        <v>3220</v>
      </c>
      <c r="D24" s="3111">
        <v>746.8836</v>
      </c>
      <c r="E24" s="3112">
        <v>746.8836</v>
      </c>
      <c r="F24" s="3111">
        <f t="shared" si="0"/>
        <v>709.53941999999995</v>
      </c>
      <c r="G24" s="3122">
        <v>0.95</v>
      </c>
      <c r="H24" s="3111">
        <f>299+237+173.5</f>
        <v>709.5</v>
      </c>
      <c r="J24" s="3110"/>
    </row>
    <row r="25" spans="1:10" s="3106" customFormat="1" ht="35.1" customHeight="1">
      <c r="A25" s="3100">
        <v>12</v>
      </c>
      <c r="B25" s="3114" t="s">
        <v>3221</v>
      </c>
      <c r="C25" s="3114" t="s">
        <v>3222</v>
      </c>
      <c r="D25" s="3111">
        <v>267.59199999999998</v>
      </c>
      <c r="E25" s="3112">
        <f>174.03+75.45+8.5</f>
        <v>257.98</v>
      </c>
      <c r="F25" s="3111">
        <f t="shared" si="0"/>
        <v>206.38400000000001</v>
      </c>
      <c r="G25" s="3122">
        <v>0.8</v>
      </c>
      <c r="H25" s="3111">
        <f>122+26+13.5+13+28+3.88</f>
        <v>206.38</v>
      </c>
      <c r="J25" s="3110"/>
    </row>
    <row r="26" spans="1:10" s="3106" customFormat="1" ht="35.1" customHeight="1">
      <c r="A26" s="3100">
        <v>13</v>
      </c>
      <c r="B26" s="3114" t="s">
        <v>3223</v>
      </c>
      <c r="C26" s="3114" t="s">
        <v>3224</v>
      </c>
      <c r="D26" s="3111">
        <v>490.99560000000002</v>
      </c>
      <c r="E26" s="3112">
        <v>638.99138000000005</v>
      </c>
      <c r="F26" s="3111">
        <f t="shared" si="0"/>
        <v>543.14267300000006</v>
      </c>
      <c r="G26" s="3122">
        <v>0.85</v>
      </c>
      <c r="H26" s="3111">
        <f>269+18+5.7+15+107.64+128</f>
        <v>543.33999999999992</v>
      </c>
      <c r="J26" s="3110"/>
    </row>
    <row r="27" spans="1:10" s="3106" customFormat="1" ht="35.1" customHeight="1">
      <c r="A27" s="3100">
        <v>14</v>
      </c>
      <c r="B27" s="3114" t="s">
        <v>3225</v>
      </c>
      <c r="C27" s="3114" t="s">
        <v>3226</v>
      </c>
      <c r="D27" s="3111">
        <f>96.0498+23.64809</f>
        <v>119.69789</v>
      </c>
      <c r="E27" s="3112">
        <v>142.5821</v>
      </c>
      <c r="F27" s="3111">
        <f t="shared" si="0"/>
        <v>99.807469999999995</v>
      </c>
      <c r="G27" s="3122">
        <v>0.7</v>
      </c>
      <c r="H27" s="3111">
        <f>19.21+24+41+0.7136+7.5+7.38</f>
        <v>99.803600000000003</v>
      </c>
      <c r="J27" s="3110"/>
    </row>
    <row r="28" spans="1:10" s="3106" customFormat="1" ht="35.1" customHeight="1">
      <c r="A28" s="3100">
        <v>15</v>
      </c>
      <c r="B28" s="3114" t="s">
        <v>3227</v>
      </c>
      <c r="C28" s="3114" t="s">
        <v>3228</v>
      </c>
      <c r="D28" s="3111">
        <v>1339.012561</v>
      </c>
      <c r="E28" s="3112">
        <f>214.61+295.9785+595.52+248.2</f>
        <v>1354.3085000000001</v>
      </c>
      <c r="F28" s="3111">
        <f t="shared" si="0"/>
        <v>1083.4468000000002</v>
      </c>
      <c r="G28" s="3122">
        <v>0.8</v>
      </c>
      <c r="H28" s="3111">
        <f>150+207+416+310</f>
        <v>1083</v>
      </c>
      <c r="J28" s="3110"/>
    </row>
    <row r="29" spans="1:10" s="3123" customFormat="1" ht="35.1" customHeight="1">
      <c r="A29" s="3100">
        <v>16</v>
      </c>
      <c r="B29" s="3114" t="s">
        <v>3229</v>
      </c>
      <c r="C29" s="3114" t="s">
        <v>3230</v>
      </c>
      <c r="D29" s="3111">
        <v>34.725000000000001</v>
      </c>
      <c r="E29" s="3112">
        <v>34.725000000000001</v>
      </c>
      <c r="F29" s="3111">
        <f t="shared" si="0"/>
        <v>32.988750000000003</v>
      </c>
      <c r="G29" s="3122">
        <v>0.95</v>
      </c>
      <c r="H29" s="3111">
        <f>8.68+24.3075</f>
        <v>32.987499999999997</v>
      </c>
      <c r="J29" s="3106"/>
    </row>
    <row r="30" spans="1:10" s="3123" customFormat="1" ht="35.1" customHeight="1">
      <c r="A30" s="3100">
        <v>17</v>
      </c>
      <c r="B30" s="3114" t="s">
        <v>3206</v>
      </c>
      <c r="C30" s="3114" t="s">
        <v>3231</v>
      </c>
      <c r="D30" s="3111">
        <v>542.08000000000004</v>
      </c>
      <c r="E30" s="3112">
        <v>542.08000000000004</v>
      </c>
      <c r="F30" s="3111">
        <f t="shared" si="0"/>
        <v>379.45600000000002</v>
      </c>
      <c r="G30" s="3122">
        <v>0.7</v>
      </c>
      <c r="H30" s="3111">
        <v>379</v>
      </c>
      <c r="J30" s="3107"/>
    </row>
    <row r="31" spans="1:10" s="3123" customFormat="1" ht="35.1" customHeight="1">
      <c r="A31" s="3100">
        <v>18</v>
      </c>
      <c r="B31" s="3114" t="s">
        <v>3232</v>
      </c>
      <c r="C31" s="3114" t="s">
        <v>3233</v>
      </c>
      <c r="D31" s="3111">
        <v>637.58314299999995</v>
      </c>
      <c r="E31" s="3112">
        <v>637.58314299999995</v>
      </c>
      <c r="F31" s="3111">
        <f t="shared" si="0"/>
        <v>510.06651439999996</v>
      </c>
      <c r="G31" s="3122">
        <v>0.8</v>
      </c>
      <c r="H31" s="3111">
        <f>95+319+96</f>
        <v>510</v>
      </c>
      <c r="J31" s="3106"/>
    </row>
    <row r="32" spans="1:10" s="3123" customFormat="1" ht="35.1" customHeight="1">
      <c r="A32" s="3100">
        <v>19</v>
      </c>
      <c r="B32" s="3114" t="s">
        <v>3234</v>
      </c>
      <c r="C32" s="3114" t="s">
        <v>3235</v>
      </c>
      <c r="D32" s="3111">
        <v>88.088999999999999</v>
      </c>
      <c r="E32" s="3112">
        <v>88.088999999999999</v>
      </c>
      <c r="F32" s="3111">
        <f t="shared" si="0"/>
        <v>70.471199999999996</v>
      </c>
      <c r="G32" s="3122">
        <v>0.8</v>
      </c>
      <c r="H32" s="3111">
        <f>61+9</f>
        <v>70</v>
      </c>
      <c r="J32" s="3106"/>
    </row>
    <row r="33" spans="1:10" s="3123" customFormat="1" ht="35.1" customHeight="1">
      <c r="A33" s="3100">
        <v>20</v>
      </c>
      <c r="B33" s="3114" t="s">
        <v>3236</v>
      </c>
      <c r="C33" s="3114" t="s">
        <v>3237</v>
      </c>
      <c r="D33" s="3111">
        <v>6.91</v>
      </c>
      <c r="E33" s="3112">
        <v>6.91</v>
      </c>
      <c r="F33" s="3111">
        <f t="shared" si="0"/>
        <v>6.91</v>
      </c>
      <c r="G33" s="3122">
        <v>1</v>
      </c>
      <c r="H33" s="3111">
        <v>6.91</v>
      </c>
      <c r="J33" s="3106"/>
    </row>
    <row r="34" spans="1:10" s="3123" customFormat="1" ht="35.1" customHeight="1">
      <c r="A34" s="3100">
        <v>21</v>
      </c>
      <c r="B34" s="3114" t="s">
        <v>3225</v>
      </c>
      <c r="C34" s="3114" t="s">
        <v>3238</v>
      </c>
      <c r="D34" s="3111">
        <v>8.2449999999999992</v>
      </c>
      <c r="E34" s="3112">
        <v>3.7966000000000002</v>
      </c>
      <c r="F34" s="3111">
        <f t="shared" si="0"/>
        <v>3.7966000000000002</v>
      </c>
      <c r="G34" s="3122">
        <v>1</v>
      </c>
      <c r="H34" s="3111">
        <v>3.7966000000000002</v>
      </c>
      <c r="J34" s="3106"/>
    </row>
    <row r="35" spans="1:10" s="3123" customFormat="1" ht="35.1" customHeight="1">
      <c r="A35" s="3100">
        <v>23</v>
      </c>
      <c r="B35" s="3114" t="s">
        <v>3239</v>
      </c>
      <c r="C35" s="3114" t="s">
        <v>3240</v>
      </c>
      <c r="D35" s="3111">
        <v>573.27620000000002</v>
      </c>
      <c r="E35" s="3112">
        <f>331.4+189.7+50.9652</f>
        <v>572.06519999999989</v>
      </c>
      <c r="F35" s="3111">
        <f t="shared" si="0"/>
        <v>554.90324399999986</v>
      </c>
      <c r="G35" s="3122">
        <v>0.97</v>
      </c>
      <c r="H35" s="3111">
        <f>229+92+114+70+49</f>
        <v>554</v>
      </c>
      <c r="J35" s="3106"/>
    </row>
    <row r="36" spans="1:10" s="3123" customFormat="1" ht="35.1" customHeight="1">
      <c r="A36" s="3100">
        <v>24</v>
      </c>
      <c r="B36" s="3114" t="s">
        <v>3241</v>
      </c>
      <c r="C36" s="3114" t="s">
        <v>3242</v>
      </c>
      <c r="D36" s="3111">
        <f>952.66+50.93</f>
        <v>1003.5899999999999</v>
      </c>
      <c r="E36" s="3112">
        <f>952.66+50.93</f>
        <v>1003.5899999999999</v>
      </c>
      <c r="F36" s="3111">
        <f t="shared" si="0"/>
        <v>973.4822999999999</v>
      </c>
      <c r="G36" s="3122">
        <v>0.97</v>
      </c>
      <c r="H36" s="3111">
        <f>285.8+15.3+672.2</f>
        <v>973.30000000000007</v>
      </c>
      <c r="J36" s="3106"/>
    </row>
    <row r="37" spans="1:10" s="3123" customFormat="1" ht="35.1" customHeight="1">
      <c r="A37" s="3100">
        <v>25</v>
      </c>
      <c r="B37" s="3114" t="s">
        <v>3243</v>
      </c>
      <c r="C37" s="3114" t="s">
        <v>3244</v>
      </c>
      <c r="D37" s="3111">
        <v>1400.86</v>
      </c>
      <c r="E37" s="3112">
        <v>1425.1384069999999</v>
      </c>
      <c r="F37" s="3111">
        <f t="shared" si="0"/>
        <v>997.59688489999985</v>
      </c>
      <c r="G37" s="3122">
        <v>0.7</v>
      </c>
      <c r="H37" s="3111">
        <f>591.6+204.6+201.39</f>
        <v>997.59</v>
      </c>
      <c r="J37" s="3106"/>
    </row>
    <row r="38" spans="1:10" s="3123" customFormat="1" ht="35.1" customHeight="1">
      <c r="A38" s="3100">
        <v>26</v>
      </c>
      <c r="B38" s="3114" t="s">
        <v>3245</v>
      </c>
      <c r="C38" s="3114" t="s">
        <v>3246</v>
      </c>
      <c r="D38" s="3111">
        <v>34.983499999999999</v>
      </c>
      <c r="E38" s="3112">
        <v>34.78</v>
      </c>
      <c r="F38" s="3111">
        <f t="shared" si="0"/>
        <v>24.346</v>
      </c>
      <c r="G38" s="3122">
        <v>0.7</v>
      </c>
      <c r="H38" s="3111">
        <v>22.606999999999999</v>
      </c>
      <c r="J38" s="3106"/>
    </row>
    <row r="39" spans="1:10" s="3123" customFormat="1" ht="35.1" customHeight="1">
      <c r="A39" s="3100">
        <v>27</v>
      </c>
      <c r="B39" s="3114" t="s">
        <v>3247</v>
      </c>
      <c r="C39" s="3114" t="s">
        <v>3248</v>
      </c>
      <c r="D39" s="3111">
        <v>6.28</v>
      </c>
      <c r="E39" s="3112">
        <v>6.2850000000000001</v>
      </c>
      <c r="F39" s="3111">
        <f t="shared" si="0"/>
        <v>5.9707499999999998</v>
      </c>
      <c r="G39" s="3122">
        <v>0.95</v>
      </c>
      <c r="H39" s="3111">
        <v>4</v>
      </c>
      <c r="J39" s="3106"/>
    </row>
    <row r="40" spans="1:10" s="3123" customFormat="1" ht="35.1" customHeight="1">
      <c r="A40" s="3100">
        <v>28</v>
      </c>
      <c r="B40" s="3114" t="s">
        <v>3249</v>
      </c>
      <c r="C40" s="3114" t="s">
        <v>3250</v>
      </c>
      <c r="D40" s="3111">
        <v>14.653</v>
      </c>
      <c r="E40" s="3112">
        <v>14.653</v>
      </c>
      <c r="F40" s="3111">
        <f t="shared" si="0"/>
        <v>13.920349999999999</v>
      </c>
      <c r="G40" s="3122">
        <v>0.95</v>
      </c>
      <c r="H40" s="3111">
        <f>10</f>
        <v>10</v>
      </c>
      <c r="J40" s="3106"/>
    </row>
    <row r="41" spans="1:10" s="3123" customFormat="1" ht="35.1" customHeight="1">
      <c r="A41" s="3100">
        <v>29</v>
      </c>
      <c r="B41" s="3114" t="s">
        <v>3229</v>
      </c>
      <c r="C41" s="3114" t="s">
        <v>3251</v>
      </c>
      <c r="D41" s="3111">
        <v>37.989440999999999</v>
      </c>
      <c r="E41" s="3112">
        <v>37.989440999999999</v>
      </c>
      <c r="F41" s="3111">
        <f t="shared" si="0"/>
        <v>32.291024849999999</v>
      </c>
      <c r="G41" s="3122">
        <v>0.85</v>
      </c>
      <c r="H41" s="3111">
        <v>32.29</v>
      </c>
      <c r="J41" s="3106"/>
    </row>
    <row r="42" spans="1:10" s="3123" customFormat="1" ht="35.1" customHeight="1">
      <c r="A42" s="3100">
        <v>30</v>
      </c>
      <c r="B42" s="3114" t="s">
        <v>3249</v>
      </c>
      <c r="C42" s="3114" t="s">
        <v>3252</v>
      </c>
      <c r="D42" s="3111">
        <v>88.558961999999994</v>
      </c>
      <c r="E42" s="3112">
        <v>88.558961999999994</v>
      </c>
      <c r="F42" s="3111">
        <f t="shared" si="0"/>
        <v>84.131013899999985</v>
      </c>
      <c r="G42" s="3122">
        <v>0.95</v>
      </c>
      <c r="H42" s="3111">
        <f>35.61+44</f>
        <v>79.61</v>
      </c>
      <c r="J42" s="3124"/>
    </row>
    <row r="43" spans="1:10" s="3106" customFormat="1" ht="27" customHeight="1">
      <c r="A43" s="3100"/>
      <c r="B43" s="3512" t="s">
        <v>3253</v>
      </c>
      <c r="C43" s="3513"/>
      <c r="D43" s="3116">
        <f>SUM(D44:D94)</f>
        <v>7020.2150867499995</v>
      </c>
      <c r="E43" s="3117">
        <f>SUM(E44:E94)</f>
        <v>7011.3050867499996</v>
      </c>
      <c r="F43" s="3116">
        <f>SUM(F44:F94)</f>
        <v>6382.4059898000014</v>
      </c>
      <c r="G43" s="3125"/>
      <c r="H43" s="3116">
        <f>SUM(H44:H94)</f>
        <v>6308.2413400000023</v>
      </c>
      <c r="J43" s="3126"/>
    </row>
    <row r="44" spans="1:10" s="3106" customFormat="1" ht="35.1" customHeight="1">
      <c r="A44" s="3100">
        <v>1</v>
      </c>
      <c r="B44" s="3114" t="s">
        <v>3254</v>
      </c>
      <c r="C44" s="3114" t="s">
        <v>3255</v>
      </c>
      <c r="D44" s="3111">
        <v>913.5</v>
      </c>
      <c r="E44" s="3112">
        <v>913.5</v>
      </c>
      <c r="F44" s="3111">
        <f t="shared" ref="F44:F85" si="1">E44*G44</f>
        <v>867.82499999999993</v>
      </c>
      <c r="G44" s="3122">
        <v>0.95</v>
      </c>
      <c r="H44" s="3111">
        <f>190+80+80+89+109+47.95+89+137</f>
        <v>821.95</v>
      </c>
      <c r="J44" s="3126"/>
    </row>
    <row r="45" spans="1:10" s="3106" customFormat="1" ht="35.1" customHeight="1">
      <c r="A45" s="3100">
        <v>2</v>
      </c>
      <c r="B45" s="3114" t="s">
        <v>3256</v>
      </c>
      <c r="C45" s="3114" t="s">
        <v>3257</v>
      </c>
      <c r="D45" s="3111">
        <v>50</v>
      </c>
      <c r="E45" s="3112">
        <v>50</v>
      </c>
      <c r="F45" s="3111">
        <f t="shared" si="1"/>
        <v>50</v>
      </c>
      <c r="G45" s="3122">
        <v>1</v>
      </c>
      <c r="H45" s="3111">
        <f>25+12.5+12.5</f>
        <v>50</v>
      </c>
      <c r="J45" s="3126"/>
    </row>
    <row r="46" spans="1:10" s="3106" customFormat="1" ht="35.1" customHeight="1">
      <c r="A46" s="3100">
        <v>3</v>
      </c>
      <c r="B46" s="3114" t="s">
        <v>3258</v>
      </c>
      <c r="C46" s="3114" t="s">
        <v>3259</v>
      </c>
      <c r="D46" s="3111">
        <v>18.5</v>
      </c>
      <c r="E46" s="3112">
        <v>18.5</v>
      </c>
      <c r="F46" s="3111">
        <f t="shared" si="1"/>
        <v>17.574999999999999</v>
      </c>
      <c r="G46" s="3122">
        <v>0.95</v>
      </c>
      <c r="H46" s="3111">
        <f>5.5+6.525+4.7</f>
        <v>16.725000000000001</v>
      </c>
      <c r="J46" s="3126"/>
    </row>
    <row r="47" spans="1:10" s="3123" customFormat="1" ht="35.1" customHeight="1">
      <c r="A47" s="3100">
        <v>4</v>
      </c>
      <c r="B47" s="3114" t="s">
        <v>3260</v>
      </c>
      <c r="C47" s="3114" t="s">
        <v>3261</v>
      </c>
      <c r="D47" s="3111">
        <v>579.5</v>
      </c>
      <c r="E47" s="3112">
        <v>579.5</v>
      </c>
      <c r="F47" s="3111">
        <f t="shared" si="1"/>
        <v>550.52499999999998</v>
      </c>
      <c r="G47" s="3122">
        <v>0.95</v>
      </c>
      <c r="H47" s="3111">
        <f>526.7125+24</f>
        <v>550.71249999999998</v>
      </c>
      <c r="J47" s="3106"/>
    </row>
    <row r="48" spans="1:10" s="3123" customFormat="1" ht="35.1" customHeight="1">
      <c r="A48" s="3100">
        <v>5</v>
      </c>
      <c r="B48" s="3114" t="s">
        <v>3262</v>
      </c>
      <c r="C48" s="3114" t="s">
        <v>3261</v>
      </c>
      <c r="D48" s="3111">
        <v>214.25</v>
      </c>
      <c r="E48" s="3112">
        <v>214.25</v>
      </c>
      <c r="F48" s="3111">
        <f t="shared" si="1"/>
        <v>203.53749999999999</v>
      </c>
      <c r="G48" s="3122">
        <v>0.95</v>
      </c>
      <c r="H48" s="3111">
        <f>123.9625+47+32</f>
        <v>202.96250000000001</v>
      </c>
      <c r="J48" s="3106"/>
    </row>
    <row r="49" spans="1:10" s="3123" customFormat="1" ht="35.1" customHeight="1">
      <c r="A49" s="3100">
        <v>6</v>
      </c>
      <c r="B49" s="3114" t="s">
        <v>3263</v>
      </c>
      <c r="C49" s="3114" t="s">
        <v>3261</v>
      </c>
      <c r="D49" s="3111">
        <v>86.25</v>
      </c>
      <c r="E49" s="3112">
        <v>86.25</v>
      </c>
      <c r="F49" s="3111">
        <f t="shared" si="1"/>
        <v>81.9375</v>
      </c>
      <c r="G49" s="3122">
        <v>0.95</v>
      </c>
      <c r="H49" s="3111">
        <f>53.325+16+12</f>
        <v>81.325000000000003</v>
      </c>
      <c r="J49" s="3106"/>
    </row>
    <row r="50" spans="1:10" s="3123" customFormat="1" ht="35.1" customHeight="1">
      <c r="A50" s="3100">
        <v>7</v>
      </c>
      <c r="B50" s="3114" t="s">
        <v>3264</v>
      </c>
      <c r="C50" s="3114" t="s">
        <v>3265</v>
      </c>
      <c r="D50" s="3111">
        <v>39.353845</v>
      </c>
      <c r="E50" s="3112">
        <v>39.353845</v>
      </c>
      <c r="F50" s="3111">
        <f t="shared" si="1"/>
        <v>39.353845</v>
      </c>
      <c r="G50" s="3122">
        <v>1</v>
      </c>
      <c r="H50" s="3111">
        <f>13.5+3+21</f>
        <v>37.5</v>
      </c>
      <c r="J50" s="3106"/>
    </row>
    <row r="51" spans="1:10" s="3123" customFormat="1" ht="35.1" customHeight="1">
      <c r="A51" s="3100">
        <v>8</v>
      </c>
      <c r="B51" s="3114" t="s">
        <v>3266</v>
      </c>
      <c r="C51" s="3114" t="s">
        <v>3267</v>
      </c>
      <c r="D51" s="3111">
        <v>10</v>
      </c>
      <c r="E51" s="3112">
        <v>10</v>
      </c>
      <c r="F51" s="3111">
        <f t="shared" si="1"/>
        <v>10</v>
      </c>
      <c r="G51" s="3122">
        <v>1</v>
      </c>
      <c r="H51" s="3111">
        <f>5+5</f>
        <v>10</v>
      </c>
      <c r="J51" s="3106"/>
    </row>
    <row r="52" spans="1:10" s="3123" customFormat="1" ht="35.1" customHeight="1">
      <c r="A52" s="3100">
        <v>9</v>
      </c>
      <c r="B52" s="3127" t="s">
        <v>3268</v>
      </c>
      <c r="C52" s="3114" t="s">
        <v>3269</v>
      </c>
      <c r="D52" s="3111">
        <v>392.01749999999998</v>
      </c>
      <c r="E52" s="3112">
        <v>392.01749999999998</v>
      </c>
      <c r="F52" s="3111">
        <f t="shared" si="1"/>
        <v>392.01749999999998</v>
      </c>
      <c r="G52" s="3122">
        <v>1</v>
      </c>
      <c r="H52" s="3111">
        <f>274+100</f>
        <v>374</v>
      </c>
      <c r="J52" s="3106"/>
    </row>
    <row r="53" spans="1:10" s="3123" customFormat="1" ht="35.1" customHeight="1">
      <c r="A53" s="3100">
        <v>10</v>
      </c>
      <c r="B53" s="3127" t="s">
        <v>3270</v>
      </c>
      <c r="C53" s="3114" t="s">
        <v>3271</v>
      </c>
      <c r="D53" s="3111">
        <v>380.8</v>
      </c>
      <c r="E53" s="3112">
        <v>380.8</v>
      </c>
      <c r="F53" s="3111">
        <f t="shared" si="1"/>
        <v>380.8</v>
      </c>
      <c r="G53" s="3122">
        <v>1</v>
      </c>
      <c r="H53" s="3111">
        <v>380.8</v>
      </c>
      <c r="J53" s="3106"/>
    </row>
    <row r="54" spans="1:10" s="3123" customFormat="1" ht="35.1" customHeight="1">
      <c r="A54" s="3100">
        <v>11</v>
      </c>
      <c r="B54" s="3114" t="s">
        <v>3272</v>
      </c>
      <c r="C54" s="3114" t="s">
        <v>3273</v>
      </c>
      <c r="D54" s="3111">
        <v>7.56</v>
      </c>
      <c r="E54" s="3112">
        <v>7.56</v>
      </c>
      <c r="F54" s="3111">
        <f t="shared" si="1"/>
        <v>7.56</v>
      </c>
      <c r="G54" s="3122">
        <v>1</v>
      </c>
      <c r="H54" s="3111">
        <v>7.56</v>
      </c>
      <c r="J54" s="3106"/>
    </row>
    <row r="55" spans="1:10" s="3123" customFormat="1" ht="35.1" customHeight="1">
      <c r="A55" s="3100">
        <v>12</v>
      </c>
      <c r="B55" s="3114" t="s">
        <v>3274</v>
      </c>
      <c r="C55" s="3114" t="s">
        <v>3275</v>
      </c>
      <c r="D55" s="3111">
        <v>1.75</v>
      </c>
      <c r="E55" s="3112">
        <v>1.75</v>
      </c>
      <c r="F55" s="3111">
        <f t="shared" si="1"/>
        <v>1.75</v>
      </c>
      <c r="G55" s="3122">
        <v>1</v>
      </c>
      <c r="H55" s="3111">
        <v>1.75</v>
      </c>
      <c r="J55" s="3106"/>
    </row>
    <row r="56" spans="1:10" s="3123" customFormat="1" ht="35.1" customHeight="1">
      <c r="A56" s="3100">
        <v>13</v>
      </c>
      <c r="B56" s="3114" t="s">
        <v>3276</v>
      </c>
      <c r="C56" s="3114" t="s">
        <v>3277</v>
      </c>
      <c r="D56" s="3111">
        <v>11.9</v>
      </c>
      <c r="E56" s="3112">
        <v>11.9</v>
      </c>
      <c r="F56" s="3111">
        <f t="shared" si="1"/>
        <v>11.9</v>
      </c>
      <c r="G56" s="3122">
        <v>1</v>
      </c>
      <c r="H56" s="3111">
        <f>8.3+3.6</f>
        <v>11.9</v>
      </c>
      <c r="J56" s="3106"/>
    </row>
    <row r="57" spans="1:10" s="3123" customFormat="1" ht="35.1" customHeight="1">
      <c r="A57" s="3100">
        <v>14</v>
      </c>
      <c r="B57" s="3114" t="s">
        <v>3276</v>
      </c>
      <c r="C57" s="3114" t="s">
        <v>3278</v>
      </c>
      <c r="D57" s="3111">
        <v>11.1</v>
      </c>
      <c r="E57" s="3112">
        <v>11.1</v>
      </c>
      <c r="F57" s="3111">
        <f t="shared" si="1"/>
        <v>11.1</v>
      </c>
      <c r="G57" s="3122">
        <v>1</v>
      </c>
      <c r="H57" s="3111">
        <f>7.7+3.4</f>
        <v>11.1</v>
      </c>
      <c r="J57" s="3106"/>
    </row>
    <row r="58" spans="1:10" s="3123" customFormat="1" ht="35.1" customHeight="1">
      <c r="A58" s="3100">
        <v>15</v>
      </c>
      <c r="B58" s="3114" t="s">
        <v>3276</v>
      </c>
      <c r="C58" s="3114" t="s">
        <v>3279</v>
      </c>
      <c r="D58" s="3111">
        <v>1.6</v>
      </c>
      <c r="E58" s="3112">
        <v>1.6</v>
      </c>
      <c r="F58" s="3111">
        <f t="shared" si="1"/>
        <v>1.6</v>
      </c>
      <c r="G58" s="3122">
        <v>1</v>
      </c>
      <c r="H58" s="3111">
        <f>1.12+0.48</f>
        <v>1.6</v>
      </c>
      <c r="J58" s="3106"/>
    </row>
    <row r="59" spans="1:10" s="3123" customFormat="1" ht="35.1" customHeight="1">
      <c r="A59" s="3100">
        <v>16</v>
      </c>
      <c r="B59" s="3114" t="s">
        <v>3280</v>
      </c>
      <c r="C59" s="3114" t="s">
        <v>3281</v>
      </c>
      <c r="D59" s="3111">
        <v>0.53300000000000003</v>
      </c>
      <c r="E59" s="3112">
        <v>0.53300000000000003</v>
      </c>
      <c r="F59" s="3111">
        <f t="shared" si="1"/>
        <v>0.53300000000000003</v>
      </c>
      <c r="G59" s="3122">
        <v>1</v>
      </c>
      <c r="H59" s="3111">
        <v>0.53300000000000003</v>
      </c>
      <c r="J59" s="3106"/>
    </row>
    <row r="60" spans="1:10" s="3123" customFormat="1" ht="35.1" customHeight="1">
      <c r="A60" s="3100">
        <v>17</v>
      </c>
      <c r="B60" s="3114" t="s">
        <v>3282</v>
      </c>
      <c r="C60" s="3114" t="s">
        <v>3283</v>
      </c>
      <c r="D60" s="3111">
        <v>0.6</v>
      </c>
      <c r="E60" s="3112">
        <v>0.6</v>
      </c>
      <c r="F60" s="3111">
        <f t="shared" si="1"/>
        <v>0.6</v>
      </c>
      <c r="G60" s="3122">
        <v>1</v>
      </c>
      <c r="H60" s="3111">
        <v>0</v>
      </c>
      <c r="J60" s="3106"/>
    </row>
    <row r="61" spans="1:10" s="3123" customFormat="1" ht="35.1" customHeight="1">
      <c r="A61" s="3100">
        <v>18</v>
      </c>
      <c r="B61" s="3114" t="s">
        <v>3264</v>
      </c>
      <c r="C61" s="3114" t="s">
        <v>3284</v>
      </c>
      <c r="D61" s="3111">
        <v>1.1399999999999999</v>
      </c>
      <c r="E61" s="3112">
        <v>1.1399999999999999</v>
      </c>
      <c r="F61" s="3111">
        <f t="shared" si="1"/>
        <v>1.1399999999999999</v>
      </c>
      <c r="G61" s="3122">
        <v>1</v>
      </c>
      <c r="H61" s="3111">
        <f>0.79+0.34</f>
        <v>1.1300000000000001</v>
      </c>
      <c r="J61" s="3106"/>
    </row>
    <row r="62" spans="1:10" s="3123" customFormat="1" ht="35.1" customHeight="1">
      <c r="A62" s="3100">
        <v>19</v>
      </c>
      <c r="B62" s="3114" t="s">
        <v>3262</v>
      </c>
      <c r="C62" s="3114" t="s">
        <v>3285</v>
      </c>
      <c r="D62" s="3111">
        <v>22.38</v>
      </c>
      <c r="E62" s="3112">
        <v>22.38</v>
      </c>
      <c r="F62" s="3111">
        <f t="shared" si="1"/>
        <v>22.38</v>
      </c>
      <c r="G62" s="3122">
        <v>1</v>
      </c>
      <c r="H62" s="3111">
        <f>11.53+2+7.33</f>
        <v>20.86</v>
      </c>
      <c r="J62" s="3106"/>
    </row>
    <row r="63" spans="1:10" s="3123" customFormat="1" ht="35.1" customHeight="1">
      <c r="A63" s="3100">
        <v>20</v>
      </c>
      <c r="B63" s="3114" t="s">
        <v>3260</v>
      </c>
      <c r="C63" s="3114" t="s">
        <v>3286</v>
      </c>
      <c r="D63" s="3111">
        <v>42.5</v>
      </c>
      <c r="E63" s="3112">
        <v>42.5</v>
      </c>
      <c r="F63" s="3111">
        <f t="shared" si="1"/>
        <v>42.5</v>
      </c>
      <c r="G63" s="3122">
        <v>1</v>
      </c>
      <c r="H63" s="3111">
        <f>21.56+8+11</f>
        <v>40.56</v>
      </c>
      <c r="J63" s="3106"/>
    </row>
    <row r="64" spans="1:10" s="3123" customFormat="1" ht="35.1" customHeight="1">
      <c r="A64" s="3100">
        <v>21</v>
      </c>
      <c r="B64" s="3114" t="s">
        <v>3287</v>
      </c>
      <c r="C64" s="3114" t="s">
        <v>3288</v>
      </c>
      <c r="D64" s="3111">
        <v>10.4</v>
      </c>
      <c r="E64" s="3112">
        <v>10.4</v>
      </c>
      <c r="F64" s="3111">
        <f t="shared" si="1"/>
        <v>10.4</v>
      </c>
      <c r="G64" s="3122">
        <v>1</v>
      </c>
      <c r="H64" s="3111">
        <v>10.4</v>
      </c>
      <c r="J64" s="3106"/>
    </row>
    <row r="65" spans="1:10" s="3123" customFormat="1" ht="35.1" customHeight="1">
      <c r="A65" s="3100">
        <v>22</v>
      </c>
      <c r="B65" s="3114" t="s">
        <v>3260</v>
      </c>
      <c r="C65" s="3114" t="s">
        <v>3289</v>
      </c>
      <c r="D65" s="3111">
        <v>45.41</v>
      </c>
      <c r="E65" s="3112">
        <v>45.41</v>
      </c>
      <c r="F65" s="3111">
        <f t="shared" si="1"/>
        <v>45.41</v>
      </c>
      <c r="G65" s="3122">
        <v>1</v>
      </c>
      <c r="H65" s="3111">
        <f>22.7+9+11.5</f>
        <v>43.2</v>
      </c>
      <c r="J65" s="3106"/>
    </row>
    <row r="66" spans="1:10" s="3123" customFormat="1" ht="35.1" customHeight="1">
      <c r="A66" s="3100">
        <v>23</v>
      </c>
      <c r="B66" s="3114" t="s">
        <v>3262</v>
      </c>
      <c r="C66" s="3114" t="s">
        <v>3290</v>
      </c>
      <c r="D66" s="3111">
        <v>2.54</v>
      </c>
      <c r="E66" s="3112">
        <v>2.54</v>
      </c>
      <c r="F66" s="3111">
        <f t="shared" si="1"/>
        <v>2.54</v>
      </c>
      <c r="G66" s="3122">
        <v>1</v>
      </c>
      <c r="H66" s="3111">
        <f>1.27+1.26</f>
        <v>2.5300000000000002</v>
      </c>
      <c r="J66" s="3106"/>
    </row>
    <row r="67" spans="1:10" s="3123" customFormat="1" ht="35.1" customHeight="1">
      <c r="A67" s="3100">
        <v>24</v>
      </c>
      <c r="B67" s="3114" t="s">
        <v>3264</v>
      </c>
      <c r="C67" s="3114" t="s">
        <v>3291</v>
      </c>
      <c r="D67" s="3111">
        <v>11.1158</v>
      </c>
      <c r="E67" s="3112">
        <v>11.1158</v>
      </c>
      <c r="F67" s="3111">
        <f t="shared" si="1"/>
        <v>11.1158</v>
      </c>
      <c r="G67" s="3122">
        <v>1</v>
      </c>
      <c r="H67" s="3111">
        <f>5.24+5.6</f>
        <v>10.84</v>
      </c>
      <c r="J67" s="3106"/>
    </row>
    <row r="68" spans="1:10" s="3123" customFormat="1" ht="35.1" customHeight="1">
      <c r="A68" s="3100">
        <v>25</v>
      </c>
      <c r="B68" s="3114" t="s">
        <v>3264</v>
      </c>
      <c r="C68" s="3114" t="s">
        <v>3292</v>
      </c>
      <c r="D68" s="3111">
        <v>4.8</v>
      </c>
      <c r="E68" s="3112">
        <v>4.8</v>
      </c>
      <c r="F68" s="3111">
        <f t="shared" si="1"/>
        <v>4.8</v>
      </c>
      <c r="G68" s="3122">
        <v>1</v>
      </c>
      <c r="H68" s="3111">
        <f>2.4+2.4</f>
        <v>4.8</v>
      </c>
      <c r="J68" s="3106"/>
    </row>
    <row r="69" spans="1:10" s="3123" customFormat="1" ht="35.1" customHeight="1">
      <c r="A69" s="3100">
        <v>26</v>
      </c>
      <c r="B69" s="3114" t="s">
        <v>3293</v>
      </c>
      <c r="C69" s="3114" t="s">
        <v>3294</v>
      </c>
      <c r="D69" s="3111">
        <v>4.75</v>
      </c>
      <c r="E69" s="3112">
        <v>4.75</v>
      </c>
      <c r="F69" s="3111">
        <f t="shared" si="1"/>
        <v>4.75</v>
      </c>
      <c r="G69" s="3122">
        <v>1</v>
      </c>
      <c r="H69" s="3111">
        <f>3.325+1.425</f>
        <v>4.75</v>
      </c>
      <c r="J69" s="3106"/>
    </row>
    <row r="70" spans="1:10" s="3123" customFormat="1" ht="35.1" customHeight="1">
      <c r="A70" s="3100">
        <v>27</v>
      </c>
      <c r="B70" s="3114" t="s">
        <v>3295</v>
      </c>
      <c r="C70" s="3114" t="s">
        <v>3296</v>
      </c>
      <c r="D70" s="3111">
        <v>1.5</v>
      </c>
      <c r="E70" s="3112">
        <v>1.5</v>
      </c>
      <c r="F70" s="3111">
        <f t="shared" si="1"/>
        <v>1.5</v>
      </c>
      <c r="G70" s="3122">
        <v>1</v>
      </c>
      <c r="H70" s="3111">
        <v>1.5</v>
      </c>
      <c r="J70" s="3106"/>
    </row>
    <row r="71" spans="1:10" s="3123" customFormat="1" ht="35.1" customHeight="1">
      <c r="A71" s="3100">
        <v>28</v>
      </c>
      <c r="B71" s="3114" t="s">
        <v>3295</v>
      </c>
      <c r="C71" s="3114" t="s">
        <v>3296</v>
      </c>
      <c r="D71" s="3111">
        <v>3.5</v>
      </c>
      <c r="E71" s="3112">
        <v>3.5</v>
      </c>
      <c r="F71" s="3111">
        <f t="shared" si="1"/>
        <v>3.5</v>
      </c>
      <c r="G71" s="3122">
        <v>1</v>
      </c>
      <c r="H71" s="3111">
        <v>3.5</v>
      </c>
      <c r="J71" s="3106"/>
    </row>
    <row r="72" spans="1:10" s="3123" customFormat="1" ht="35.1" customHeight="1">
      <c r="A72" s="3100">
        <v>29</v>
      </c>
      <c r="B72" s="3114" t="s">
        <v>3295</v>
      </c>
      <c r="C72" s="3114" t="s">
        <v>3296</v>
      </c>
      <c r="D72" s="3111">
        <v>4.5</v>
      </c>
      <c r="E72" s="3112">
        <v>4.5</v>
      </c>
      <c r="F72" s="3111">
        <f t="shared" si="1"/>
        <v>4.5</v>
      </c>
      <c r="G72" s="3122">
        <v>1</v>
      </c>
      <c r="H72" s="3111">
        <v>4.5</v>
      </c>
      <c r="J72" s="3106"/>
    </row>
    <row r="73" spans="1:10" s="3123" customFormat="1" ht="35.1" customHeight="1">
      <c r="A73" s="3100">
        <v>30</v>
      </c>
      <c r="B73" s="3114" t="s">
        <v>3295</v>
      </c>
      <c r="C73" s="3114" t="s">
        <v>3297</v>
      </c>
      <c r="D73" s="3111">
        <v>2</v>
      </c>
      <c r="E73" s="3112">
        <v>2</v>
      </c>
      <c r="F73" s="3111">
        <f t="shared" si="1"/>
        <v>2</v>
      </c>
      <c r="G73" s="3122">
        <v>1</v>
      </c>
      <c r="H73" s="3111">
        <v>2</v>
      </c>
      <c r="J73" s="3106"/>
    </row>
    <row r="74" spans="1:10" s="3123" customFormat="1" ht="35.1" customHeight="1">
      <c r="A74" s="3100">
        <v>32</v>
      </c>
      <c r="B74" s="3114" t="s">
        <v>3298</v>
      </c>
      <c r="C74" s="3114" t="s">
        <v>3299</v>
      </c>
      <c r="D74" s="3111">
        <v>2.2249999999999999E-2</v>
      </c>
      <c r="E74" s="3112">
        <v>2.2249999999999999E-2</v>
      </c>
      <c r="F74" s="3111">
        <f t="shared" si="1"/>
        <v>2.2249999999999999E-2</v>
      </c>
      <c r="G74" s="3122">
        <v>1</v>
      </c>
      <c r="H74" s="3111">
        <v>2.2249999999999999E-2</v>
      </c>
      <c r="J74" s="3106"/>
    </row>
    <row r="75" spans="1:10" s="3123" customFormat="1" ht="35.1" customHeight="1">
      <c r="A75" s="3100">
        <v>33</v>
      </c>
      <c r="B75" s="3114" t="s">
        <v>3300</v>
      </c>
      <c r="C75" s="3114" t="s">
        <v>3301</v>
      </c>
      <c r="D75" s="3111">
        <f>0.25*0.252535</f>
        <v>6.3133750000000002E-2</v>
      </c>
      <c r="E75" s="3112">
        <v>6.3133750000000002E-2</v>
      </c>
      <c r="F75" s="3111">
        <f t="shared" si="1"/>
        <v>5.0507000000000003E-2</v>
      </c>
      <c r="G75" s="3122">
        <v>0.8</v>
      </c>
      <c r="H75" s="3111">
        <f>0.25*0.2</f>
        <v>0.05</v>
      </c>
      <c r="J75" s="3106"/>
    </row>
    <row r="76" spans="1:10" s="3123" customFormat="1" ht="35.1" customHeight="1">
      <c r="A76" s="3100">
        <v>34</v>
      </c>
      <c r="B76" s="3114" t="s">
        <v>3302</v>
      </c>
      <c r="C76" s="3114" t="s">
        <v>3303</v>
      </c>
      <c r="D76" s="3111">
        <f>0.25*1.185872</f>
        <v>0.29646800000000001</v>
      </c>
      <c r="E76" s="3112">
        <v>0.29646800000000001</v>
      </c>
      <c r="F76" s="3111">
        <f t="shared" si="1"/>
        <v>0.25199779999999999</v>
      </c>
      <c r="G76" s="3122">
        <v>0.85</v>
      </c>
      <c r="H76" s="3111">
        <f>0.25*1</f>
        <v>0.25</v>
      </c>
      <c r="J76" s="3106"/>
    </row>
    <row r="77" spans="1:10" s="3123" customFormat="1" ht="35.1" customHeight="1">
      <c r="A77" s="3100">
        <v>35</v>
      </c>
      <c r="B77" s="3114" t="s">
        <v>3304</v>
      </c>
      <c r="C77" s="3114" t="s">
        <v>3305</v>
      </c>
      <c r="D77" s="3111">
        <f>0.25*0.54</f>
        <v>0.13500000000000001</v>
      </c>
      <c r="E77" s="3112">
        <v>0.13500000000000001</v>
      </c>
      <c r="F77" s="3111">
        <f t="shared" si="1"/>
        <v>0.13500000000000001</v>
      </c>
      <c r="G77" s="3122">
        <v>1</v>
      </c>
      <c r="H77" s="3111">
        <f>0.25*0.54</f>
        <v>0.13500000000000001</v>
      </c>
      <c r="J77" s="3106"/>
    </row>
    <row r="78" spans="1:10" s="3123" customFormat="1" ht="35.1" customHeight="1">
      <c r="A78" s="3100">
        <v>36</v>
      </c>
      <c r="B78" s="3114" t="s">
        <v>3306</v>
      </c>
      <c r="C78" s="3114" t="s">
        <v>3307</v>
      </c>
      <c r="D78" s="3111">
        <f>0.25*20.16</f>
        <v>5.04</v>
      </c>
      <c r="E78" s="3112">
        <v>5.04</v>
      </c>
      <c r="F78" s="3111">
        <f t="shared" si="1"/>
        <v>5.04</v>
      </c>
      <c r="G78" s="3122">
        <v>1</v>
      </c>
      <c r="H78" s="3111">
        <f>0.25*20.16</f>
        <v>5.04</v>
      </c>
      <c r="J78" s="3106"/>
    </row>
    <row r="79" spans="1:10" s="3123" customFormat="1" ht="35.1" customHeight="1">
      <c r="A79" s="3100">
        <v>37</v>
      </c>
      <c r="B79" s="3114" t="s">
        <v>3308</v>
      </c>
      <c r="C79" s="3114" t="s">
        <v>3309</v>
      </c>
      <c r="D79" s="3111">
        <f>0.25*527.24</f>
        <v>131.81</v>
      </c>
      <c r="E79" s="3112">
        <f>0.25*527.24</f>
        <v>131.81</v>
      </c>
      <c r="F79" s="3111">
        <f t="shared" si="1"/>
        <v>131.81</v>
      </c>
      <c r="G79" s="3122">
        <v>1</v>
      </c>
      <c r="H79" s="3111">
        <f>0.25*527.24</f>
        <v>131.81</v>
      </c>
      <c r="J79" s="3106"/>
    </row>
    <row r="80" spans="1:10" s="3123" customFormat="1" ht="35.1" customHeight="1">
      <c r="A80" s="3100">
        <v>38</v>
      </c>
      <c r="B80" s="3114" t="s">
        <v>3310</v>
      </c>
      <c r="C80" s="3114" t="s">
        <v>3311</v>
      </c>
      <c r="D80" s="3111">
        <v>1028.8040000000001</v>
      </c>
      <c r="E80" s="3112">
        <v>1028.8040000000001</v>
      </c>
      <c r="F80" s="3111">
        <f t="shared" si="1"/>
        <v>514.40200000000004</v>
      </c>
      <c r="G80" s="3122">
        <v>0.5</v>
      </c>
      <c r="H80" s="3111">
        <v>514.40200000000004</v>
      </c>
      <c r="J80" s="3106"/>
    </row>
    <row r="81" spans="1:10" s="3123" customFormat="1" ht="35.1" customHeight="1">
      <c r="A81" s="3100">
        <v>39</v>
      </c>
      <c r="B81" s="3114" t="s">
        <v>3312</v>
      </c>
      <c r="C81" s="3114" t="s">
        <v>3313</v>
      </c>
      <c r="D81" s="3111">
        <v>2.25</v>
      </c>
      <c r="E81" s="3112">
        <v>2.25</v>
      </c>
      <c r="F81" s="3111">
        <f t="shared" si="1"/>
        <v>2.25</v>
      </c>
      <c r="G81" s="3122">
        <v>1</v>
      </c>
      <c r="H81" s="3111">
        <v>2.25</v>
      </c>
      <c r="J81" s="3106"/>
    </row>
    <row r="82" spans="1:10" s="3123" customFormat="1" ht="35.1" customHeight="1">
      <c r="A82" s="3100">
        <v>40</v>
      </c>
      <c r="B82" s="3114" t="s">
        <v>3314</v>
      </c>
      <c r="C82" s="3114" t="s">
        <v>3315</v>
      </c>
      <c r="D82" s="3111">
        <f>0.25*259.0738</f>
        <v>64.768450000000001</v>
      </c>
      <c r="E82" s="3112">
        <f>0.25*259.0738</f>
        <v>64.768450000000001</v>
      </c>
      <c r="F82" s="3111">
        <f t="shared" si="1"/>
        <v>64.768450000000001</v>
      </c>
      <c r="G82" s="3122">
        <v>1</v>
      </c>
      <c r="H82" s="3111">
        <f>0.25*259.0738</f>
        <v>64.768450000000001</v>
      </c>
      <c r="J82" s="3106"/>
    </row>
    <row r="83" spans="1:10" s="3123" customFormat="1" ht="35.1" customHeight="1">
      <c r="A83" s="3100">
        <v>41</v>
      </c>
      <c r="B83" s="3114" t="s">
        <v>3316</v>
      </c>
      <c r="C83" s="3114" t="s">
        <v>3317</v>
      </c>
      <c r="D83" s="3111">
        <v>0.9</v>
      </c>
      <c r="E83" s="3112">
        <v>0.9</v>
      </c>
      <c r="F83" s="3111">
        <f t="shared" si="1"/>
        <v>0.9</v>
      </c>
      <c r="G83" s="3122">
        <v>1</v>
      </c>
      <c r="H83" s="3111">
        <v>0.9</v>
      </c>
      <c r="J83" s="3106"/>
    </row>
    <row r="84" spans="1:10" s="3123" customFormat="1" ht="35.1" customHeight="1">
      <c r="A84" s="3100">
        <v>42</v>
      </c>
      <c r="B84" s="3114" t="s">
        <v>3318</v>
      </c>
      <c r="C84" s="3114" t="s">
        <v>3319</v>
      </c>
      <c r="D84" s="3111">
        <v>2.7124999999999999</v>
      </c>
      <c r="E84" s="3112">
        <v>2.7124999999999999</v>
      </c>
      <c r="F84" s="3111">
        <f t="shared" si="1"/>
        <v>2.7124999999999999</v>
      </c>
      <c r="G84" s="3122">
        <v>1</v>
      </c>
      <c r="H84" s="3111">
        <v>2.7124999999999999</v>
      </c>
      <c r="J84" s="3106"/>
    </row>
    <row r="85" spans="1:10" s="3123" customFormat="1" ht="35.1" customHeight="1">
      <c r="A85" s="3100">
        <v>43</v>
      </c>
      <c r="B85" s="3114" t="s">
        <v>3320</v>
      </c>
      <c r="C85" s="3114" t="s">
        <v>3321</v>
      </c>
      <c r="D85" s="3111">
        <v>17</v>
      </c>
      <c r="E85" s="3112">
        <v>17</v>
      </c>
      <c r="F85" s="3111">
        <f t="shared" si="1"/>
        <v>17</v>
      </c>
      <c r="G85" s="3122">
        <v>1</v>
      </c>
      <c r="H85" s="3111">
        <f>8.5+8.5</f>
        <v>17</v>
      </c>
      <c r="J85" s="3106"/>
    </row>
    <row r="86" spans="1:10" s="3123" customFormat="1" ht="35.1" customHeight="1">
      <c r="A86" s="3100">
        <v>45</v>
      </c>
      <c r="B86" s="3114" t="s">
        <v>3322</v>
      </c>
      <c r="C86" s="3114" t="s">
        <v>3323</v>
      </c>
      <c r="D86" s="3111">
        <f>8391.414*0.31</f>
        <v>2601.3383400000002</v>
      </c>
      <c r="E86" s="3112">
        <v>2601.3383400000002</v>
      </c>
      <c r="F86" s="3111">
        <v>2601.3383400000002</v>
      </c>
      <c r="G86" s="3122">
        <v>1</v>
      </c>
      <c r="H86" s="3111">
        <v>2601.3383400000002</v>
      </c>
      <c r="J86" s="3106"/>
    </row>
    <row r="87" spans="1:10" s="3123" customFormat="1" ht="35.1" customHeight="1">
      <c r="A87" s="3100">
        <v>46</v>
      </c>
      <c r="B87" s="3114" t="s">
        <v>3324</v>
      </c>
      <c r="C87" s="3114" t="s">
        <v>3325</v>
      </c>
      <c r="D87" s="3111">
        <v>19.5</v>
      </c>
      <c r="E87" s="3112">
        <v>19.5</v>
      </c>
      <c r="F87" s="3111">
        <f>E87*G87</f>
        <v>19.5</v>
      </c>
      <c r="G87" s="3122">
        <v>1</v>
      </c>
      <c r="H87" s="3111">
        <v>19.5</v>
      </c>
      <c r="J87" s="3106"/>
    </row>
    <row r="88" spans="1:10" s="3123" customFormat="1" ht="35.1" customHeight="1">
      <c r="A88" s="3100">
        <v>47</v>
      </c>
      <c r="B88" s="3114" t="s">
        <v>3326</v>
      </c>
      <c r="C88" s="3114" t="s">
        <v>3327</v>
      </c>
      <c r="D88" s="3111">
        <v>2</v>
      </c>
      <c r="E88" s="3112">
        <v>2</v>
      </c>
      <c r="F88" s="3111">
        <v>2</v>
      </c>
      <c r="G88" s="3122">
        <v>1</v>
      </c>
      <c r="H88" s="3111">
        <v>2</v>
      </c>
      <c r="J88" s="3106"/>
    </row>
    <row r="89" spans="1:10" s="3123" customFormat="1" ht="35.1" customHeight="1">
      <c r="A89" s="3100">
        <v>48</v>
      </c>
      <c r="B89" s="3114" t="s">
        <v>3328</v>
      </c>
      <c r="C89" s="3114" t="s">
        <v>3329</v>
      </c>
      <c r="D89" s="3111">
        <v>0.8</v>
      </c>
      <c r="E89" s="3112">
        <v>0.8</v>
      </c>
      <c r="F89" s="3111">
        <f t="shared" ref="F89:F94" si="2">E89*G89</f>
        <v>0.8</v>
      </c>
      <c r="G89" s="3122">
        <v>1</v>
      </c>
      <c r="H89" s="3111">
        <v>0.8</v>
      </c>
      <c r="J89" s="3106"/>
    </row>
    <row r="90" spans="1:10" s="3123" customFormat="1" ht="35.1" customHeight="1">
      <c r="A90" s="3100">
        <v>49</v>
      </c>
      <c r="B90" s="3114" t="s">
        <v>3330</v>
      </c>
      <c r="C90" s="3114" t="s">
        <v>3331</v>
      </c>
      <c r="D90" s="3111">
        <v>0.70379999999999998</v>
      </c>
      <c r="E90" s="3112">
        <v>0.70379999999999998</v>
      </c>
      <c r="F90" s="3111">
        <f t="shared" si="2"/>
        <v>0.70379999999999998</v>
      </c>
      <c r="G90" s="3122">
        <v>1</v>
      </c>
      <c r="H90" s="3111">
        <v>0.70379999999999998</v>
      </c>
      <c r="J90" s="3106"/>
    </row>
    <row r="91" spans="1:10" s="3123" customFormat="1" ht="35.1" customHeight="1">
      <c r="A91" s="3100">
        <v>50</v>
      </c>
      <c r="B91" s="3114" t="s">
        <v>3332</v>
      </c>
      <c r="C91" s="3114" t="s">
        <v>3333</v>
      </c>
      <c r="D91" s="3111">
        <v>0.77500000000000002</v>
      </c>
      <c r="E91" s="3112">
        <v>0.77500000000000002</v>
      </c>
      <c r="F91" s="3111">
        <f t="shared" si="2"/>
        <v>0.77500000000000002</v>
      </c>
      <c r="G91" s="3122">
        <v>1</v>
      </c>
      <c r="H91" s="3111">
        <v>0.77500000000000002</v>
      </c>
      <c r="J91" s="3106"/>
    </row>
    <row r="92" spans="1:10" s="3123" customFormat="1" ht="35.1" customHeight="1">
      <c r="A92" s="3100">
        <v>51</v>
      </c>
      <c r="B92" s="3114" t="s">
        <v>3334</v>
      </c>
      <c r="C92" s="3114" t="s">
        <v>3335</v>
      </c>
      <c r="D92" s="3111">
        <v>1.746</v>
      </c>
      <c r="E92" s="3112">
        <v>1.746</v>
      </c>
      <c r="F92" s="3111">
        <f t="shared" si="2"/>
        <v>1.746</v>
      </c>
      <c r="G92" s="3122">
        <v>1</v>
      </c>
      <c r="H92" s="3111">
        <v>1.746</v>
      </c>
      <c r="J92" s="3106"/>
    </row>
    <row r="93" spans="1:10" s="3123" customFormat="1" ht="35.1" customHeight="1">
      <c r="A93" s="3100">
        <v>52</v>
      </c>
      <c r="B93" s="3114" t="s">
        <v>3262</v>
      </c>
      <c r="C93" s="3114" t="s">
        <v>3336</v>
      </c>
      <c r="D93" s="3111">
        <v>59.6</v>
      </c>
      <c r="E93" s="3112">
        <v>59.6</v>
      </c>
      <c r="F93" s="3111">
        <f t="shared" si="2"/>
        <v>35.76</v>
      </c>
      <c r="G93" s="3122">
        <v>0.6</v>
      </c>
      <c r="H93" s="3111">
        <v>35.76</v>
      </c>
      <c r="J93" s="3106"/>
    </row>
    <row r="94" spans="1:10" s="3106" customFormat="1" ht="35.1" customHeight="1">
      <c r="A94" s="3100">
        <v>53</v>
      </c>
      <c r="B94" s="3114" t="s">
        <v>3337</v>
      </c>
      <c r="C94" s="3114" t="s">
        <v>3338</v>
      </c>
      <c r="D94" s="3111">
        <v>204.2</v>
      </c>
      <c r="E94" s="3112">
        <f>13.63+74.91+106.75</f>
        <v>195.29</v>
      </c>
      <c r="F94" s="3111">
        <f t="shared" si="2"/>
        <v>195.29</v>
      </c>
      <c r="G94" s="3122">
        <v>1</v>
      </c>
      <c r="H94" s="3111">
        <f>13.63+74.91+106.75</f>
        <v>195.29</v>
      </c>
      <c r="J94" s="3110"/>
    </row>
    <row r="95" spans="1:10" s="3123" customFormat="1" ht="35.1" customHeight="1">
      <c r="A95" s="3101" t="s">
        <v>3339</v>
      </c>
      <c r="B95" s="3514" t="s">
        <v>3340</v>
      </c>
      <c r="C95" s="3515"/>
      <c r="D95" s="3116">
        <f>D96+D111</f>
        <v>54656.454209480013</v>
      </c>
      <c r="E95" s="3117">
        <f>E96+E111</f>
        <v>54720.260150120004</v>
      </c>
      <c r="F95" s="3116">
        <f>F96+F111</f>
        <v>40216.364330197001</v>
      </c>
      <c r="G95" s="3121"/>
      <c r="H95" s="3116">
        <f>H96+H111</f>
        <v>40454.699671999995</v>
      </c>
      <c r="J95" s="3106"/>
    </row>
    <row r="96" spans="1:10" s="3106" customFormat="1" ht="27" customHeight="1">
      <c r="A96" s="3101" t="s">
        <v>3198</v>
      </c>
      <c r="B96" s="3511" t="s">
        <v>3199</v>
      </c>
      <c r="C96" s="3511"/>
      <c r="D96" s="3128">
        <f>SUM(D97:D110)</f>
        <v>49151.233338660015</v>
      </c>
      <c r="E96" s="3129">
        <f>SUM(E97:E110)</f>
        <v>48940.196779300008</v>
      </c>
      <c r="F96" s="3128">
        <f>SUM(F97:F110)</f>
        <v>34696.992090205</v>
      </c>
      <c r="G96" s="3121"/>
      <c r="H96" s="3128">
        <f>SUM(H97:H110)</f>
        <v>34969.832263999997</v>
      </c>
      <c r="J96" s="3110"/>
    </row>
    <row r="97" spans="1:10" s="3106" customFormat="1" ht="35.1" customHeight="1">
      <c r="A97" s="3100">
        <v>1</v>
      </c>
      <c r="B97" s="3114" t="s">
        <v>3200</v>
      </c>
      <c r="C97" s="3114" t="s">
        <v>3341</v>
      </c>
      <c r="D97" s="3130">
        <f>31117.652162+11915.1394+274.284733</f>
        <v>43307.076294999999</v>
      </c>
      <c r="E97" s="3131">
        <v>43123.449489999999</v>
      </c>
      <c r="F97" s="3130">
        <f t="shared" ref="F97:F110" si="3">E97*G97</f>
        <v>30186.414642999996</v>
      </c>
      <c r="G97" s="3132">
        <v>0.7</v>
      </c>
      <c r="H97" s="3130">
        <f>18059+1852+1949+2478+2517+2836+191+578</f>
        <v>30460</v>
      </c>
      <c r="J97" s="3110"/>
    </row>
    <row r="98" spans="1:10" s="3106" customFormat="1" ht="35.1" customHeight="1">
      <c r="A98" s="3100">
        <v>2</v>
      </c>
      <c r="B98" s="3114" t="s">
        <v>3202</v>
      </c>
      <c r="C98" s="3114" t="s">
        <v>3342</v>
      </c>
      <c r="D98" s="3130">
        <v>1181.4307323</v>
      </c>
      <c r="E98" s="3131">
        <v>1181.4307323</v>
      </c>
      <c r="F98" s="3130">
        <f t="shared" si="3"/>
        <v>1004.216122455</v>
      </c>
      <c r="G98" s="3132">
        <v>0.85</v>
      </c>
      <c r="H98" s="3130">
        <f>140*0.26+775.58+192</f>
        <v>1003.98</v>
      </c>
      <c r="J98" s="3110"/>
    </row>
    <row r="99" spans="1:10" s="3106" customFormat="1" ht="35.1" customHeight="1">
      <c r="A99" s="3100">
        <v>3</v>
      </c>
      <c r="B99" s="3114" t="s">
        <v>3204</v>
      </c>
      <c r="C99" s="3114" t="s">
        <v>3343</v>
      </c>
      <c r="D99" s="3130">
        <v>1408.75</v>
      </c>
      <c r="E99" s="3131">
        <v>1155.5825</v>
      </c>
      <c r="F99" s="3130">
        <f t="shared" si="3"/>
        <v>982.24512499999992</v>
      </c>
      <c r="G99" s="3132">
        <v>0.85</v>
      </c>
      <c r="H99" s="3130">
        <f>812.3+28+66.5+75</f>
        <v>981.8</v>
      </c>
      <c r="J99" s="3110"/>
    </row>
    <row r="100" spans="1:10" s="3106" customFormat="1" ht="35.1" customHeight="1">
      <c r="A100" s="3100">
        <v>4</v>
      </c>
      <c r="B100" s="3114" t="s">
        <v>3225</v>
      </c>
      <c r="C100" s="3114" t="s">
        <v>3226</v>
      </c>
      <c r="D100" s="3130">
        <f>99.891792+24.5940136</f>
        <v>124.48580559999999</v>
      </c>
      <c r="E100" s="3131">
        <v>148.28540000000001</v>
      </c>
      <c r="F100" s="3130">
        <f t="shared" si="3"/>
        <v>103.79978</v>
      </c>
      <c r="G100" s="3132">
        <v>0.7</v>
      </c>
      <c r="H100" s="3130">
        <f>19.97+25+42+7.8+9.03</f>
        <v>103.8</v>
      </c>
      <c r="J100" s="3110"/>
    </row>
    <row r="101" spans="1:10" s="3106" customFormat="1" ht="35.1" customHeight="1">
      <c r="A101" s="3100">
        <v>5</v>
      </c>
      <c r="B101" s="3114" t="s">
        <v>3223</v>
      </c>
      <c r="C101" s="3114" t="s">
        <v>3224</v>
      </c>
      <c r="D101" s="3130">
        <v>510.63547</v>
      </c>
      <c r="E101" s="3131">
        <v>664.55100000000004</v>
      </c>
      <c r="F101" s="3130">
        <f t="shared" si="3"/>
        <v>564.86835000000008</v>
      </c>
      <c r="G101" s="3132">
        <v>0.85</v>
      </c>
      <c r="H101" s="3130">
        <f>280+19+10+10+112.95+133</f>
        <v>564.95000000000005</v>
      </c>
      <c r="J101" s="3110"/>
    </row>
    <row r="102" spans="1:10" s="3106" customFormat="1" ht="35.1" customHeight="1">
      <c r="A102" s="3100">
        <v>6</v>
      </c>
      <c r="B102" s="3114" t="s">
        <v>3221</v>
      </c>
      <c r="C102" s="3114" t="s">
        <v>3222</v>
      </c>
      <c r="D102" s="3130">
        <v>276.22399999999999</v>
      </c>
      <c r="E102" s="3131">
        <f>179.64+78.47+8.5</f>
        <v>266.61</v>
      </c>
      <c r="F102" s="3130">
        <f t="shared" si="3"/>
        <v>213.28800000000001</v>
      </c>
      <c r="G102" s="3132">
        <v>0.8</v>
      </c>
      <c r="H102" s="3130">
        <f>126+27+13.5+14+28+4.78</f>
        <v>213.28</v>
      </c>
      <c r="J102" s="3110"/>
    </row>
    <row r="103" spans="1:10" s="3106" customFormat="1" ht="35.1" customHeight="1">
      <c r="A103" s="3100">
        <v>7</v>
      </c>
      <c r="B103" s="3114" t="s">
        <v>3344</v>
      </c>
      <c r="C103" s="3114" t="s">
        <v>3345</v>
      </c>
      <c r="D103" s="3130">
        <v>1169.7372</v>
      </c>
      <c r="E103" s="3131">
        <v>1006.546587</v>
      </c>
      <c r="F103" s="3130">
        <f t="shared" si="3"/>
        <v>654.25528155000006</v>
      </c>
      <c r="G103" s="3132">
        <v>0.65</v>
      </c>
      <c r="H103" s="3130">
        <f>60+136+361+70+20.7+6.5</f>
        <v>654.20000000000005</v>
      </c>
      <c r="J103" s="3110"/>
    </row>
    <row r="104" spans="1:10" s="3106" customFormat="1" ht="35.1" customHeight="1">
      <c r="A104" s="3100">
        <v>8</v>
      </c>
      <c r="B104" s="3114" t="s">
        <v>3208</v>
      </c>
      <c r="C104" s="3114" t="s">
        <v>3209</v>
      </c>
      <c r="D104" s="3130">
        <v>388.71307300000001</v>
      </c>
      <c r="E104" s="3131">
        <v>505.32820600000002</v>
      </c>
      <c r="F104" s="3130">
        <f t="shared" si="3"/>
        <v>353.72974419999997</v>
      </c>
      <c r="G104" s="3132">
        <v>0.7</v>
      </c>
      <c r="H104" s="3130">
        <f>119+123+20+91.72</f>
        <v>353.72</v>
      </c>
      <c r="J104" s="3110"/>
    </row>
    <row r="105" spans="1:10" s="3106" customFormat="1" ht="35.1" customHeight="1">
      <c r="A105" s="3100">
        <v>9</v>
      </c>
      <c r="B105" s="3114" t="s">
        <v>3210</v>
      </c>
      <c r="C105" s="3114" t="s">
        <v>3211</v>
      </c>
      <c r="D105" s="3130">
        <f>1333.788076*0.26</f>
        <v>346.78489976000003</v>
      </c>
      <c r="E105" s="3131">
        <v>449.995</v>
      </c>
      <c r="F105" s="3130">
        <f t="shared" si="3"/>
        <v>314.99649999999997</v>
      </c>
      <c r="G105" s="3132">
        <v>0.7</v>
      </c>
      <c r="H105" s="3130">
        <f>13.234+23+167+32+79.76</f>
        <v>314.99400000000003</v>
      </c>
      <c r="J105" s="3110"/>
    </row>
    <row r="106" spans="1:10" s="3106" customFormat="1" ht="35.1" customHeight="1">
      <c r="A106" s="3100">
        <v>10</v>
      </c>
      <c r="B106" s="3114" t="s">
        <v>3212</v>
      </c>
      <c r="C106" s="3114" t="s">
        <v>3213</v>
      </c>
      <c r="D106" s="3130">
        <v>187.61377999999999</v>
      </c>
      <c r="E106" s="3131">
        <v>194.7954</v>
      </c>
      <c r="F106" s="3130">
        <f t="shared" si="3"/>
        <v>136.35677999999999</v>
      </c>
      <c r="G106" s="3132">
        <v>0.7</v>
      </c>
      <c r="H106" s="3130">
        <f>80+30+19+6+1.35</f>
        <v>136.35</v>
      </c>
      <c r="J106" s="3110"/>
    </row>
    <row r="107" spans="1:10" s="3106" customFormat="1" ht="35.1" customHeight="1">
      <c r="A107" s="3100">
        <v>11</v>
      </c>
      <c r="B107" s="3114" t="s">
        <v>3214</v>
      </c>
      <c r="C107" s="3114" t="s">
        <v>3346</v>
      </c>
      <c r="D107" s="3130">
        <f>163.183283+35</f>
        <v>198.18328299999999</v>
      </c>
      <c r="E107" s="3131">
        <f>161.65+35</f>
        <v>196.65</v>
      </c>
      <c r="F107" s="3130">
        <f t="shared" si="3"/>
        <v>137.655</v>
      </c>
      <c r="G107" s="3132">
        <v>0.7</v>
      </c>
      <c r="H107" s="3130">
        <f>7.2+20+46+54.4+10</f>
        <v>137.6</v>
      </c>
      <c r="J107" s="3110"/>
    </row>
    <row r="108" spans="1:10" s="3106" customFormat="1" ht="35.1" customHeight="1">
      <c r="A108" s="3100">
        <v>12</v>
      </c>
      <c r="B108" s="3114" t="s">
        <v>3236</v>
      </c>
      <c r="C108" s="3114" t="s">
        <v>3237</v>
      </c>
      <c r="D108" s="3130">
        <v>6.91</v>
      </c>
      <c r="E108" s="3131">
        <v>6.91</v>
      </c>
      <c r="F108" s="3130">
        <f t="shared" si="3"/>
        <v>6.91</v>
      </c>
      <c r="G108" s="3132">
        <v>1</v>
      </c>
      <c r="H108" s="3130">
        <v>6.91</v>
      </c>
      <c r="J108" s="3110"/>
    </row>
    <row r="109" spans="1:10" s="3106" customFormat="1" ht="35.1" customHeight="1">
      <c r="A109" s="3100">
        <v>13</v>
      </c>
      <c r="B109" s="3114" t="s">
        <v>3225</v>
      </c>
      <c r="C109" s="3114" t="s">
        <v>3238</v>
      </c>
      <c r="D109" s="3130">
        <v>8.5747999999999998</v>
      </c>
      <c r="E109" s="3131">
        <v>3.948464</v>
      </c>
      <c r="F109" s="3130">
        <f t="shared" si="3"/>
        <v>3.948464</v>
      </c>
      <c r="G109" s="3132">
        <v>1</v>
      </c>
      <c r="H109" s="3130">
        <v>3.948464</v>
      </c>
      <c r="J109" s="3110"/>
    </row>
    <row r="110" spans="1:10" s="3123" customFormat="1" ht="35.1" customHeight="1">
      <c r="A110" s="3100">
        <v>14</v>
      </c>
      <c r="B110" s="3114" t="s">
        <v>3229</v>
      </c>
      <c r="C110" s="3114" t="s">
        <v>3347</v>
      </c>
      <c r="D110" s="3130">
        <v>36.113999999999997</v>
      </c>
      <c r="E110" s="3131">
        <v>36.113999999999997</v>
      </c>
      <c r="F110" s="3130">
        <f t="shared" si="3"/>
        <v>34.308299999999996</v>
      </c>
      <c r="G110" s="3132">
        <v>0.95</v>
      </c>
      <c r="H110" s="3130">
        <f>9.02+25.2798</f>
        <v>34.299800000000005</v>
      </c>
      <c r="J110" s="3106"/>
    </row>
    <row r="111" spans="1:10" s="3106" customFormat="1" ht="27" customHeight="1">
      <c r="A111" s="3101" t="s">
        <v>3348</v>
      </c>
      <c r="B111" s="3512" t="s">
        <v>3253</v>
      </c>
      <c r="C111" s="3513"/>
      <c r="D111" s="3116">
        <f>SUM(D112:D150)</f>
        <v>5505.2208708200005</v>
      </c>
      <c r="E111" s="3117">
        <f>SUM(E112:E150)</f>
        <v>5780.0633708199994</v>
      </c>
      <c r="F111" s="3116">
        <f>SUM(F112:F150)</f>
        <v>5519.3722399919998</v>
      </c>
      <c r="G111" s="3121"/>
      <c r="H111" s="3116">
        <f>SUM(H112:H150)</f>
        <v>5484.8674080000001</v>
      </c>
      <c r="J111" s="3110"/>
    </row>
    <row r="112" spans="1:10" s="3106" customFormat="1" ht="35.1" customHeight="1">
      <c r="A112" s="3100">
        <v>1</v>
      </c>
      <c r="B112" s="3114" t="s">
        <v>3254</v>
      </c>
      <c r="C112" s="3114" t="s">
        <v>3349</v>
      </c>
      <c r="D112" s="3130">
        <v>234</v>
      </c>
      <c r="E112" s="3131">
        <v>233.64</v>
      </c>
      <c r="F112" s="3130">
        <f t="shared" ref="F112:F148" si="4">E112*G112</f>
        <v>221.95799999999997</v>
      </c>
      <c r="G112" s="3132">
        <v>0.95</v>
      </c>
      <c r="H112" s="3130">
        <f>126+25+24+35</f>
        <v>210</v>
      </c>
      <c r="J112" s="3110"/>
    </row>
    <row r="113" spans="1:10" s="3106" customFormat="1" ht="35.1" customHeight="1">
      <c r="A113" s="3100">
        <v>2</v>
      </c>
      <c r="B113" s="3114" t="s">
        <v>3258</v>
      </c>
      <c r="C113" s="3114" t="s">
        <v>3259</v>
      </c>
      <c r="D113" s="3130">
        <v>18.5</v>
      </c>
      <c r="E113" s="3131">
        <v>18.5</v>
      </c>
      <c r="F113" s="3130">
        <f t="shared" si="4"/>
        <v>17.574999999999999</v>
      </c>
      <c r="G113" s="3132">
        <v>0.95</v>
      </c>
      <c r="H113" s="3130">
        <f>5.5+6.525+4.6</f>
        <v>16.625</v>
      </c>
      <c r="J113" s="3110"/>
    </row>
    <row r="114" spans="1:10" s="3123" customFormat="1" ht="35.1" customHeight="1">
      <c r="A114" s="3100">
        <v>3</v>
      </c>
      <c r="B114" s="3114" t="s">
        <v>3260</v>
      </c>
      <c r="C114" s="3114" t="s">
        <v>3261</v>
      </c>
      <c r="D114" s="3130">
        <v>602.67999999999995</v>
      </c>
      <c r="E114" s="3131">
        <v>602.67999999999995</v>
      </c>
      <c r="F114" s="3130">
        <f t="shared" si="4"/>
        <v>572.54599999999994</v>
      </c>
      <c r="G114" s="3132">
        <v>0.95</v>
      </c>
      <c r="H114" s="3130">
        <f>547.781+25</f>
        <v>572.78099999999995</v>
      </c>
      <c r="J114" s="3106"/>
    </row>
    <row r="115" spans="1:10" s="3123" customFormat="1" ht="35.1" customHeight="1">
      <c r="A115" s="3100">
        <v>4</v>
      </c>
      <c r="B115" s="3114" t="s">
        <v>3262</v>
      </c>
      <c r="C115" s="3114" t="s">
        <v>3261</v>
      </c>
      <c r="D115" s="3130">
        <v>222.82</v>
      </c>
      <c r="E115" s="3131">
        <v>222.82</v>
      </c>
      <c r="F115" s="3130">
        <f t="shared" si="4"/>
        <v>211.67899999999997</v>
      </c>
      <c r="G115" s="3132">
        <v>0.95</v>
      </c>
      <c r="H115" s="3130">
        <f>128.921+49+34</f>
        <v>211.92099999999999</v>
      </c>
      <c r="J115" s="3106"/>
    </row>
    <row r="116" spans="1:10" s="3123" customFormat="1" ht="35.1" customHeight="1">
      <c r="A116" s="3100">
        <v>5</v>
      </c>
      <c r="B116" s="3114" t="s">
        <v>3263</v>
      </c>
      <c r="C116" s="3114" t="s">
        <v>3261</v>
      </c>
      <c r="D116" s="3130">
        <v>89.7</v>
      </c>
      <c r="E116" s="3131">
        <v>89.7</v>
      </c>
      <c r="F116" s="3130">
        <f t="shared" si="4"/>
        <v>85.215000000000003</v>
      </c>
      <c r="G116" s="3132">
        <v>0.95</v>
      </c>
      <c r="H116" s="3130">
        <f>55.458+16+14</f>
        <v>85.457999999999998</v>
      </c>
      <c r="J116" s="3106"/>
    </row>
    <row r="117" spans="1:10" s="3123" customFormat="1" ht="35.1" customHeight="1">
      <c r="A117" s="3100">
        <v>6</v>
      </c>
      <c r="B117" s="3114" t="s">
        <v>3272</v>
      </c>
      <c r="C117" s="3114" t="s">
        <v>3350</v>
      </c>
      <c r="D117" s="3130">
        <v>7.8624000000000001</v>
      </c>
      <c r="E117" s="3131">
        <v>7.8624000000000001</v>
      </c>
      <c r="F117" s="3130">
        <f t="shared" si="4"/>
        <v>7.8624000000000001</v>
      </c>
      <c r="G117" s="3132">
        <v>1</v>
      </c>
      <c r="H117" s="3130">
        <v>7.8624000000000001</v>
      </c>
      <c r="J117" s="3106"/>
    </row>
    <row r="118" spans="1:10" s="3123" customFormat="1" ht="35.1" customHeight="1">
      <c r="A118" s="3100">
        <v>7</v>
      </c>
      <c r="B118" s="3114" t="s">
        <v>3264</v>
      </c>
      <c r="C118" s="3114" t="s">
        <v>3351</v>
      </c>
      <c r="D118" s="3130">
        <v>39.353845</v>
      </c>
      <c r="E118" s="3131">
        <v>39.353845</v>
      </c>
      <c r="F118" s="3130">
        <f t="shared" si="4"/>
        <v>39.353845</v>
      </c>
      <c r="G118" s="3132">
        <v>1</v>
      </c>
      <c r="H118" s="3130">
        <f>14.04+4+19.5</f>
        <v>37.54</v>
      </c>
      <c r="J118" s="3106"/>
    </row>
    <row r="119" spans="1:10" s="3123" customFormat="1" ht="35.1" customHeight="1">
      <c r="A119" s="3100">
        <v>8</v>
      </c>
      <c r="B119" s="3127" t="s">
        <v>3270</v>
      </c>
      <c r="C119" s="3114" t="s">
        <v>3271</v>
      </c>
      <c r="D119" s="3130">
        <v>412.53</v>
      </c>
      <c r="E119" s="3131">
        <v>412.53</v>
      </c>
      <c r="F119" s="3130">
        <f t="shared" si="4"/>
        <v>412.53</v>
      </c>
      <c r="G119" s="3132">
        <v>1</v>
      </c>
      <c r="H119" s="3130">
        <v>412.53</v>
      </c>
      <c r="J119" s="3106"/>
    </row>
    <row r="120" spans="1:10" s="3123" customFormat="1" ht="35.1" customHeight="1">
      <c r="A120" s="3100">
        <v>9</v>
      </c>
      <c r="B120" s="3114" t="s">
        <v>3274</v>
      </c>
      <c r="C120" s="3114" t="s">
        <v>3352</v>
      </c>
      <c r="D120" s="3130">
        <v>1.82</v>
      </c>
      <c r="E120" s="3131">
        <v>1.82</v>
      </c>
      <c r="F120" s="3130">
        <f t="shared" si="4"/>
        <v>1.82</v>
      </c>
      <c r="G120" s="3132">
        <v>1</v>
      </c>
      <c r="H120" s="3130">
        <v>1.82</v>
      </c>
      <c r="J120" s="3106"/>
    </row>
    <row r="121" spans="1:10" s="3123" customFormat="1" ht="35.1" customHeight="1">
      <c r="A121" s="3100">
        <v>10</v>
      </c>
      <c r="B121" s="3114" t="s">
        <v>3276</v>
      </c>
      <c r="C121" s="3114" t="s">
        <v>3279</v>
      </c>
      <c r="D121" s="3130">
        <v>1.65</v>
      </c>
      <c r="E121" s="3131">
        <v>1.65</v>
      </c>
      <c r="F121" s="3130">
        <f t="shared" si="4"/>
        <v>1.65</v>
      </c>
      <c r="G121" s="3132">
        <v>1</v>
      </c>
      <c r="H121" s="3130">
        <f>1.14+0.5</f>
        <v>1.64</v>
      </c>
      <c r="J121" s="3106"/>
    </row>
    <row r="122" spans="1:10" s="3123" customFormat="1" ht="35.1" customHeight="1">
      <c r="A122" s="3100">
        <v>11</v>
      </c>
      <c r="B122" s="3114" t="s">
        <v>3280</v>
      </c>
      <c r="C122" s="3114" t="s">
        <v>3281</v>
      </c>
      <c r="D122" s="3130">
        <v>0.54900000000000004</v>
      </c>
      <c r="E122" s="3131">
        <v>0.54900000000000004</v>
      </c>
      <c r="F122" s="3130">
        <f t="shared" si="4"/>
        <v>0.54900000000000004</v>
      </c>
      <c r="G122" s="3132">
        <v>1</v>
      </c>
      <c r="H122" s="3130">
        <v>0.54900000000000004</v>
      </c>
      <c r="J122" s="3106"/>
    </row>
    <row r="123" spans="1:10" s="3123" customFormat="1" ht="35.1" customHeight="1">
      <c r="A123" s="3100">
        <v>12</v>
      </c>
      <c r="B123" s="3114" t="s">
        <v>3264</v>
      </c>
      <c r="C123" s="3114" t="s">
        <v>3284</v>
      </c>
      <c r="D123" s="3130">
        <v>1.18</v>
      </c>
      <c r="E123" s="3131">
        <v>1.18</v>
      </c>
      <c r="F123" s="3130">
        <f t="shared" si="4"/>
        <v>1.18</v>
      </c>
      <c r="G123" s="3132">
        <v>1</v>
      </c>
      <c r="H123" s="3130">
        <f>0.82+0.36</f>
        <v>1.18</v>
      </c>
      <c r="J123" s="3106"/>
    </row>
    <row r="124" spans="1:10" s="3123" customFormat="1" ht="35.1" customHeight="1">
      <c r="A124" s="3100">
        <v>13</v>
      </c>
      <c r="B124" s="3114" t="s">
        <v>3262</v>
      </c>
      <c r="C124" s="3114" t="s">
        <v>3285</v>
      </c>
      <c r="D124" s="3130">
        <v>23.07</v>
      </c>
      <c r="E124" s="3131">
        <v>23.07</v>
      </c>
      <c r="F124" s="3130">
        <f t="shared" si="4"/>
        <v>23.07</v>
      </c>
      <c r="G124" s="3132">
        <v>1</v>
      </c>
      <c r="H124" s="3130">
        <f>11.88+4.5+6.69</f>
        <v>23.070000000000004</v>
      </c>
      <c r="J124" s="3106"/>
    </row>
    <row r="125" spans="1:10" s="3123" customFormat="1" ht="35.1" customHeight="1">
      <c r="A125" s="3100">
        <v>14</v>
      </c>
      <c r="B125" s="3114" t="s">
        <v>3260</v>
      </c>
      <c r="C125" s="3114" t="s">
        <v>3286</v>
      </c>
      <c r="D125" s="3130">
        <v>44.2</v>
      </c>
      <c r="E125" s="3131">
        <v>44.2</v>
      </c>
      <c r="F125" s="3130">
        <f t="shared" si="4"/>
        <v>44.2</v>
      </c>
      <c r="G125" s="3132">
        <v>1</v>
      </c>
      <c r="H125" s="3130">
        <f>22.24+8.9+11</f>
        <v>42.14</v>
      </c>
      <c r="J125" s="3106"/>
    </row>
    <row r="126" spans="1:10" s="3123" customFormat="1" ht="35.1" customHeight="1">
      <c r="A126" s="3100">
        <v>15</v>
      </c>
      <c r="B126" s="3114" t="s">
        <v>3287</v>
      </c>
      <c r="C126" s="3114" t="s">
        <v>3288</v>
      </c>
      <c r="D126" s="3130">
        <v>10.73</v>
      </c>
      <c r="E126" s="3131">
        <v>10.73</v>
      </c>
      <c r="F126" s="3130">
        <f t="shared" si="4"/>
        <v>10.73</v>
      </c>
      <c r="G126" s="3132">
        <v>1</v>
      </c>
      <c r="H126" s="3130">
        <v>10.73</v>
      </c>
      <c r="J126" s="3106"/>
    </row>
    <row r="127" spans="1:10" s="3123" customFormat="1" ht="35.1" customHeight="1">
      <c r="A127" s="3100">
        <v>16</v>
      </c>
      <c r="B127" s="3114" t="s">
        <v>3260</v>
      </c>
      <c r="C127" s="3114" t="s">
        <v>3289</v>
      </c>
      <c r="D127" s="3130">
        <v>46.85</v>
      </c>
      <c r="E127" s="3131">
        <v>46.85</v>
      </c>
      <c r="F127" s="3130">
        <f t="shared" si="4"/>
        <v>46.85</v>
      </c>
      <c r="G127" s="3132">
        <v>1</v>
      </c>
      <c r="H127" s="3130">
        <f>23.42+9.3+12</f>
        <v>44.72</v>
      </c>
      <c r="J127" s="3106"/>
    </row>
    <row r="128" spans="1:10" s="3123" customFormat="1" ht="35.1" customHeight="1">
      <c r="A128" s="3100">
        <v>17</v>
      </c>
      <c r="B128" s="3114" t="s">
        <v>3262</v>
      </c>
      <c r="C128" s="3114" t="s">
        <v>3290</v>
      </c>
      <c r="D128" s="3130">
        <v>2.62</v>
      </c>
      <c r="E128" s="3131">
        <v>2.62</v>
      </c>
      <c r="F128" s="3130">
        <f t="shared" si="4"/>
        <v>2.62</v>
      </c>
      <c r="G128" s="3132">
        <v>1</v>
      </c>
      <c r="H128" s="3130">
        <f>1.31+1.3</f>
        <v>2.6100000000000003</v>
      </c>
      <c r="J128" s="3106"/>
    </row>
    <row r="129" spans="1:10" s="3123" customFormat="1" ht="35.1" customHeight="1">
      <c r="A129" s="3100">
        <v>18</v>
      </c>
      <c r="B129" s="3114" t="s">
        <v>3264</v>
      </c>
      <c r="C129" s="3114" t="s">
        <v>3353</v>
      </c>
      <c r="D129" s="3130">
        <v>11.560432</v>
      </c>
      <c r="E129" s="3131">
        <v>11.560432</v>
      </c>
      <c r="F129" s="3130">
        <f t="shared" si="4"/>
        <v>11.560432</v>
      </c>
      <c r="G129" s="3132">
        <v>1</v>
      </c>
      <c r="H129" s="3130">
        <f>4.49+5.78</f>
        <v>10.27</v>
      </c>
      <c r="J129" s="3106"/>
    </row>
    <row r="130" spans="1:10" s="3123" customFormat="1" ht="35.1" customHeight="1">
      <c r="A130" s="3100">
        <v>19</v>
      </c>
      <c r="B130" s="3114" t="s">
        <v>3264</v>
      </c>
      <c r="C130" s="3114" t="s">
        <v>3292</v>
      </c>
      <c r="D130" s="3130">
        <v>4.8</v>
      </c>
      <c r="E130" s="3131">
        <v>4.8</v>
      </c>
      <c r="F130" s="3130">
        <f t="shared" si="4"/>
        <v>4.8</v>
      </c>
      <c r="G130" s="3132">
        <v>1</v>
      </c>
      <c r="H130" s="3130">
        <f>2.4+2.4</f>
        <v>4.8</v>
      </c>
      <c r="J130" s="3106"/>
    </row>
    <row r="131" spans="1:10" s="3123" customFormat="1" ht="35.1" customHeight="1">
      <c r="A131" s="3100">
        <v>20</v>
      </c>
      <c r="B131" s="3114" t="s">
        <v>3293</v>
      </c>
      <c r="C131" s="3114" t="s">
        <v>3294</v>
      </c>
      <c r="D131" s="3130">
        <v>4.9400000000000004</v>
      </c>
      <c r="E131" s="3131">
        <v>4.9400000000000004</v>
      </c>
      <c r="F131" s="3130">
        <f t="shared" si="4"/>
        <v>4.9400000000000004</v>
      </c>
      <c r="G131" s="3132">
        <v>1</v>
      </c>
      <c r="H131" s="3130">
        <f>3.458+1.482</f>
        <v>4.9400000000000004</v>
      </c>
      <c r="J131" s="3106"/>
    </row>
    <row r="132" spans="1:10" s="3123" customFormat="1" ht="35.1" customHeight="1">
      <c r="A132" s="3100">
        <v>21</v>
      </c>
      <c r="B132" s="3114" t="s">
        <v>3298</v>
      </c>
      <c r="C132" s="3114" t="s">
        <v>3299</v>
      </c>
      <c r="D132" s="3133">
        <v>2.3140000000000001E-2</v>
      </c>
      <c r="E132" s="3134">
        <v>2.3140000000000001E-2</v>
      </c>
      <c r="F132" s="3130">
        <f t="shared" si="4"/>
        <v>2.3140000000000001E-2</v>
      </c>
      <c r="G132" s="3132">
        <v>1</v>
      </c>
      <c r="H132" s="3130">
        <v>2.3140000000000001E-2</v>
      </c>
      <c r="J132" s="3106"/>
    </row>
    <row r="133" spans="1:10" s="3123" customFormat="1" ht="35.1" customHeight="1">
      <c r="A133" s="3100">
        <v>22</v>
      </c>
      <c r="B133" s="3114" t="s">
        <v>3295</v>
      </c>
      <c r="C133" s="3114" t="s">
        <v>3296</v>
      </c>
      <c r="D133" s="3130">
        <v>1.56</v>
      </c>
      <c r="E133" s="3131">
        <v>1.56</v>
      </c>
      <c r="F133" s="3130">
        <f t="shared" si="4"/>
        <v>1.56</v>
      </c>
      <c r="G133" s="3132">
        <v>1</v>
      </c>
      <c r="H133" s="3130">
        <v>1.56</v>
      </c>
      <c r="J133" s="3106"/>
    </row>
    <row r="134" spans="1:10" s="3123" customFormat="1" ht="35.1" customHeight="1">
      <c r="A134" s="3100">
        <v>23</v>
      </c>
      <c r="B134" s="3114" t="s">
        <v>3295</v>
      </c>
      <c r="C134" s="3114" t="s">
        <v>3296</v>
      </c>
      <c r="D134" s="3130">
        <v>3.5</v>
      </c>
      <c r="E134" s="3131">
        <v>3.5</v>
      </c>
      <c r="F134" s="3130">
        <f t="shared" si="4"/>
        <v>3.5</v>
      </c>
      <c r="G134" s="3132">
        <v>1</v>
      </c>
      <c r="H134" s="3130">
        <v>3.5</v>
      </c>
      <c r="J134" s="3106"/>
    </row>
    <row r="135" spans="1:10" s="3123" customFormat="1" ht="35.1" customHeight="1">
      <c r="A135" s="3100">
        <v>24</v>
      </c>
      <c r="B135" s="3114" t="s">
        <v>3295</v>
      </c>
      <c r="C135" s="3114" t="s">
        <v>3296</v>
      </c>
      <c r="D135" s="3130">
        <v>4.68</v>
      </c>
      <c r="E135" s="3131">
        <v>4.68</v>
      </c>
      <c r="F135" s="3130">
        <f t="shared" si="4"/>
        <v>4.68</v>
      </c>
      <c r="G135" s="3132">
        <v>1</v>
      </c>
      <c r="H135" s="3130">
        <v>4.68</v>
      </c>
      <c r="J135" s="3106"/>
    </row>
    <row r="136" spans="1:10" s="3123" customFormat="1" ht="35.1" customHeight="1">
      <c r="A136" s="3100">
        <v>25</v>
      </c>
      <c r="B136" s="3114" t="s">
        <v>3295</v>
      </c>
      <c r="C136" s="3114" t="s">
        <v>3297</v>
      </c>
      <c r="D136" s="3130">
        <v>2.625</v>
      </c>
      <c r="E136" s="3131">
        <v>2.625</v>
      </c>
      <c r="F136" s="3130">
        <f t="shared" si="4"/>
        <v>2.625</v>
      </c>
      <c r="G136" s="3132">
        <v>1</v>
      </c>
      <c r="H136" s="3130">
        <v>2.625</v>
      </c>
      <c r="J136" s="3106"/>
    </row>
    <row r="137" spans="1:10" s="3123" customFormat="1" ht="35.1" customHeight="1">
      <c r="A137" s="3100">
        <v>27</v>
      </c>
      <c r="B137" s="3114" t="s">
        <v>3300</v>
      </c>
      <c r="C137" s="3114" t="s">
        <v>3301</v>
      </c>
      <c r="D137" s="3130">
        <f>0.26*0.252535</f>
        <v>6.5659099999999998E-2</v>
      </c>
      <c r="E137" s="3131">
        <v>6.5659099999999998E-2</v>
      </c>
      <c r="F137" s="3130">
        <f t="shared" si="4"/>
        <v>5.2527280000000003E-2</v>
      </c>
      <c r="G137" s="3132">
        <v>0.8</v>
      </c>
      <c r="H137" s="3130">
        <f>0.26*0.2</f>
        <v>5.2000000000000005E-2</v>
      </c>
      <c r="J137" s="3106"/>
    </row>
    <row r="138" spans="1:10" s="3123" customFormat="1" ht="35.1" customHeight="1">
      <c r="A138" s="3100">
        <v>28</v>
      </c>
      <c r="B138" s="3114" t="s">
        <v>3302</v>
      </c>
      <c r="C138" s="3114" t="s">
        <v>3303</v>
      </c>
      <c r="D138" s="3130">
        <f>0.26*1.185872</f>
        <v>0.30832672</v>
      </c>
      <c r="E138" s="3131">
        <v>0.30832672</v>
      </c>
      <c r="F138" s="3130">
        <f t="shared" si="4"/>
        <v>0.26207771200000002</v>
      </c>
      <c r="G138" s="3132">
        <v>0.85</v>
      </c>
      <c r="H138" s="3130">
        <f>0.26*1</f>
        <v>0.26</v>
      </c>
      <c r="J138" s="3106"/>
    </row>
    <row r="139" spans="1:10" s="3123" customFormat="1" ht="35.1" customHeight="1">
      <c r="A139" s="3100">
        <v>29</v>
      </c>
      <c r="B139" s="3114" t="s">
        <v>3304</v>
      </c>
      <c r="C139" s="3114" t="s">
        <v>3305</v>
      </c>
      <c r="D139" s="3130">
        <f>0.26*0.54</f>
        <v>0.14040000000000002</v>
      </c>
      <c r="E139" s="3131">
        <v>0.14040000000000002</v>
      </c>
      <c r="F139" s="3130">
        <f t="shared" si="4"/>
        <v>0.14040000000000002</v>
      </c>
      <c r="G139" s="3132">
        <v>1</v>
      </c>
      <c r="H139" s="3130">
        <v>0.14040000000000002</v>
      </c>
      <c r="J139" s="3106"/>
    </row>
    <row r="140" spans="1:10" s="3123" customFormat="1" ht="35.1" customHeight="1">
      <c r="A140" s="3100">
        <v>30</v>
      </c>
      <c r="B140" s="3114" t="s">
        <v>3306</v>
      </c>
      <c r="C140" s="3114" t="s">
        <v>3307</v>
      </c>
      <c r="D140" s="3130">
        <f>0.26*20.16</f>
        <v>5.2416</v>
      </c>
      <c r="E140" s="3131">
        <v>5.2416</v>
      </c>
      <c r="F140" s="3130">
        <f t="shared" si="4"/>
        <v>5.2416</v>
      </c>
      <c r="G140" s="3132">
        <v>1</v>
      </c>
      <c r="H140" s="3130">
        <v>5.2416</v>
      </c>
      <c r="J140" s="3106"/>
    </row>
    <row r="141" spans="1:10" s="3123" customFormat="1" ht="35.1" customHeight="1">
      <c r="A141" s="3100">
        <v>31</v>
      </c>
      <c r="B141" s="3114" t="s">
        <v>3308</v>
      </c>
      <c r="C141" s="3114" t="s">
        <v>3309</v>
      </c>
      <c r="D141" s="3130">
        <f>0.26*527.24</f>
        <v>137.08240000000001</v>
      </c>
      <c r="E141" s="3131">
        <f>0.26*527.24</f>
        <v>137.08240000000001</v>
      </c>
      <c r="F141" s="3130">
        <f t="shared" si="4"/>
        <v>137.08240000000001</v>
      </c>
      <c r="G141" s="3132">
        <v>1</v>
      </c>
      <c r="H141" s="3130">
        <f>0.26*527.24</f>
        <v>137.08240000000001</v>
      </c>
      <c r="J141" s="3106"/>
    </row>
    <row r="142" spans="1:10" s="3123" customFormat="1" ht="35.1" customHeight="1">
      <c r="A142" s="3100">
        <v>32</v>
      </c>
      <c r="B142" s="3114" t="s">
        <v>3310</v>
      </c>
      <c r="C142" s="3114" t="s">
        <v>3311</v>
      </c>
      <c r="D142" s="3130">
        <v>404.52949999999998</v>
      </c>
      <c r="E142" s="3131">
        <v>404.52949999999998</v>
      </c>
      <c r="F142" s="3130">
        <f t="shared" si="4"/>
        <v>202.26474999999999</v>
      </c>
      <c r="G142" s="3132">
        <v>0.5</v>
      </c>
      <c r="H142" s="3130">
        <v>202.26480000000001</v>
      </c>
      <c r="J142" s="3106"/>
    </row>
    <row r="143" spans="1:10" s="3123" customFormat="1" ht="35.1" customHeight="1">
      <c r="A143" s="3100">
        <v>33</v>
      </c>
      <c r="B143" s="3114" t="s">
        <v>3314</v>
      </c>
      <c r="C143" s="3114" t="s">
        <v>3315</v>
      </c>
      <c r="D143" s="3130">
        <f>0.26*259.0738</f>
        <v>67.359188000000003</v>
      </c>
      <c r="E143" s="3131">
        <f>0.26*259.0738</f>
        <v>67.359188000000003</v>
      </c>
      <c r="F143" s="3130">
        <f t="shared" si="4"/>
        <v>67.359188000000003</v>
      </c>
      <c r="G143" s="3132">
        <v>1</v>
      </c>
      <c r="H143" s="3130">
        <f>0.26*259.0738</f>
        <v>67.359188000000003</v>
      </c>
      <c r="J143" s="3106"/>
    </row>
    <row r="144" spans="1:10" s="3123" customFormat="1" ht="35.1" customHeight="1">
      <c r="A144" s="3100">
        <v>34</v>
      </c>
      <c r="B144" s="3114" t="s">
        <v>3312</v>
      </c>
      <c r="C144" s="3114" t="s">
        <v>3313</v>
      </c>
      <c r="D144" s="3130">
        <v>2.3199999999999998</v>
      </c>
      <c r="E144" s="3131">
        <v>2.3199999999999998</v>
      </c>
      <c r="F144" s="3130">
        <f t="shared" si="4"/>
        <v>2.3199999999999998</v>
      </c>
      <c r="G144" s="3132">
        <v>1</v>
      </c>
      <c r="H144" s="3130">
        <v>2.3199999999999998</v>
      </c>
      <c r="J144" s="3106"/>
    </row>
    <row r="145" spans="1:10" s="3123" customFormat="1" ht="35.1" customHeight="1">
      <c r="A145" s="3100">
        <v>35</v>
      </c>
      <c r="B145" s="3114" t="s">
        <v>3316</v>
      </c>
      <c r="C145" s="3114" t="s">
        <v>3317</v>
      </c>
      <c r="D145" s="3130">
        <v>0.9</v>
      </c>
      <c r="E145" s="3131">
        <v>0.9</v>
      </c>
      <c r="F145" s="3130">
        <f t="shared" si="4"/>
        <v>0.9</v>
      </c>
      <c r="G145" s="3132">
        <v>1</v>
      </c>
      <c r="H145" s="3130">
        <v>0.9</v>
      </c>
      <c r="J145" s="3106"/>
    </row>
    <row r="146" spans="1:10" s="3123" customFormat="1" ht="35.1" customHeight="1">
      <c r="A146" s="3100">
        <v>36</v>
      </c>
      <c r="B146" s="3114" t="s">
        <v>3318</v>
      </c>
      <c r="C146" s="3114" t="s">
        <v>3319</v>
      </c>
      <c r="D146" s="3130">
        <v>2.2475000000000001</v>
      </c>
      <c r="E146" s="3131">
        <v>2.2475000000000001</v>
      </c>
      <c r="F146" s="3130">
        <f t="shared" si="4"/>
        <v>2.2475000000000001</v>
      </c>
      <c r="G146" s="3132">
        <v>1</v>
      </c>
      <c r="H146" s="3130">
        <v>2.2475000000000001</v>
      </c>
      <c r="J146" s="3106"/>
    </row>
    <row r="147" spans="1:10" s="3123" customFormat="1" ht="35.1" customHeight="1">
      <c r="A147" s="3100">
        <v>37</v>
      </c>
      <c r="B147" s="3114" t="s">
        <v>3354</v>
      </c>
      <c r="C147" s="3114" t="s">
        <v>3269</v>
      </c>
      <c r="D147" s="3130">
        <v>300</v>
      </c>
      <c r="E147" s="3131">
        <v>300</v>
      </c>
      <c r="F147" s="3130">
        <f t="shared" si="4"/>
        <v>300</v>
      </c>
      <c r="G147" s="3132">
        <v>1</v>
      </c>
      <c r="H147" s="3130">
        <f>150+135</f>
        <v>285</v>
      </c>
      <c r="J147" s="3106"/>
    </row>
    <row r="148" spans="1:10" s="3123" customFormat="1" ht="35.1" customHeight="1">
      <c r="A148" s="3100">
        <v>38</v>
      </c>
      <c r="B148" s="3114" t="s">
        <v>3320</v>
      </c>
      <c r="C148" s="3114" t="s">
        <v>3321</v>
      </c>
      <c r="D148" s="3130">
        <v>17</v>
      </c>
      <c r="E148" s="3131">
        <v>17</v>
      </c>
      <c r="F148" s="3130">
        <f t="shared" si="4"/>
        <v>17</v>
      </c>
      <c r="G148" s="3132">
        <v>1</v>
      </c>
      <c r="H148" s="3130">
        <f>8.5+8.5</f>
        <v>17</v>
      </c>
      <c r="J148" s="3106"/>
    </row>
    <row r="149" spans="1:10" s="3123" customFormat="1" ht="35.1" customHeight="1">
      <c r="A149" s="3100">
        <v>40</v>
      </c>
      <c r="B149" s="3114" t="s">
        <v>3322</v>
      </c>
      <c r="C149" s="3114" t="s">
        <v>3323</v>
      </c>
      <c r="D149" s="3130">
        <f>8391.414*0.32</f>
        <v>2685.2524800000001</v>
      </c>
      <c r="E149" s="3131">
        <v>2685.2524800000001</v>
      </c>
      <c r="F149" s="3130">
        <v>2685.2524800000001</v>
      </c>
      <c r="G149" s="3132">
        <v>1</v>
      </c>
      <c r="H149" s="3130">
        <v>2685.2524800000001</v>
      </c>
      <c r="J149" s="3106"/>
    </row>
    <row r="150" spans="1:10" s="3106" customFormat="1" ht="35.1" customHeight="1">
      <c r="A150" s="3100">
        <v>41</v>
      </c>
      <c r="B150" s="3114" t="s">
        <v>3355</v>
      </c>
      <c r="C150" s="3114" t="s">
        <v>3338</v>
      </c>
      <c r="D150" s="3130">
        <f>0.35*254.2</f>
        <v>88.969999999999985</v>
      </c>
      <c r="E150" s="3131">
        <f>0.35*39.15+204.14+146.33</f>
        <v>364.17250000000001</v>
      </c>
      <c r="F150" s="3130">
        <f>E150*G150</f>
        <v>364.17250000000001</v>
      </c>
      <c r="G150" s="3132">
        <v>1</v>
      </c>
      <c r="H150" s="3130">
        <f>0.35*39.15+204.14+146.33</f>
        <v>364.17250000000001</v>
      </c>
      <c r="J150" s="3110"/>
    </row>
    <row r="151" spans="1:10" s="3123" customFormat="1" ht="35.1" customHeight="1">
      <c r="A151" s="3101" t="s">
        <v>3356</v>
      </c>
      <c r="B151" s="3510" t="s">
        <v>3357</v>
      </c>
      <c r="C151" s="3510"/>
      <c r="D151" s="3128">
        <f>D152+D208</f>
        <v>93345.248161020048</v>
      </c>
      <c r="E151" s="3129">
        <f>E152+E208</f>
        <v>97514.200333220026</v>
      </c>
      <c r="F151" s="3128">
        <f>F152+F208</f>
        <v>70452.357115544495</v>
      </c>
      <c r="G151" s="3121"/>
      <c r="H151" s="3128">
        <f>H152+H208</f>
        <v>70318.758768</v>
      </c>
      <c r="J151" s="3106"/>
    </row>
    <row r="152" spans="1:10" s="3106" customFormat="1" ht="27" customHeight="1">
      <c r="A152" s="3101" t="s">
        <v>3198</v>
      </c>
      <c r="B152" s="3511" t="s">
        <v>3199</v>
      </c>
      <c r="C152" s="3511"/>
      <c r="D152" s="3128">
        <f>SUM(D153:D207)</f>
        <v>85975.546301850045</v>
      </c>
      <c r="E152" s="3129">
        <f>SUM(E153:E207)</f>
        <v>90243.838974050028</v>
      </c>
      <c r="F152" s="3128">
        <f>SUM(F153:F207)</f>
        <v>63632.98175659249</v>
      </c>
      <c r="G152" s="3121"/>
      <c r="H152" s="3128">
        <f>SUM(H153:H207)</f>
        <v>63547.72522</v>
      </c>
      <c r="J152" s="3110"/>
    </row>
    <row r="153" spans="1:10" s="3106" customFormat="1" ht="35.1" customHeight="1">
      <c r="A153" s="3100">
        <v>1</v>
      </c>
      <c r="B153" s="3114" t="s">
        <v>3358</v>
      </c>
      <c r="C153" s="3114" t="s">
        <v>3359</v>
      </c>
      <c r="D153" s="3130">
        <f>39742.941467+14245.467579+118.2439</f>
        <v>54106.652946000002</v>
      </c>
      <c r="E153" s="3131">
        <v>57190.578260000002</v>
      </c>
      <c r="F153" s="3130">
        <f t="shared" ref="F153:F207" si="5">E153*G153</f>
        <v>40033.404781999998</v>
      </c>
      <c r="G153" s="3132">
        <v>0.7</v>
      </c>
      <c r="H153" s="3130">
        <f>23537+2170+2150+4928+3837+915+254+82+189+400+1571</f>
        <v>40033</v>
      </c>
      <c r="J153" s="3110"/>
    </row>
    <row r="154" spans="1:10" s="3106" customFormat="1" ht="35.1" customHeight="1">
      <c r="A154" s="3100">
        <v>2</v>
      </c>
      <c r="B154" s="3114" t="s">
        <v>3202</v>
      </c>
      <c r="C154" s="3114" t="s">
        <v>3360</v>
      </c>
      <c r="D154" s="3130">
        <v>1408.62895005</v>
      </c>
      <c r="E154" s="3131">
        <v>1408.62895005</v>
      </c>
      <c r="F154" s="3130">
        <f t="shared" si="5"/>
        <v>1197.3346075425</v>
      </c>
      <c r="G154" s="3132">
        <v>0.85</v>
      </c>
      <c r="H154" s="3130">
        <f>140*0.31+924.73+229</f>
        <v>1197.1300000000001</v>
      </c>
      <c r="J154" s="3110"/>
    </row>
    <row r="155" spans="1:10" s="3106" customFormat="1" ht="35.1" customHeight="1">
      <c r="A155" s="3100">
        <v>3</v>
      </c>
      <c r="B155" s="3114" t="s">
        <v>3358</v>
      </c>
      <c r="C155" s="3114" t="s">
        <v>3361</v>
      </c>
      <c r="D155" s="3130">
        <v>588.70863699999995</v>
      </c>
      <c r="E155" s="3131">
        <v>926.31685700000003</v>
      </c>
      <c r="F155" s="3130">
        <f t="shared" si="5"/>
        <v>602.10595705000003</v>
      </c>
      <c r="G155" s="3132">
        <v>0.65</v>
      </c>
      <c r="H155" s="3130">
        <f>335+18+249</f>
        <v>602</v>
      </c>
      <c r="J155" s="3110"/>
    </row>
    <row r="156" spans="1:10" s="3106" customFormat="1" ht="35.1" customHeight="1">
      <c r="A156" s="3100">
        <v>4</v>
      </c>
      <c r="B156" s="3114" t="s">
        <v>3204</v>
      </c>
      <c r="C156" s="3114" t="s">
        <v>3362</v>
      </c>
      <c r="D156" s="3130">
        <v>1625.48</v>
      </c>
      <c r="E156" s="3131">
        <v>1333.3644999999999</v>
      </c>
      <c r="F156" s="3130">
        <f t="shared" si="5"/>
        <v>1133.359825</v>
      </c>
      <c r="G156" s="3132">
        <v>0.85</v>
      </c>
      <c r="H156" s="3130">
        <f>937.2+34+76.5+86</f>
        <v>1133.7</v>
      </c>
      <c r="J156" s="3110"/>
    </row>
    <row r="157" spans="1:10" s="3106" customFormat="1" ht="35.1" customHeight="1">
      <c r="A157" s="3100">
        <v>5</v>
      </c>
      <c r="B157" s="3114" t="s">
        <v>3208</v>
      </c>
      <c r="C157" s="3114" t="s">
        <v>3209</v>
      </c>
      <c r="D157" s="3130">
        <v>448.515084</v>
      </c>
      <c r="E157" s="3131">
        <v>583.07100000000003</v>
      </c>
      <c r="F157" s="3130">
        <f t="shared" si="5"/>
        <v>408.1497</v>
      </c>
      <c r="G157" s="3132">
        <v>0.7</v>
      </c>
      <c r="H157" s="3130">
        <f>138+142+24+104.14</f>
        <v>408.14</v>
      </c>
      <c r="J157" s="3110"/>
    </row>
    <row r="158" spans="1:10" s="3106" customFormat="1" ht="35.1" customHeight="1">
      <c r="A158" s="3100">
        <v>6</v>
      </c>
      <c r="B158" s="3114" t="s">
        <v>3210</v>
      </c>
      <c r="C158" s="3114" t="s">
        <v>3211</v>
      </c>
      <c r="D158" s="3130">
        <f>1333.788076*0.3</f>
        <v>400.13642279999999</v>
      </c>
      <c r="E158" s="3131">
        <v>519.22500000000002</v>
      </c>
      <c r="F158" s="3130">
        <f t="shared" si="5"/>
        <v>363.45749999999998</v>
      </c>
      <c r="G158" s="3132">
        <v>0.7</v>
      </c>
      <c r="H158" s="3130">
        <f>15.27+26+198+35+89.18</f>
        <v>363.45</v>
      </c>
      <c r="J158" s="3110"/>
    </row>
    <row r="159" spans="1:10" s="3106" customFormat="1" ht="35.1" customHeight="1">
      <c r="A159" s="3100">
        <v>7</v>
      </c>
      <c r="B159" s="3114" t="s">
        <v>3212</v>
      </c>
      <c r="C159" s="3114" t="s">
        <v>3213</v>
      </c>
      <c r="D159" s="3130">
        <v>216.47743800000001</v>
      </c>
      <c r="E159" s="3131">
        <v>224.76390000000001</v>
      </c>
      <c r="F159" s="3130">
        <f t="shared" si="5"/>
        <v>157.33473000000001</v>
      </c>
      <c r="G159" s="3132">
        <v>0.7</v>
      </c>
      <c r="H159" s="3130">
        <f>92.5+35+22+5.6+2.23</f>
        <v>157.32999999999998</v>
      </c>
      <c r="J159" s="3110"/>
    </row>
    <row r="160" spans="1:10" s="3106" customFormat="1" ht="35.1" customHeight="1">
      <c r="A160" s="3100">
        <v>8</v>
      </c>
      <c r="B160" s="3114" t="s">
        <v>3214</v>
      </c>
      <c r="C160" s="3114" t="s">
        <v>3346</v>
      </c>
      <c r="D160" s="3130">
        <f>188.288403+108</f>
        <v>296.28840300000002</v>
      </c>
      <c r="E160" s="3131">
        <f>186.52+108</f>
        <v>294.52</v>
      </c>
      <c r="F160" s="3130">
        <f t="shared" si="5"/>
        <v>206.16399999999999</v>
      </c>
      <c r="G160" s="3132">
        <v>0.7</v>
      </c>
      <c r="H160" s="3130">
        <f>8.3+24+53+105.27+16</f>
        <v>206.57</v>
      </c>
      <c r="J160" s="3110"/>
    </row>
    <row r="161" spans="1:10" s="3106" customFormat="1" ht="35.1" customHeight="1">
      <c r="A161" s="3100">
        <v>9</v>
      </c>
      <c r="B161" s="3114" t="s">
        <v>3363</v>
      </c>
      <c r="C161" s="3114" t="s">
        <v>3364</v>
      </c>
      <c r="D161" s="3130">
        <v>440.11</v>
      </c>
      <c r="E161" s="3131">
        <v>463.13525299999998</v>
      </c>
      <c r="F161" s="3130">
        <f t="shared" si="5"/>
        <v>449.24119540999999</v>
      </c>
      <c r="G161" s="3132">
        <v>0.97</v>
      </c>
      <c r="H161" s="3130">
        <f>66+87+103+193.24</f>
        <v>449.24</v>
      </c>
      <c r="J161" s="3110"/>
    </row>
    <row r="162" spans="1:10" s="3106" customFormat="1" ht="35.1" customHeight="1">
      <c r="A162" s="3100">
        <v>10</v>
      </c>
      <c r="B162" s="3114" t="s">
        <v>3221</v>
      </c>
      <c r="C162" s="3114" t="s">
        <v>3222</v>
      </c>
      <c r="D162" s="3130">
        <v>319.38400000000001</v>
      </c>
      <c r="E162" s="3131">
        <f>207.71+90.54+8.5</f>
        <v>306.75</v>
      </c>
      <c r="F162" s="3130">
        <f t="shared" si="5"/>
        <v>245.4</v>
      </c>
      <c r="G162" s="3132">
        <v>0.8</v>
      </c>
      <c r="H162" s="3130">
        <f>145+32+16+16+28+8.4</f>
        <v>245.4</v>
      </c>
      <c r="J162" s="3110"/>
    </row>
    <row r="163" spans="1:10" s="3106" customFormat="1" ht="35.1" customHeight="1">
      <c r="A163" s="3100">
        <v>11</v>
      </c>
      <c r="B163" s="3114" t="s">
        <v>3223</v>
      </c>
      <c r="C163" s="3114" t="s">
        <v>3224</v>
      </c>
      <c r="D163" s="3130">
        <v>589.19479999999999</v>
      </c>
      <c r="E163" s="3131">
        <v>766.78959999999995</v>
      </c>
      <c r="F163" s="3130">
        <f t="shared" si="5"/>
        <v>651.7711599999999</v>
      </c>
      <c r="G163" s="3132">
        <v>0.85</v>
      </c>
      <c r="H163" s="3130">
        <f>323+23+6.9+16+129.51+153</f>
        <v>651.41</v>
      </c>
      <c r="J163" s="3110"/>
    </row>
    <row r="164" spans="1:10" s="3106" customFormat="1" ht="35.1" customHeight="1">
      <c r="A164" s="3100">
        <v>12</v>
      </c>
      <c r="B164" s="3114" t="s">
        <v>3225</v>
      </c>
      <c r="C164" s="3114" t="s">
        <v>3226</v>
      </c>
      <c r="D164" s="3130">
        <f>115.25976+28.377708</f>
        <v>143.63746800000001</v>
      </c>
      <c r="E164" s="3131">
        <v>171.09800000000001</v>
      </c>
      <c r="F164" s="3130">
        <f t="shared" si="5"/>
        <v>119.76860000000001</v>
      </c>
      <c r="G164" s="3132">
        <v>0.7</v>
      </c>
      <c r="H164" s="3130">
        <f>23.05+29+48+9+10.7</f>
        <v>119.75</v>
      </c>
      <c r="J164" s="3110"/>
    </row>
    <row r="165" spans="1:10" s="3123" customFormat="1" ht="35.1" customHeight="1">
      <c r="A165" s="3100">
        <v>13</v>
      </c>
      <c r="B165" s="3114" t="s">
        <v>3229</v>
      </c>
      <c r="C165" s="3114" t="s">
        <v>3347</v>
      </c>
      <c r="D165" s="3130">
        <v>43.058999999999997</v>
      </c>
      <c r="E165" s="3131">
        <v>43.058999999999997</v>
      </c>
      <c r="F165" s="3130">
        <f t="shared" si="5"/>
        <v>40.906049999999993</v>
      </c>
      <c r="G165" s="3132">
        <v>0.95</v>
      </c>
      <c r="H165" s="3130">
        <f>10.76+30.1413</f>
        <v>40.901299999999999</v>
      </c>
      <c r="J165" s="3106"/>
    </row>
    <row r="166" spans="1:10" s="3123" customFormat="1" ht="35.1" customHeight="1">
      <c r="A166" s="3100">
        <v>15</v>
      </c>
      <c r="B166" s="3114" t="s">
        <v>3236</v>
      </c>
      <c r="C166" s="3162" t="s">
        <v>3237</v>
      </c>
      <c r="D166" s="3135">
        <v>6.9080000000000004</v>
      </c>
      <c r="E166" s="3136">
        <v>6.9080000000000004</v>
      </c>
      <c r="F166" s="3130">
        <f t="shared" si="5"/>
        <v>6.9080000000000004</v>
      </c>
      <c r="G166" s="3132">
        <v>1</v>
      </c>
      <c r="H166" s="3135">
        <v>6.9080000000000004</v>
      </c>
      <c r="J166" s="3106"/>
    </row>
    <row r="167" spans="1:10" s="3123" customFormat="1" ht="35.1" customHeight="1">
      <c r="A167" s="3100">
        <v>16</v>
      </c>
      <c r="B167" s="3114" t="s">
        <v>3365</v>
      </c>
      <c r="C167" s="3162" t="s">
        <v>3366</v>
      </c>
      <c r="D167" s="3135">
        <v>675.51436999999999</v>
      </c>
      <c r="E167" s="3136">
        <v>649</v>
      </c>
      <c r="F167" s="3130">
        <f t="shared" si="5"/>
        <v>519.20000000000005</v>
      </c>
      <c r="G167" s="3132">
        <v>0.8</v>
      </c>
      <c r="H167" s="3135">
        <f>439.08+80</f>
        <v>519.07999999999993</v>
      </c>
      <c r="J167" s="3106"/>
    </row>
    <row r="168" spans="1:10" s="3123" customFormat="1" ht="35.1" customHeight="1">
      <c r="A168" s="3100">
        <v>17</v>
      </c>
      <c r="B168" s="3114" t="s">
        <v>3225</v>
      </c>
      <c r="C168" s="3162" t="s">
        <v>3238</v>
      </c>
      <c r="D168" s="3135">
        <v>9.8940000000000001</v>
      </c>
      <c r="E168" s="3136">
        <v>4.5559200000000004</v>
      </c>
      <c r="F168" s="3130">
        <f t="shared" si="5"/>
        <v>4.5559200000000004</v>
      </c>
      <c r="G168" s="3132">
        <v>1</v>
      </c>
      <c r="H168" s="3135">
        <v>4.5559200000000004</v>
      </c>
      <c r="J168" s="3106"/>
    </row>
    <row r="169" spans="1:10" s="3123" customFormat="1" ht="35.1" customHeight="1">
      <c r="A169" s="3100">
        <v>18</v>
      </c>
      <c r="B169" s="3114" t="s">
        <v>3354</v>
      </c>
      <c r="C169" s="3162" t="s">
        <v>3367</v>
      </c>
      <c r="D169" s="3135">
        <v>4935.8716880000002</v>
      </c>
      <c r="E169" s="3136">
        <v>4713.3058209999999</v>
      </c>
      <c r="F169" s="3130">
        <f t="shared" si="5"/>
        <v>3299.3140746999998</v>
      </c>
      <c r="G169" s="3132">
        <v>0.7</v>
      </c>
      <c r="H169" s="3135">
        <f>1100+190+96+700+1213.31</f>
        <v>3299.31</v>
      </c>
      <c r="J169" s="3106"/>
    </row>
    <row r="170" spans="1:10" s="3123" customFormat="1" ht="35.1" customHeight="1">
      <c r="A170" s="3100">
        <v>19</v>
      </c>
      <c r="B170" s="3114" t="s">
        <v>3368</v>
      </c>
      <c r="C170" s="3162" t="s">
        <v>3369</v>
      </c>
      <c r="D170" s="3135">
        <v>7.4344999999999999</v>
      </c>
      <c r="E170" s="3136">
        <v>7.4344999999999999</v>
      </c>
      <c r="F170" s="3130">
        <f t="shared" si="5"/>
        <v>7.0627749999999994</v>
      </c>
      <c r="G170" s="3132">
        <v>0.95</v>
      </c>
      <c r="H170" s="3135">
        <v>7</v>
      </c>
      <c r="J170" s="3106"/>
    </row>
    <row r="171" spans="1:10" s="3123" customFormat="1" ht="35.1" customHeight="1">
      <c r="A171" s="3100">
        <v>20</v>
      </c>
      <c r="B171" s="3114" t="s">
        <v>3370</v>
      </c>
      <c r="C171" s="3162" t="s">
        <v>3371</v>
      </c>
      <c r="D171" s="3135">
        <v>19.2</v>
      </c>
      <c r="E171" s="3136">
        <v>19.2</v>
      </c>
      <c r="F171" s="3130">
        <f t="shared" si="5"/>
        <v>18.239999999999998</v>
      </c>
      <c r="G171" s="3132">
        <v>0.95</v>
      </c>
      <c r="H171" s="3135">
        <v>18</v>
      </c>
      <c r="J171" s="3106"/>
    </row>
    <row r="172" spans="1:10" s="3123" customFormat="1" ht="35.1" customHeight="1">
      <c r="A172" s="3100">
        <v>21</v>
      </c>
      <c r="B172" s="3137" t="s">
        <v>3372</v>
      </c>
      <c r="C172" s="3162" t="s">
        <v>3373</v>
      </c>
      <c r="D172" s="3135">
        <v>168.61799999999999</v>
      </c>
      <c r="E172" s="3136">
        <v>168.61799999999999</v>
      </c>
      <c r="F172" s="3130">
        <f t="shared" si="5"/>
        <v>160.18709999999999</v>
      </c>
      <c r="G172" s="3132">
        <v>0.95</v>
      </c>
      <c r="H172" s="3135">
        <f>101+42.32+16.86</f>
        <v>160.18</v>
      </c>
      <c r="J172" s="3106"/>
    </row>
    <row r="173" spans="1:10" s="3123" customFormat="1" ht="35.1" customHeight="1">
      <c r="A173" s="3100">
        <v>22</v>
      </c>
      <c r="B173" s="3137" t="s">
        <v>3374</v>
      </c>
      <c r="C173" s="3162" t="s">
        <v>3375</v>
      </c>
      <c r="D173" s="3135">
        <v>15.75</v>
      </c>
      <c r="E173" s="3136">
        <v>15.75</v>
      </c>
      <c r="F173" s="3130">
        <f t="shared" si="5"/>
        <v>14.962499999999999</v>
      </c>
      <c r="G173" s="3132">
        <v>0.95</v>
      </c>
      <c r="H173" s="3135">
        <v>14.96</v>
      </c>
      <c r="J173" s="3106"/>
    </row>
    <row r="174" spans="1:10" s="3123" customFormat="1" ht="35.1" customHeight="1">
      <c r="A174" s="3100">
        <v>23</v>
      </c>
      <c r="B174" s="3137" t="s">
        <v>3376</v>
      </c>
      <c r="C174" s="3162" t="s">
        <v>3375</v>
      </c>
      <c r="D174" s="3135">
        <v>13.421799999999999</v>
      </c>
      <c r="E174" s="3136">
        <v>13.421799999999999</v>
      </c>
      <c r="F174" s="3130">
        <f t="shared" si="5"/>
        <v>12.750709999999998</v>
      </c>
      <c r="G174" s="3132">
        <v>0.95</v>
      </c>
      <c r="H174" s="3135">
        <v>12.75</v>
      </c>
      <c r="J174" s="3106"/>
    </row>
    <row r="175" spans="1:10" s="3123" customFormat="1" ht="35.1" customHeight="1">
      <c r="A175" s="3100">
        <v>24</v>
      </c>
      <c r="B175" s="3137" t="s">
        <v>3377</v>
      </c>
      <c r="C175" s="3162" t="s">
        <v>3378</v>
      </c>
      <c r="D175" s="3135">
        <f>890+96.49</f>
        <v>986.49</v>
      </c>
      <c r="E175" s="3136">
        <f>639.54+115.17+95.02+24.98+111.78</f>
        <v>986.4899999999999</v>
      </c>
      <c r="F175" s="3130">
        <f t="shared" si="5"/>
        <v>591.89399999999989</v>
      </c>
      <c r="G175" s="3132">
        <v>0.6</v>
      </c>
      <c r="H175" s="3138">
        <f>89+294+69.1+57+14.99+67.07</f>
        <v>591.16000000000008</v>
      </c>
      <c r="J175" s="3106"/>
    </row>
    <row r="176" spans="1:10" s="3123" customFormat="1" ht="35.1" customHeight="1">
      <c r="A176" s="3100">
        <v>25</v>
      </c>
      <c r="B176" s="3137" t="s">
        <v>3379</v>
      </c>
      <c r="C176" s="3162" t="s">
        <v>3380</v>
      </c>
      <c r="D176" s="3135">
        <v>1150.96</v>
      </c>
      <c r="E176" s="3136">
        <f>690.93+197.79+118.39+104.36+39.49</f>
        <v>1150.9599999999998</v>
      </c>
      <c r="F176" s="3130">
        <f t="shared" si="5"/>
        <v>690.57599999999991</v>
      </c>
      <c r="G176" s="3132">
        <v>0.6</v>
      </c>
      <c r="H176" s="3138">
        <f>115+299+118.68+71+62.62+23.69</f>
        <v>689.99000000000012</v>
      </c>
      <c r="J176" s="3106"/>
    </row>
    <row r="177" spans="1:10" s="3123" customFormat="1" ht="35.1" customHeight="1">
      <c r="A177" s="3100">
        <v>26</v>
      </c>
      <c r="B177" s="3139" t="s">
        <v>3381</v>
      </c>
      <c r="C177" s="3139" t="s">
        <v>3382</v>
      </c>
      <c r="D177" s="3135">
        <v>325.89</v>
      </c>
      <c r="E177" s="3136">
        <v>325.89</v>
      </c>
      <c r="F177" s="3130">
        <f t="shared" si="5"/>
        <v>195.53399999999999</v>
      </c>
      <c r="G177" s="3132">
        <v>0.6</v>
      </c>
      <c r="H177" s="3138">
        <f>97.77+97.77</f>
        <v>195.54</v>
      </c>
      <c r="J177" s="3106"/>
    </row>
    <row r="178" spans="1:10" s="3123" customFormat="1" ht="35.1" customHeight="1">
      <c r="A178" s="3100">
        <v>27</v>
      </c>
      <c r="B178" s="3137" t="s">
        <v>3383</v>
      </c>
      <c r="C178" s="3162" t="s">
        <v>3384</v>
      </c>
      <c r="D178" s="3135">
        <v>210.56</v>
      </c>
      <c r="E178" s="3136">
        <v>210.56</v>
      </c>
      <c r="F178" s="3130">
        <f t="shared" si="5"/>
        <v>168.44800000000001</v>
      </c>
      <c r="G178" s="3132">
        <v>0.8</v>
      </c>
      <c r="H178" s="3138">
        <f>63+21+21+42.11+21.06</f>
        <v>168.17000000000002</v>
      </c>
      <c r="J178" s="3106"/>
    </row>
    <row r="179" spans="1:10" s="3123" customFormat="1" ht="35.1" customHeight="1">
      <c r="A179" s="3100">
        <v>28</v>
      </c>
      <c r="B179" s="3137" t="s">
        <v>3385</v>
      </c>
      <c r="C179" s="3162" t="s">
        <v>3386</v>
      </c>
      <c r="D179" s="3135">
        <v>269</v>
      </c>
      <c r="E179" s="3136">
        <v>269</v>
      </c>
      <c r="F179" s="3130">
        <f t="shared" si="5"/>
        <v>215.20000000000002</v>
      </c>
      <c r="G179" s="3132">
        <v>0.8</v>
      </c>
      <c r="H179" s="3138">
        <f>80+26.9+26.9+53.8+26.9</f>
        <v>214.50000000000003</v>
      </c>
      <c r="J179" s="3106"/>
    </row>
    <row r="180" spans="1:10" s="3123" customFormat="1" ht="35.1" customHeight="1">
      <c r="A180" s="3100">
        <v>29</v>
      </c>
      <c r="B180" s="3137" t="s">
        <v>3387</v>
      </c>
      <c r="C180" s="3162" t="s">
        <v>3388</v>
      </c>
      <c r="D180" s="3135">
        <v>268.03699999999998</v>
      </c>
      <c r="E180" s="3136">
        <v>268.03699999999998</v>
      </c>
      <c r="F180" s="3130">
        <f t="shared" si="5"/>
        <v>214.42959999999999</v>
      </c>
      <c r="G180" s="3132">
        <v>0.8</v>
      </c>
      <c r="H180" s="3138">
        <f>80+26.8+26.8+53.61+26.8</f>
        <v>214.01</v>
      </c>
      <c r="J180" s="3106"/>
    </row>
    <row r="181" spans="1:10" s="3123" customFormat="1" ht="35.1" customHeight="1">
      <c r="A181" s="3100">
        <v>30</v>
      </c>
      <c r="B181" s="3137" t="s">
        <v>3389</v>
      </c>
      <c r="C181" s="3162" t="s">
        <v>3390</v>
      </c>
      <c r="D181" s="3135">
        <v>286.27999999999997</v>
      </c>
      <c r="E181" s="3136">
        <v>286.27999999999997</v>
      </c>
      <c r="F181" s="3130">
        <f t="shared" si="5"/>
        <v>229.024</v>
      </c>
      <c r="G181" s="3132">
        <v>0.8</v>
      </c>
      <c r="H181" s="3138">
        <f>85+28.63+28.63+57.26+28.63</f>
        <v>228.14999999999998</v>
      </c>
      <c r="J181" s="3106"/>
    </row>
    <row r="182" spans="1:10" s="3123" customFormat="1" ht="35.1" customHeight="1">
      <c r="A182" s="3100">
        <v>31</v>
      </c>
      <c r="B182" s="3137" t="s">
        <v>3391</v>
      </c>
      <c r="C182" s="3162" t="s">
        <v>3392</v>
      </c>
      <c r="D182" s="3135">
        <v>216.21</v>
      </c>
      <c r="E182" s="3136">
        <v>216.21</v>
      </c>
      <c r="F182" s="3130">
        <f t="shared" si="5"/>
        <v>172.96800000000002</v>
      </c>
      <c r="G182" s="3132">
        <v>0.8</v>
      </c>
      <c r="H182" s="3138">
        <f>64.86+21.62+21.62+43.24+21.62</f>
        <v>172.96</v>
      </c>
      <c r="J182" s="3106"/>
    </row>
    <row r="183" spans="1:10" s="3123" customFormat="1" ht="35.1" customHeight="1">
      <c r="A183" s="3100">
        <v>32</v>
      </c>
      <c r="B183" s="3137" t="s">
        <v>3385</v>
      </c>
      <c r="C183" s="3162" t="s">
        <v>3393</v>
      </c>
      <c r="D183" s="3135">
        <v>410</v>
      </c>
      <c r="E183" s="3136">
        <v>410</v>
      </c>
      <c r="F183" s="3130">
        <f t="shared" si="5"/>
        <v>328</v>
      </c>
      <c r="G183" s="3132">
        <v>0.8</v>
      </c>
      <c r="H183" s="3138">
        <f>123+41+41+82+41</f>
        <v>328</v>
      </c>
      <c r="J183" s="3106"/>
    </row>
    <row r="184" spans="1:10" s="3123" customFormat="1" ht="35.1" customHeight="1">
      <c r="A184" s="3100">
        <v>33</v>
      </c>
      <c r="B184" s="3137" t="s">
        <v>3387</v>
      </c>
      <c r="C184" s="3162" t="s">
        <v>3394</v>
      </c>
      <c r="D184" s="3135">
        <v>315.45</v>
      </c>
      <c r="E184" s="3136">
        <v>315.45</v>
      </c>
      <c r="F184" s="3130">
        <f t="shared" si="5"/>
        <v>252.36</v>
      </c>
      <c r="G184" s="3132">
        <v>0.8</v>
      </c>
      <c r="H184" s="3138">
        <f>94+31.55+31.55+63.09+31.55</f>
        <v>251.74</v>
      </c>
      <c r="J184" s="3106"/>
    </row>
    <row r="185" spans="1:10" s="3123" customFormat="1" ht="35.1" customHeight="1">
      <c r="A185" s="3100">
        <v>34</v>
      </c>
      <c r="B185" s="3137" t="s">
        <v>3395</v>
      </c>
      <c r="C185" s="3162" t="s">
        <v>3396</v>
      </c>
      <c r="D185" s="3135">
        <v>304.5</v>
      </c>
      <c r="E185" s="3136">
        <v>304.5</v>
      </c>
      <c r="F185" s="3130">
        <f t="shared" si="5"/>
        <v>243.60000000000002</v>
      </c>
      <c r="G185" s="3132">
        <v>0.8</v>
      </c>
      <c r="H185" s="3138">
        <f>91+30.45+30.45+60.9+30.45</f>
        <v>243.25</v>
      </c>
      <c r="J185" s="3106"/>
    </row>
    <row r="186" spans="1:10" s="3123" customFormat="1" ht="35.1" customHeight="1">
      <c r="A186" s="3100">
        <v>35</v>
      </c>
      <c r="B186" s="3137" t="s">
        <v>3385</v>
      </c>
      <c r="C186" s="3162" t="s">
        <v>3397</v>
      </c>
      <c r="D186" s="3135">
        <v>395</v>
      </c>
      <c r="E186" s="3136">
        <v>395</v>
      </c>
      <c r="F186" s="3130">
        <f t="shared" si="5"/>
        <v>316</v>
      </c>
      <c r="G186" s="3132">
        <v>0.8</v>
      </c>
      <c r="H186" s="3138">
        <f>118+39.5+39.5+79+39.5</f>
        <v>315.5</v>
      </c>
      <c r="J186" s="3106"/>
    </row>
    <row r="187" spans="1:10" s="3123" customFormat="1" ht="35.1" customHeight="1">
      <c r="A187" s="3100">
        <v>36</v>
      </c>
      <c r="B187" s="3137" t="s">
        <v>3391</v>
      </c>
      <c r="C187" s="3162" t="s">
        <v>3398</v>
      </c>
      <c r="D187" s="3135">
        <v>424.52</v>
      </c>
      <c r="E187" s="3136">
        <v>424.52</v>
      </c>
      <c r="F187" s="3130">
        <f t="shared" si="5"/>
        <v>339.61599999999999</v>
      </c>
      <c r="G187" s="3132">
        <v>0.8</v>
      </c>
      <c r="H187" s="3138">
        <f>127.36+42.45+42.45+84.91+42.45</f>
        <v>339.61999999999995</v>
      </c>
      <c r="J187" s="3106"/>
    </row>
    <row r="188" spans="1:10" s="3123" customFormat="1" ht="35.1" customHeight="1">
      <c r="A188" s="3100">
        <v>37</v>
      </c>
      <c r="B188" s="3137" t="s">
        <v>3399</v>
      </c>
      <c r="C188" s="3162" t="s">
        <v>3400</v>
      </c>
      <c r="D188" s="3135">
        <v>564.08000000000004</v>
      </c>
      <c r="E188" s="3136">
        <v>564.08000000000004</v>
      </c>
      <c r="F188" s="3130">
        <f t="shared" si="5"/>
        <v>451.26400000000007</v>
      </c>
      <c r="G188" s="3132">
        <v>0.8</v>
      </c>
      <c r="H188" s="3138">
        <f>169+56.41+56.41+112.82+56.41</f>
        <v>451.04999999999995</v>
      </c>
      <c r="J188" s="3106"/>
    </row>
    <row r="189" spans="1:10" s="3123" customFormat="1" ht="35.1" customHeight="1">
      <c r="A189" s="3100">
        <v>38</v>
      </c>
      <c r="B189" s="3137" t="s">
        <v>3399</v>
      </c>
      <c r="C189" s="3162" t="s">
        <v>3401</v>
      </c>
      <c r="D189" s="3135">
        <v>329.33</v>
      </c>
      <c r="E189" s="3136">
        <v>329.33</v>
      </c>
      <c r="F189" s="3130">
        <f t="shared" si="5"/>
        <v>263.464</v>
      </c>
      <c r="G189" s="3132">
        <v>0.8</v>
      </c>
      <c r="H189" s="3138">
        <f>98+32.93+32.93+65.87+32.93</f>
        <v>262.66000000000003</v>
      </c>
      <c r="J189" s="3106"/>
    </row>
    <row r="190" spans="1:10" s="3123" customFormat="1" ht="35.1" customHeight="1">
      <c r="A190" s="3100">
        <v>39</v>
      </c>
      <c r="B190" s="3137" t="s">
        <v>3402</v>
      </c>
      <c r="C190" s="3162" t="s">
        <v>3403</v>
      </c>
      <c r="D190" s="3135">
        <v>110</v>
      </c>
      <c r="E190" s="3136">
        <v>110</v>
      </c>
      <c r="F190" s="3130">
        <f t="shared" si="5"/>
        <v>88</v>
      </c>
      <c r="G190" s="3132">
        <v>0.8</v>
      </c>
      <c r="H190" s="3138">
        <f>33+11+11+22+11</f>
        <v>88</v>
      </c>
      <c r="J190" s="3106"/>
    </row>
    <row r="191" spans="1:10" s="3123" customFormat="1" ht="35.1" customHeight="1">
      <c r="A191" s="3100">
        <v>40</v>
      </c>
      <c r="B191" s="3137" t="s">
        <v>3404</v>
      </c>
      <c r="C191" s="3162" t="s">
        <v>3405</v>
      </c>
      <c r="D191" s="3135">
        <v>91.49</v>
      </c>
      <c r="E191" s="3136">
        <v>91.49</v>
      </c>
      <c r="F191" s="3130">
        <f t="shared" si="5"/>
        <v>73.191999999999993</v>
      </c>
      <c r="G191" s="3132">
        <v>0.8</v>
      </c>
      <c r="H191" s="3138">
        <f>27+9.15+27.45+9.15</f>
        <v>72.75</v>
      </c>
      <c r="J191" s="3106"/>
    </row>
    <row r="192" spans="1:10" s="3123" customFormat="1" ht="35.1" customHeight="1">
      <c r="A192" s="3100">
        <v>41</v>
      </c>
      <c r="B192" s="3137" t="s">
        <v>3406</v>
      </c>
      <c r="C192" s="3162" t="s">
        <v>3407</v>
      </c>
      <c r="D192" s="3135">
        <v>418.8</v>
      </c>
      <c r="E192" s="3136">
        <v>418.8</v>
      </c>
      <c r="F192" s="3130">
        <f t="shared" si="5"/>
        <v>335.04</v>
      </c>
      <c r="G192" s="3132">
        <v>0.8</v>
      </c>
      <c r="H192" s="3138">
        <f>125+41.88+125.64+41.88</f>
        <v>334.4</v>
      </c>
      <c r="J192" s="3106"/>
    </row>
    <row r="193" spans="1:10" s="3123" customFormat="1" ht="35.1" customHeight="1">
      <c r="A193" s="3100">
        <v>42</v>
      </c>
      <c r="B193" s="3139" t="s">
        <v>3408</v>
      </c>
      <c r="C193" s="3139" t="s">
        <v>3409</v>
      </c>
      <c r="D193" s="3135">
        <f>2143800/10000</f>
        <v>214.38</v>
      </c>
      <c r="E193" s="3136">
        <f>2143800/10000</f>
        <v>214.38</v>
      </c>
      <c r="F193" s="3130">
        <f t="shared" si="5"/>
        <v>150.06599999999997</v>
      </c>
      <c r="G193" s="3132">
        <v>0.7</v>
      </c>
      <c r="H193" s="3140">
        <f>42.88+64.31+42.88</f>
        <v>150.07</v>
      </c>
      <c r="J193" s="3106"/>
    </row>
    <row r="194" spans="1:10" s="3123" customFormat="1" ht="35.1" customHeight="1">
      <c r="A194" s="3100">
        <v>43</v>
      </c>
      <c r="B194" s="3139" t="s">
        <v>3410</v>
      </c>
      <c r="C194" s="3139" t="s">
        <v>3411</v>
      </c>
      <c r="D194" s="3135">
        <v>131.07</v>
      </c>
      <c r="E194" s="3136">
        <v>131.07</v>
      </c>
      <c r="F194" s="3130">
        <f t="shared" si="5"/>
        <v>91.748999999999995</v>
      </c>
      <c r="G194" s="3132">
        <v>0.7</v>
      </c>
      <c r="H194" s="3140">
        <f>26.21+39.32+26.21</f>
        <v>91.740000000000009</v>
      </c>
      <c r="J194" s="3106"/>
    </row>
    <row r="195" spans="1:10" s="3123" customFormat="1" ht="35.1" customHeight="1">
      <c r="A195" s="3100">
        <v>44</v>
      </c>
      <c r="B195" s="3139" t="s">
        <v>3412</v>
      </c>
      <c r="C195" s="3139" t="s">
        <v>3413</v>
      </c>
      <c r="D195" s="3135">
        <v>171.01</v>
      </c>
      <c r="E195" s="3136">
        <v>171.01</v>
      </c>
      <c r="F195" s="3130">
        <f t="shared" si="5"/>
        <v>119.70699999999998</v>
      </c>
      <c r="G195" s="3132">
        <v>0.7</v>
      </c>
      <c r="H195" s="3140">
        <f>34.2+51.3+34.2</f>
        <v>119.7</v>
      </c>
      <c r="J195" s="3106"/>
    </row>
    <row r="196" spans="1:10" s="3123" customFormat="1" ht="35.1" customHeight="1">
      <c r="A196" s="3100">
        <v>45</v>
      </c>
      <c r="B196" s="3139" t="s">
        <v>3414</v>
      </c>
      <c r="C196" s="3139" t="s">
        <v>3415</v>
      </c>
      <c r="D196" s="3135">
        <v>88.7</v>
      </c>
      <c r="E196" s="3136">
        <v>88.7</v>
      </c>
      <c r="F196" s="3130">
        <f t="shared" si="5"/>
        <v>62.089999999999996</v>
      </c>
      <c r="G196" s="3132">
        <v>0.7</v>
      </c>
      <c r="H196" s="3140">
        <f>17.74+26.61+17.74</f>
        <v>62.089999999999989</v>
      </c>
      <c r="J196" s="3106"/>
    </row>
    <row r="197" spans="1:10" s="3123" customFormat="1" ht="35.1" customHeight="1">
      <c r="A197" s="3100">
        <v>46</v>
      </c>
      <c r="B197" s="3139" t="s">
        <v>3412</v>
      </c>
      <c r="C197" s="3139" t="s">
        <v>3416</v>
      </c>
      <c r="D197" s="3135">
        <v>79.989000000000004</v>
      </c>
      <c r="E197" s="3136">
        <v>79.989000000000004</v>
      </c>
      <c r="F197" s="3130">
        <f t="shared" si="5"/>
        <v>55.9923</v>
      </c>
      <c r="G197" s="3132">
        <v>0.7</v>
      </c>
      <c r="H197" s="3140">
        <f>16+24+16</f>
        <v>56</v>
      </c>
      <c r="J197" s="3106"/>
    </row>
    <row r="198" spans="1:10" s="3123" customFormat="1" ht="35.1" customHeight="1">
      <c r="A198" s="3100">
        <v>47</v>
      </c>
      <c r="B198" s="3139" t="s">
        <v>3402</v>
      </c>
      <c r="C198" s="3139" t="s">
        <v>3417</v>
      </c>
      <c r="D198" s="3135">
        <v>315</v>
      </c>
      <c r="E198" s="3136">
        <v>315</v>
      </c>
      <c r="F198" s="3130">
        <f t="shared" si="5"/>
        <v>220.5</v>
      </c>
      <c r="G198" s="3132">
        <v>0.7</v>
      </c>
      <c r="H198" s="3140">
        <f>63+94.5+63</f>
        <v>220.5</v>
      </c>
      <c r="J198" s="3106"/>
    </row>
    <row r="199" spans="1:10" s="3123" customFormat="1" ht="35.1" customHeight="1">
      <c r="A199" s="3100">
        <v>48</v>
      </c>
      <c r="B199" s="3139" t="s">
        <v>3385</v>
      </c>
      <c r="C199" s="3139" t="s">
        <v>3418</v>
      </c>
      <c r="D199" s="3135">
        <v>437</v>
      </c>
      <c r="E199" s="3136">
        <v>437</v>
      </c>
      <c r="F199" s="3130">
        <f t="shared" si="5"/>
        <v>305.89999999999998</v>
      </c>
      <c r="G199" s="3132">
        <v>0.7</v>
      </c>
      <c r="H199" s="3140">
        <f>87.4+43.7+131.1+43.7</f>
        <v>305.90000000000003</v>
      </c>
      <c r="J199" s="3106"/>
    </row>
    <row r="200" spans="1:10" s="3123" customFormat="1" ht="35.1" customHeight="1">
      <c r="A200" s="3100">
        <v>49</v>
      </c>
      <c r="B200" s="3139" t="s">
        <v>3385</v>
      </c>
      <c r="C200" s="3139" t="s">
        <v>3419</v>
      </c>
      <c r="D200" s="3135">
        <v>293</v>
      </c>
      <c r="E200" s="3136">
        <v>293</v>
      </c>
      <c r="F200" s="3130">
        <f t="shared" si="5"/>
        <v>205.1</v>
      </c>
      <c r="G200" s="3132">
        <v>0.7</v>
      </c>
      <c r="H200" s="3140">
        <f>58.6+29.3+87.9+29.3</f>
        <v>205.10000000000002</v>
      </c>
      <c r="J200" s="3106"/>
    </row>
    <row r="201" spans="1:10" s="3123" customFormat="1" ht="35.1" customHeight="1">
      <c r="A201" s="3100">
        <v>50</v>
      </c>
      <c r="B201" s="3139" t="s">
        <v>3420</v>
      </c>
      <c r="C201" s="3139" t="s">
        <v>3421</v>
      </c>
      <c r="D201" s="3135">
        <v>328.99</v>
      </c>
      <c r="E201" s="3136">
        <v>328.99</v>
      </c>
      <c r="F201" s="3130">
        <f t="shared" si="5"/>
        <v>230.29299999999998</v>
      </c>
      <c r="G201" s="3132">
        <v>0.7</v>
      </c>
      <c r="H201" s="3138">
        <f>65.8+131.59+32.9</f>
        <v>230.29</v>
      </c>
      <c r="J201" s="3106"/>
    </row>
    <row r="202" spans="1:10" s="3123" customFormat="1" ht="35.1" customHeight="1">
      <c r="A202" s="3100">
        <v>51</v>
      </c>
      <c r="B202" s="3139" t="s">
        <v>3422</v>
      </c>
      <c r="C202" s="3139" t="s">
        <v>3423</v>
      </c>
      <c r="D202" s="3135">
        <v>616.39</v>
      </c>
      <c r="E202" s="3136">
        <v>616.39</v>
      </c>
      <c r="F202" s="3130">
        <f t="shared" si="5"/>
        <v>308.19499999999999</v>
      </c>
      <c r="G202" s="3132">
        <v>0.5</v>
      </c>
      <c r="H202" s="3141">
        <f>123+108</f>
        <v>231</v>
      </c>
      <c r="J202" s="3106"/>
    </row>
    <row r="203" spans="1:10" s="3123" customFormat="1" ht="35.1" customHeight="1">
      <c r="A203" s="3100">
        <v>52</v>
      </c>
      <c r="B203" s="3139" t="s">
        <v>3424</v>
      </c>
      <c r="C203" s="3139" t="s">
        <v>3425</v>
      </c>
      <c r="D203" s="3135">
        <f>558.54+120</f>
        <v>678.54</v>
      </c>
      <c r="E203" s="3136">
        <f>558.54+72</f>
        <v>630.54</v>
      </c>
      <c r="F203" s="3130">
        <f t="shared" si="5"/>
        <v>315.27</v>
      </c>
      <c r="G203" s="3132">
        <v>0.5</v>
      </c>
      <c r="H203" s="3141">
        <f>111.7+70.43+97.14+36</f>
        <v>315.27</v>
      </c>
      <c r="J203" s="3106"/>
    </row>
    <row r="204" spans="1:10" s="3123" customFormat="1" ht="35.1" customHeight="1">
      <c r="A204" s="3100">
        <v>53</v>
      </c>
      <c r="B204" s="3139" t="s">
        <v>3426</v>
      </c>
      <c r="C204" s="3139" t="s">
        <v>3427</v>
      </c>
      <c r="D204" s="3135">
        <v>258.07</v>
      </c>
      <c r="E204" s="3136">
        <v>258.07</v>
      </c>
      <c r="F204" s="3130">
        <f t="shared" si="5"/>
        <v>180.64899999999997</v>
      </c>
      <c r="G204" s="3132">
        <v>0.7</v>
      </c>
      <c r="H204" s="3141">
        <f>51.6+51.61+77.42</f>
        <v>180.63</v>
      </c>
      <c r="J204" s="3106"/>
    </row>
    <row r="205" spans="1:10" s="3123" customFormat="1" ht="35.1" customHeight="1">
      <c r="A205" s="3100">
        <v>54</v>
      </c>
      <c r="B205" s="3139" t="s">
        <v>3402</v>
      </c>
      <c r="C205" s="3142" t="s">
        <v>3428</v>
      </c>
      <c r="D205" s="3135">
        <v>1450.34</v>
      </c>
      <c r="E205" s="3136">
        <v>1450.34</v>
      </c>
      <c r="F205" s="3130">
        <f t="shared" si="5"/>
        <v>725.17</v>
      </c>
      <c r="G205" s="3132">
        <v>0.5</v>
      </c>
      <c r="H205" s="3143">
        <f>290.06+435.1</f>
        <v>725.16000000000008</v>
      </c>
      <c r="J205" s="3106"/>
    </row>
    <row r="206" spans="1:10" s="3123" customFormat="1" ht="35.1" customHeight="1">
      <c r="A206" s="3100">
        <v>55</v>
      </c>
      <c r="B206" s="3139" t="s">
        <v>3429</v>
      </c>
      <c r="C206" s="3142" t="s">
        <v>3430</v>
      </c>
      <c r="D206" s="3135">
        <v>58.606076999999999</v>
      </c>
      <c r="E206" s="3136">
        <v>58.606076999999999</v>
      </c>
      <c r="F206" s="3130">
        <f t="shared" si="5"/>
        <v>56.847894689999997</v>
      </c>
      <c r="G206" s="3132">
        <v>0.97</v>
      </c>
      <c r="H206" s="3140">
        <v>56.8</v>
      </c>
      <c r="J206" s="3106"/>
    </row>
    <row r="207" spans="1:10" s="3123" customFormat="1" ht="35.1" customHeight="1">
      <c r="A207" s="3100">
        <v>56</v>
      </c>
      <c r="B207" s="3114" t="s">
        <v>3354</v>
      </c>
      <c r="C207" s="3162" t="s">
        <v>3431</v>
      </c>
      <c r="D207" s="3135">
        <v>7298.9787180000003</v>
      </c>
      <c r="E207" s="3136">
        <v>8264.6625359999998</v>
      </c>
      <c r="F207" s="3130">
        <f t="shared" si="5"/>
        <v>5785.2637751999991</v>
      </c>
      <c r="G207" s="3132">
        <v>0.7</v>
      </c>
      <c r="H207" s="3135">
        <f>0+1456+1600+407+1484+838.26</f>
        <v>5785.26</v>
      </c>
      <c r="J207" s="3106"/>
    </row>
    <row r="208" spans="1:10" s="3106" customFormat="1" ht="27" customHeight="1">
      <c r="A208" s="3101" t="s">
        <v>3348</v>
      </c>
      <c r="B208" s="3512" t="s">
        <v>3253</v>
      </c>
      <c r="C208" s="3513"/>
      <c r="D208" s="3116">
        <f>SUM(D209:D256)</f>
        <v>7369.7018591699998</v>
      </c>
      <c r="E208" s="3117">
        <f>SUM(E209:E256)</f>
        <v>7270.3613591699996</v>
      </c>
      <c r="F208" s="3116">
        <f>SUM(F209:F256)</f>
        <v>6819.3753589519993</v>
      </c>
      <c r="G208" s="3121"/>
      <c r="H208" s="3116">
        <f>SUM(H209:H256)</f>
        <v>6771.0335479999994</v>
      </c>
      <c r="J208" s="3110"/>
    </row>
    <row r="209" spans="1:10" s="3106" customFormat="1" ht="35.1" customHeight="1">
      <c r="A209" s="3100">
        <v>1</v>
      </c>
      <c r="B209" s="3114" t="s">
        <v>3432</v>
      </c>
      <c r="C209" s="3114" t="s">
        <v>3433</v>
      </c>
      <c r="D209" s="3130">
        <v>322.5</v>
      </c>
      <c r="E209" s="3131">
        <v>322.5</v>
      </c>
      <c r="F209" s="3130">
        <f t="shared" ref="F209:F246" si="6">E209*G209</f>
        <v>306.375</v>
      </c>
      <c r="G209" s="3132">
        <v>0.95</v>
      </c>
      <c r="H209" s="3130">
        <f>177+30+35+48</f>
        <v>290</v>
      </c>
      <c r="J209" s="3110"/>
    </row>
    <row r="210" spans="1:10" s="3106" customFormat="1" ht="35.1" customHeight="1">
      <c r="A210" s="3100">
        <v>2</v>
      </c>
      <c r="B210" s="3114" t="s">
        <v>3258</v>
      </c>
      <c r="C210" s="3114" t="s">
        <v>3259</v>
      </c>
      <c r="D210" s="3130">
        <v>22.2</v>
      </c>
      <c r="E210" s="3131">
        <v>22.2</v>
      </c>
      <c r="F210" s="3130">
        <f t="shared" si="6"/>
        <v>21.09</v>
      </c>
      <c r="G210" s="3132">
        <v>0.95</v>
      </c>
      <c r="H210" s="3130">
        <f>6.6+7.83+5.5</f>
        <v>19.93</v>
      </c>
      <c r="J210" s="3110"/>
    </row>
    <row r="211" spans="1:10" s="3123" customFormat="1" ht="35.1" customHeight="1">
      <c r="A211" s="3100">
        <v>3</v>
      </c>
      <c r="B211" s="3114" t="s">
        <v>3260</v>
      </c>
      <c r="C211" s="3114" t="s">
        <v>3261</v>
      </c>
      <c r="D211" s="3130">
        <v>718.58</v>
      </c>
      <c r="E211" s="3131">
        <v>718.58</v>
      </c>
      <c r="F211" s="3130">
        <f t="shared" si="6"/>
        <v>682.65099999999995</v>
      </c>
      <c r="G211" s="3132">
        <v>0.95</v>
      </c>
      <c r="H211" s="3130">
        <f>653.1235+30</f>
        <v>683.12350000000004</v>
      </c>
      <c r="J211" s="3106"/>
    </row>
    <row r="212" spans="1:10" s="3123" customFormat="1" ht="35.1" customHeight="1">
      <c r="A212" s="3100">
        <v>4</v>
      </c>
      <c r="B212" s="3114" t="s">
        <v>3262</v>
      </c>
      <c r="C212" s="3114" t="s">
        <v>3261</v>
      </c>
      <c r="D212" s="3130">
        <v>265.67</v>
      </c>
      <c r="E212" s="3131">
        <v>265.67</v>
      </c>
      <c r="F212" s="3130">
        <f t="shared" si="6"/>
        <v>252.38650000000001</v>
      </c>
      <c r="G212" s="3132">
        <v>0.95</v>
      </c>
      <c r="H212" s="3130">
        <f>153.7135+59+40</f>
        <v>252.71350000000001</v>
      </c>
      <c r="J212" s="3106"/>
    </row>
    <row r="213" spans="1:10" s="3123" customFormat="1" ht="35.1" customHeight="1">
      <c r="A213" s="3100">
        <v>5</v>
      </c>
      <c r="B213" s="3114" t="s">
        <v>3263</v>
      </c>
      <c r="C213" s="3114" t="s">
        <v>3261</v>
      </c>
      <c r="D213" s="3130">
        <v>106.95</v>
      </c>
      <c r="E213" s="3131">
        <v>106.95</v>
      </c>
      <c r="F213" s="3130">
        <f t="shared" si="6"/>
        <v>101.60249999999999</v>
      </c>
      <c r="G213" s="3132">
        <v>0.95</v>
      </c>
      <c r="H213" s="3130">
        <f>66.123+19+16</f>
        <v>101.123</v>
      </c>
      <c r="J213" s="3106"/>
    </row>
    <row r="214" spans="1:10" s="3123" customFormat="1" ht="35.1" customHeight="1">
      <c r="A214" s="3100">
        <v>6</v>
      </c>
      <c r="B214" s="3127" t="s">
        <v>3434</v>
      </c>
      <c r="C214" s="3114" t="s">
        <v>3269</v>
      </c>
      <c r="D214" s="3130">
        <v>316</v>
      </c>
      <c r="E214" s="3131">
        <v>316</v>
      </c>
      <c r="F214" s="3130">
        <f t="shared" si="6"/>
        <v>316</v>
      </c>
      <c r="G214" s="3132">
        <v>1</v>
      </c>
      <c r="H214" s="3130">
        <f>221+80</f>
        <v>301</v>
      </c>
      <c r="J214" s="3106"/>
    </row>
    <row r="215" spans="1:10" s="3123" customFormat="1" ht="35.1" customHeight="1">
      <c r="A215" s="3100">
        <v>7</v>
      </c>
      <c r="B215" s="3127" t="s">
        <v>3432</v>
      </c>
      <c r="C215" s="3114" t="s">
        <v>3435</v>
      </c>
      <c r="D215" s="3130">
        <v>127.872</v>
      </c>
      <c r="E215" s="3131">
        <v>127.872</v>
      </c>
      <c r="F215" s="3130">
        <f t="shared" si="6"/>
        <v>121.47839999999999</v>
      </c>
      <c r="G215" s="3132">
        <v>0.95</v>
      </c>
      <c r="H215" s="3130">
        <f>25+20+20+12+38</f>
        <v>115</v>
      </c>
      <c r="J215" s="3106"/>
    </row>
    <row r="216" spans="1:10" s="3123" customFormat="1" ht="35.1" customHeight="1">
      <c r="A216" s="3100">
        <v>8</v>
      </c>
      <c r="B216" s="3127" t="s">
        <v>3270</v>
      </c>
      <c r="C216" s="3114" t="s">
        <v>3271</v>
      </c>
      <c r="D216" s="3130">
        <v>488.69</v>
      </c>
      <c r="E216" s="3131">
        <v>488.69</v>
      </c>
      <c r="F216" s="3130">
        <f t="shared" si="6"/>
        <v>488.69</v>
      </c>
      <c r="G216" s="3132">
        <v>1</v>
      </c>
      <c r="H216" s="3130">
        <v>488.69</v>
      </c>
      <c r="J216" s="3106"/>
    </row>
    <row r="217" spans="1:10" s="3123" customFormat="1" ht="35.1" customHeight="1">
      <c r="A217" s="3100">
        <v>9</v>
      </c>
      <c r="B217" s="3114" t="s">
        <v>3264</v>
      </c>
      <c r="C217" s="3114" t="s">
        <v>3351</v>
      </c>
      <c r="D217" s="3130">
        <v>39.353845</v>
      </c>
      <c r="E217" s="3131">
        <v>39.353845</v>
      </c>
      <c r="F217" s="3130">
        <f t="shared" si="6"/>
        <v>39.353845</v>
      </c>
      <c r="G217" s="3132">
        <v>1</v>
      </c>
      <c r="H217" s="3130">
        <f>16.74+4+16.5</f>
        <v>37.239999999999995</v>
      </c>
      <c r="J217" s="3106"/>
    </row>
    <row r="218" spans="1:10" s="3123" customFormat="1" ht="35.1" customHeight="1">
      <c r="A218" s="3100">
        <v>10</v>
      </c>
      <c r="B218" s="3114" t="s">
        <v>3272</v>
      </c>
      <c r="C218" s="3114" t="s">
        <v>3350</v>
      </c>
      <c r="D218" s="3130">
        <v>9.3743999999999996</v>
      </c>
      <c r="E218" s="3131">
        <v>9.3743999999999996</v>
      </c>
      <c r="F218" s="3130">
        <f t="shared" si="6"/>
        <v>9.3743999999999996</v>
      </c>
      <c r="G218" s="3132">
        <v>1</v>
      </c>
      <c r="H218" s="3130">
        <v>9.3743999999999996</v>
      </c>
      <c r="J218" s="3106"/>
    </row>
    <row r="219" spans="1:10" s="3123" customFormat="1" ht="35.1" customHeight="1">
      <c r="A219" s="3100">
        <v>11</v>
      </c>
      <c r="B219" s="3114" t="s">
        <v>3274</v>
      </c>
      <c r="C219" s="3114" t="s">
        <v>3352</v>
      </c>
      <c r="D219" s="3130">
        <v>2.17</v>
      </c>
      <c r="E219" s="3131">
        <v>2.17</v>
      </c>
      <c r="F219" s="3130">
        <f t="shared" si="6"/>
        <v>2.17</v>
      </c>
      <c r="G219" s="3132">
        <v>1</v>
      </c>
      <c r="H219" s="3130">
        <v>2.17</v>
      </c>
      <c r="J219" s="3106"/>
    </row>
    <row r="220" spans="1:10" s="3123" customFormat="1" ht="35.1" customHeight="1">
      <c r="A220" s="3100">
        <v>12</v>
      </c>
      <c r="B220" s="3114" t="s">
        <v>3276</v>
      </c>
      <c r="C220" s="3114" t="s">
        <v>3279</v>
      </c>
      <c r="D220" s="3130">
        <v>1.95</v>
      </c>
      <c r="E220" s="3131">
        <v>1.95</v>
      </c>
      <c r="F220" s="3130">
        <f t="shared" si="6"/>
        <v>1.95</v>
      </c>
      <c r="G220" s="3132">
        <v>1</v>
      </c>
      <c r="H220" s="3130">
        <f>1.34+0.6</f>
        <v>1.94</v>
      </c>
      <c r="J220" s="3106"/>
    </row>
    <row r="221" spans="1:10" s="3123" customFormat="1" ht="35.1" customHeight="1">
      <c r="A221" s="3100">
        <v>13</v>
      </c>
      <c r="B221" s="3114" t="s">
        <v>3280</v>
      </c>
      <c r="C221" s="3114" t="s">
        <v>3281</v>
      </c>
      <c r="D221" s="3130">
        <v>0.64900000000000002</v>
      </c>
      <c r="E221" s="3131">
        <v>0.64900000000000002</v>
      </c>
      <c r="F221" s="3130">
        <f t="shared" si="6"/>
        <v>0.64900000000000002</v>
      </c>
      <c r="G221" s="3132">
        <v>1</v>
      </c>
      <c r="H221" s="3130">
        <v>0.64900000000000002</v>
      </c>
      <c r="J221" s="3106"/>
    </row>
    <row r="222" spans="1:10" s="3123" customFormat="1" ht="35.1" customHeight="1">
      <c r="A222" s="3100">
        <v>14</v>
      </c>
      <c r="B222" s="3114" t="s">
        <v>3264</v>
      </c>
      <c r="C222" s="3114" t="s">
        <v>3284</v>
      </c>
      <c r="D222" s="3130">
        <v>1.39</v>
      </c>
      <c r="E222" s="3131">
        <v>1.39</v>
      </c>
      <c r="F222" s="3130">
        <f t="shared" si="6"/>
        <v>1.39</v>
      </c>
      <c r="G222" s="3132">
        <v>1</v>
      </c>
      <c r="H222" s="3130">
        <f>0.97+0.42</f>
        <v>1.39</v>
      </c>
      <c r="J222" s="3106"/>
    </row>
    <row r="223" spans="1:10" s="3123" customFormat="1" ht="35.1" customHeight="1">
      <c r="A223" s="3100">
        <v>15</v>
      </c>
      <c r="B223" s="3114" t="s">
        <v>3262</v>
      </c>
      <c r="C223" s="3114" t="s">
        <v>3285</v>
      </c>
      <c r="D223" s="3130">
        <v>27.26</v>
      </c>
      <c r="E223" s="3131">
        <v>27.26</v>
      </c>
      <c r="F223" s="3130">
        <f t="shared" si="6"/>
        <v>27.26</v>
      </c>
      <c r="G223" s="3132">
        <v>1</v>
      </c>
      <c r="H223" s="3130">
        <f>14.04+4.33+8.89</f>
        <v>27.259999999999998</v>
      </c>
      <c r="J223" s="3106"/>
    </row>
    <row r="224" spans="1:10" s="3123" customFormat="1" ht="35.1" customHeight="1">
      <c r="A224" s="3100">
        <v>16</v>
      </c>
      <c r="B224" s="3114" t="s">
        <v>3260</v>
      </c>
      <c r="C224" s="3114" t="s">
        <v>3286</v>
      </c>
      <c r="D224" s="3130">
        <v>52.7</v>
      </c>
      <c r="E224" s="3131">
        <v>52.7</v>
      </c>
      <c r="F224" s="3130">
        <f t="shared" si="6"/>
        <v>52.7</v>
      </c>
      <c r="G224" s="3132">
        <v>1</v>
      </c>
      <c r="H224" s="3130">
        <f>26.27+10.41+13.5</f>
        <v>50.18</v>
      </c>
      <c r="J224" s="3106"/>
    </row>
    <row r="225" spans="1:10" s="3123" customFormat="1" ht="35.1" customHeight="1">
      <c r="A225" s="3100">
        <v>17</v>
      </c>
      <c r="B225" s="3114" t="s">
        <v>3287</v>
      </c>
      <c r="C225" s="3114" t="s">
        <v>3288</v>
      </c>
      <c r="D225" s="3130">
        <v>12.67</v>
      </c>
      <c r="E225" s="3131">
        <v>12.67</v>
      </c>
      <c r="F225" s="3130">
        <f t="shared" si="6"/>
        <v>12.67</v>
      </c>
      <c r="G225" s="3132">
        <v>1</v>
      </c>
      <c r="H225" s="3130">
        <v>12.67</v>
      </c>
      <c r="J225" s="3106"/>
    </row>
    <row r="226" spans="1:10" s="3123" customFormat="1" ht="35.1" customHeight="1">
      <c r="A226" s="3100">
        <v>18</v>
      </c>
      <c r="B226" s="3114" t="s">
        <v>3260</v>
      </c>
      <c r="C226" s="3114" t="s">
        <v>3289</v>
      </c>
      <c r="D226" s="3130">
        <v>55.36</v>
      </c>
      <c r="E226" s="3131">
        <v>55.36</v>
      </c>
      <c r="F226" s="3130">
        <f t="shared" si="6"/>
        <v>55.36</v>
      </c>
      <c r="G226" s="3132">
        <v>1</v>
      </c>
      <c r="H226" s="3130">
        <f>27.68+11+14</f>
        <v>52.68</v>
      </c>
      <c r="J226" s="3106"/>
    </row>
    <row r="227" spans="1:10" s="3123" customFormat="1" ht="35.1" customHeight="1">
      <c r="A227" s="3100">
        <v>19</v>
      </c>
      <c r="B227" s="3114" t="s">
        <v>3262</v>
      </c>
      <c r="C227" s="3114" t="s">
        <v>3290</v>
      </c>
      <c r="D227" s="3130">
        <v>3.1</v>
      </c>
      <c r="E227" s="3131">
        <v>3.1</v>
      </c>
      <c r="F227" s="3130">
        <f t="shared" si="6"/>
        <v>3.1</v>
      </c>
      <c r="G227" s="3132">
        <v>1</v>
      </c>
      <c r="H227" s="3130">
        <f>1.55+1.54</f>
        <v>3.09</v>
      </c>
      <c r="J227" s="3106"/>
    </row>
    <row r="228" spans="1:10" s="3123" customFormat="1" ht="35.1" customHeight="1">
      <c r="A228" s="3100">
        <v>20</v>
      </c>
      <c r="B228" s="3114" t="s">
        <v>3264</v>
      </c>
      <c r="C228" s="3114" t="s">
        <v>3353</v>
      </c>
      <c r="D228" s="3130">
        <v>13.33896</v>
      </c>
      <c r="E228" s="3131">
        <v>13.33896</v>
      </c>
      <c r="F228" s="3130">
        <f t="shared" si="6"/>
        <v>13.33896</v>
      </c>
      <c r="G228" s="3132">
        <v>1</v>
      </c>
      <c r="H228" s="3130">
        <f>4.19+6.84</f>
        <v>11.030000000000001</v>
      </c>
      <c r="J228" s="3106"/>
    </row>
    <row r="229" spans="1:10" s="3123" customFormat="1" ht="35.1" customHeight="1">
      <c r="A229" s="3100">
        <v>21</v>
      </c>
      <c r="B229" s="3114" t="s">
        <v>3264</v>
      </c>
      <c r="C229" s="3114" t="s">
        <v>3292</v>
      </c>
      <c r="D229" s="3130">
        <v>4.8</v>
      </c>
      <c r="E229" s="3131">
        <v>4.8</v>
      </c>
      <c r="F229" s="3130">
        <f t="shared" si="6"/>
        <v>4.8</v>
      </c>
      <c r="G229" s="3132">
        <v>1</v>
      </c>
      <c r="H229" s="3130">
        <f>2.4+2.4</f>
        <v>4.8</v>
      </c>
      <c r="J229" s="3106"/>
    </row>
    <row r="230" spans="1:10" s="3123" customFormat="1" ht="35.1" customHeight="1">
      <c r="A230" s="3100">
        <v>22</v>
      </c>
      <c r="B230" s="3114" t="s">
        <v>3293</v>
      </c>
      <c r="C230" s="3114" t="s">
        <v>3294</v>
      </c>
      <c r="D230" s="3130">
        <v>5.89</v>
      </c>
      <c r="E230" s="3131">
        <v>5.89</v>
      </c>
      <c r="F230" s="3130">
        <f t="shared" si="6"/>
        <v>5.89</v>
      </c>
      <c r="G230" s="3132">
        <v>1</v>
      </c>
      <c r="H230" s="3130">
        <f>4.123+1.767</f>
        <v>5.8900000000000006</v>
      </c>
      <c r="J230" s="3106"/>
    </row>
    <row r="231" spans="1:10" s="3123" customFormat="1" ht="35.1" customHeight="1">
      <c r="A231" s="3100">
        <v>23</v>
      </c>
      <c r="B231" s="3114" t="s">
        <v>3298</v>
      </c>
      <c r="C231" s="3114" t="s">
        <v>3299</v>
      </c>
      <c r="D231" s="3130">
        <v>2.759E-2</v>
      </c>
      <c r="E231" s="3131">
        <v>2.759E-2</v>
      </c>
      <c r="F231" s="3130">
        <f t="shared" si="6"/>
        <v>2.759E-2</v>
      </c>
      <c r="G231" s="3132">
        <v>1</v>
      </c>
      <c r="H231" s="3130">
        <v>2.759E-2</v>
      </c>
      <c r="J231" s="3106"/>
    </row>
    <row r="232" spans="1:10" s="3123" customFormat="1" ht="35.1" customHeight="1">
      <c r="A232" s="3100">
        <v>24</v>
      </c>
      <c r="B232" s="3114" t="s">
        <v>3295</v>
      </c>
      <c r="C232" s="3114" t="s">
        <v>3296</v>
      </c>
      <c r="D232" s="3130">
        <v>1.86</v>
      </c>
      <c r="E232" s="3131">
        <v>1.86</v>
      </c>
      <c r="F232" s="3130">
        <f t="shared" si="6"/>
        <v>1.86</v>
      </c>
      <c r="G232" s="3132">
        <v>1</v>
      </c>
      <c r="H232" s="3130">
        <v>1.86</v>
      </c>
      <c r="J232" s="3106"/>
    </row>
    <row r="233" spans="1:10" s="3123" customFormat="1" ht="35.1" customHeight="1">
      <c r="A233" s="3100">
        <v>25</v>
      </c>
      <c r="B233" s="3114" t="s">
        <v>3295</v>
      </c>
      <c r="C233" s="3114" t="s">
        <v>3296</v>
      </c>
      <c r="D233" s="3130">
        <v>3.5</v>
      </c>
      <c r="E233" s="3131">
        <v>3.5</v>
      </c>
      <c r="F233" s="3130">
        <f t="shared" si="6"/>
        <v>3.5</v>
      </c>
      <c r="G233" s="3132">
        <v>1</v>
      </c>
      <c r="H233" s="3130">
        <v>3.5</v>
      </c>
      <c r="J233" s="3106"/>
    </row>
    <row r="234" spans="1:10" s="3123" customFormat="1" ht="35.1" customHeight="1">
      <c r="A234" s="3100">
        <v>26</v>
      </c>
      <c r="B234" s="3114" t="s">
        <v>3295</v>
      </c>
      <c r="C234" s="3114" t="s">
        <v>3296</v>
      </c>
      <c r="D234" s="3130">
        <v>5.58</v>
      </c>
      <c r="E234" s="3131">
        <v>5.58</v>
      </c>
      <c r="F234" s="3130">
        <f t="shared" si="6"/>
        <v>5.58</v>
      </c>
      <c r="G234" s="3132">
        <v>1</v>
      </c>
      <c r="H234" s="3130">
        <v>5.58</v>
      </c>
      <c r="J234" s="3106"/>
    </row>
    <row r="235" spans="1:10" s="3123" customFormat="1" ht="35.1" customHeight="1">
      <c r="A235" s="3100">
        <v>27</v>
      </c>
      <c r="B235" s="3114" t="s">
        <v>3295</v>
      </c>
      <c r="C235" s="3114" t="s">
        <v>3297</v>
      </c>
      <c r="D235" s="3130">
        <v>2.625</v>
      </c>
      <c r="E235" s="3131">
        <v>2.625</v>
      </c>
      <c r="F235" s="3130">
        <f t="shared" si="6"/>
        <v>2.625</v>
      </c>
      <c r="G235" s="3132">
        <v>1</v>
      </c>
      <c r="H235" s="3130">
        <v>2.625</v>
      </c>
      <c r="J235" s="3106"/>
    </row>
    <row r="236" spans="1:10" s="3123" customFormat="1" ht="35.1" customHeight="1">
      <c r="A236" s="3100">
        <v>29</v>
      </c>
      <c r="B236" s="3114" t="s">
        <v>3300</v>
      </c>
      <c r="C236" s="3114" t="s">
        <v>3301</v>
      </c>
      <c r="D236" s="3130">
        <f>0.31*0.252535</f>
        <v>7.8285850000000004E-2</v>
      </c>
      <c r="E236" s="3131">
        <v>7.8285850000000004E-2</v>
      </c>
      <c r="F236" s="3130">
        <f t="shared" si="6"/>
        <v>6.2628680000000006E-2</v>
      </c>
      <c r="G236" s="3132">
        <v>0.8</v>
      </c>
      <c r="H236" s="3130">
        <f>0.31*0.2</f>
        <v>6.2E-2</v>
      </c>
      <c r="J236" s="3106"/>
    </row>
    <row r="237" spans="1:10" s="3123" customFormat="1" ht="35.1" customHeight="1">
      <c r="A237" s="3100">
        <v>30</v>
      </c>
      <c r="B237" s="3114" t="s">
        <v>3302</v>
      </c>
      <c r="C237" s="3114" t="s">
        <v>3303</v>
      </c>
      <c r="D237" s="3130">
        <f>0.31*1.185872</f>
        <v>0.36762032</v>
      </c>
      <c r="E237" s="3131">
        <v>0.36762032</v>
      </c>
      <c r="F237" s="3130">
        <f t="shared" si="6"/>
        <v>0.31247727199999997</v>
      </c>
      <c r="G237" s="3132">
        <v>0.85</v>
      </c>
      <c r="H237" s="3130">
        <f>0.31*1</f>
        <v>0.31</v>
      </c>
      <c r="J237" s="3106"/>
    </row>
    <row r="238" spans="1:10" s="3123" customFormat="1" ht="35.1" customHeight="1">
      <c r="A238" s="3100">
        <v>31</v>
      </c>
      <c r="B238" s="3114" t="s">
        <v>3304</v>
      </c>
      <c r="C238" s="3114" t="s">
        <v>3305</v>
      </c>
      <c r="D238" s="3130">
        <f>0.31*0.54</f>
        <v>0.16740000000000002</v>
      </c>
      <c r="E238" s="3131">
        <v>0.16740000000000002</v>
      </c>
      <c r="F238" s="3130">
        <f t="shared" si="6"/>
        <v>0.16740000000000002</v>
      </c>
      <c r="G238" s="3132">
        <v>1</v>
      </c>
      <c r="H238" s="3130">
        <v>0.16740000000000002</v>
      </c>
      <c r="J238" s="3106"/>
    </row>
    <row r="239" spans="1:10" s="3123" customFormat="1" ht="35.1" customHeight="1">
      <c r="A239" s="3100">
        <v>32</v>
      </c>
      <c r="B239" s="3114" t="s">
        <v>3306</v>
      </c>
      <c r="C239" s="3114" t="s">
        <v>3307</v>
      </c>
      <c r="D239" s="3130">
        <f>0.31*20.16</f>
        <v>6.2496</v>
      </c>
      <c r="E239" s="3131">
        <v>6.2496</v>
      </c>
      <c r="F239" s="3130">
        <f t="shared" si="6"/>
        <v>6.2496</v>
      </c>
      <c r="G239" s="3132">
        <v>1</v>
      </c>
      <c r="H239" s="3130">
        <v>6.2496</v>
      </c>
      <c r="J239" s="3106"/>
    </row>
    <row r="240" spans="1:10" s="3123" customFormat="1" ht="35.1" customHeight="1">
      <c r="A240" s="3100">
        <v>33</v>
      </c>
      <c r="B240" s="3114" t="s">
        <v>3308</v>
      </c>
      <c r="C240" s="3114" t="s">
        <v>3309</v>
      </c>
      <c r="D240" s="3130">
        <f>0.31*527.24</f>
        <v>163.4444</v>
      </c>
      <c r="E240" s="3131">
        <f>0.31*527.24</f>
        <v>163.4444</v>
      </c>
      <c r="F240" s="3130">
        <f t="shared" si="6"/>
        <v>163.4444</v>
      </c>
      <c r="G240" s="3132">
        <v>1</v>
      </c>
      <c r="H240" s="3130">
        <f>0.31*527.24</f>
        <v>163.4444</v>
      </c>
      <c r="J240" s="3106"/>
    </row>
    <row r="241" spans="1:10" s="3123" customFormat="1" ht="35.1" customHeight="1">
      <c r="A241" s="3100">
        <v>34</v>
      </c>
      <c r="B241" s="3114" t="s">
        <v>3310</v>
      </c>
      <c r="C241" s="3114" t="s">
        <v>3311</v>
      </c>
      <c r="D241" s="3130">
        <v>516.65819999999997</v>
      </c>
      <c r="E241" s="3131">
        <v>516.65819999999997</v>
      </c>
      <c r="F241" s="3130">
        <f t="shared" si="6"/>
        <v>258.32909999999998</v>
      </c>
      <c r="G241" s="3132">
        <v>0.5</v>
      </c>
      <c r="H241" s="3130">
        <v>258.32909999999998</v>
      </c>
      <c r="J241" s="3106"/>
    </row>
    <row r="242" spans="1:10" s="3123" customFormat="1" ht="35.1" customHeight="1">
      <c r="A242" s="3100">
        <v>35</v>
      </c>
      <c r="B242" s="3114" t="s">
        <v>3314</v>
      </c>
      <c r="C242" s="3114" t="s">
        <v>3315</v>
      </c>
      <c r="D242" s="3130">
        <f>0.31*259.0738</f>
        <v>80.312877999999998</v>
      </c>
      <c r="E242" s="3131">
        <f>0.31*259.0738</f>
        <v>80.312877999999998</v>
      </c>
      <c r="F242" s="3130">
        <f t="shared" si="6"/>
        <v>80.312877999999998</v>
      </c>
      <c r="G242" s="3132">
        <v>1</v>
      </c>
      <c r="H242" s="3130">
        <f>0.31*259.0738</f>
        <v>80.312877999999998</v>
      </c>
      <c r="J242" s="3106"/>
    </row>
    <row r="243" spans="1:10" s="3123" customFormat="1" ht="35.1" customHeight="1">
      <c r="A243" s="3100">
        <v>37</v>
      </c>
      <c r="B243" s="3114" t="s">
        <v>3312</v>
      </c>
      <c r="C243" s="3114" t="s">
        <v>3313</v>
      </c>
      <c r="D243" s="3130">
        <v>4.3499999999999996</v>
      </c>
      <c r="E243" s="3131">
        <v>4.3499999999999996</v>
      </c>
      <c r="F243" s="3130">
        <f t="shared" si="6"/>
        <v>4.3499999999999996</v>
      </c>
      <c r="G243" s="3132">
        <v>1</v>
      </c>
      <c r="H243" s="3130">
        <v>4.3499999999999996</v>
      </c>
      <c r="J243" s="3106"/>
    </row>
    <row r="244" spans="1:10" s="3123" customFormat="1" ht="35.1" customHeight="1">
      <c r="A244" s="3100">
        <v>38</v>
      </c>
      <c r="B244" s="3114" t="s">
        <v>3316</v>
      </c>
      <c r="C244" s="3114" t="s">
        <v>3317</v>
      </c>
      <c r="D244" s="3130">
        <v>0.9</v>
      </c>
      <c r="E244" s="3131">
        <v>0.9</v>
      </c>
      <c r="F244" s="3130">
        <f t="shared" si="6"/>
        <v>0.9</v>
      </c>
      <c r="G244" s="3132">
        <v>1</v>
      </c>
      <c r="H244" s="3130">
        <v>0.9</v>
      </c>
      <c r="J244" s="3106"/>
    </row>
    <row r="245" spans="1:10" s="3123" customFormat="1" ht="35.1" customHeight="1">
      <c r="A245" s="3100">
        <v>39</v>
      </c>
      <c r="B245" s="3114" t="s">
        <v>3318</v>
      </c>
      <c r="C245" s="3114" t="s">
        <v>3319</v>
      </c>
      <c r="D245" s="3130">
        <v>2.8675000000000002</v>
      </c>
      <c r="E245" s="3131">
        <v>2.8675000000000002</v>
      </c>
      <c r="F245" s="3130">
        <f t="shared" si="6"/>
        <v>2.8675000000000002</v>
      </c>
      <c r="G245" s="3132">
        <v>1</v>
      </c>
      <c r="H245" s="3130">
        <v>2.8675000000000002</v>
      </c>
      <c r="J245" s="3106"/>
    </row>
    <row r="246" spans="1:10" s="3123" customFormat="1" ht="35.1" customHeight="1">
      <c r="A246" s="3100">
        <v>40</v>
      </c>
      <c r="B246" s="3114" t="s">
        <v>3436</v>
      </c>
      <c r="C246" s="3114" t="s">
        <v>3437</v>
      </c>
      <c r="D246" s="3130">
        <v>40</v>
      </c>
      <c r="E246" s="3131">
        <v>40</v>
      </c>
      <c r="F246" s="3130">
        <f t="shared" si="6"/>
        <v>40</v>
      </c>
      <c r="G246" s="3132">
        <v>1</v>
      </c>
      <c r="H246" s="3130">
        <v>40</v>
      </c>
      <c r="J246" s="3106"/>
    </row>
    <row r="247" spans="1:10" s="3123" customFormat="1" ht="35.1" customHeight="1">
      <c r="A247" s="3100">
        <v>41</v>
      </c>
      <c r="B247" s="3114" t="s">
        <v>3438</v>
      </c>
      <c r="C247" s="3114" t="s">
        <v>3439</v>
      </c>
      <c r="D247" s="3130">
        <v>438</v>
      </c>
      <c r="E247" s="3131">
        <f>65.7+65.7+65.7+65.7+65.7+65.7</f>
        <v>394.2</v>
      </c>
      <c r="F247" s="3130">
        <f>131.4+65.7+65.7+65.7+65.7</f>
        <v>394.2</v>
      </c>
      <c r="G247" s="3132" t="s">
        <v>3440</v>
      </c>
      <c r="H247" s="3130">
        <f>65.7+65.7+65.7+65.7+65.7+65.7</f>
        <v>394.2</v>
      </c>
      <c r="J247" s="3106"/>
    </row>
    <row r="248" spans="1:10" s="3123" customFormat="1" ht="35.1" customHeight="1">
      <c r="A248" s="3100">
        <v>42</v>
      </c>
      <c r="B248" s="3114" t="s">
        <v>3436</v>
      </c>
      <c r="C248" s="3114" t="s">
        <v>3441</v>
      </c>
      <c r="D248" s="3130">
        <v>190</v>
      </c>
      <c r="E248" s="3131">
        <v>190</v>
      </c>
      <c r="F248" s="3130">
        <f>E248*G248</f>
        <v>76</v>
      </c>
      <c r="G248" s="3132">
        <v>0.4</v>
      </c>
      <c r="H248" s="3130">
        <f>22+5+10+30+9</f>
        <v>76</v>
      </c>
      <c r="J248" s="3106"/>
    </row>
    <row r="249" spans="1:10" s="3123" customFormat="1" ht="35.1" customHeight="1">
      <c r="A249" s="3100">
        <v>43</v>
      </c>
      <c r="B249" s="3114" t="s">
        <v>3320</v>
      </c>
      <c r="C249" s="3114" t="s">
        <v>3321</v>
      </c>
      <c r="D249" s="3130">
        <v>21</v>
      </c>
      <c r="E249" s="3131">
        <v>21</v>
      </c>
      <c r="F249" s="3130">
        <v>21</v>
      </c>
      <c r="G249" s="3132">
        <v>1</v>
      </c>
      <c r="H249" s="3130">
        <f>10.5+10.5</f>
        <v>21</v>
      </c>
      <c r="J249" s="3106"/>
    </row>
    <row r="250" spans="1:10" s="3106" customFormat="1" ht="35.1" customHeight="1">
      <c r="A250" s="3100">
        <v>44</v>
      </c>
      <c r="B250" s="3114" t="s">
        <v>3442</v>
      </c>
      <c r="C250" s="3114" t="s">
        <v>3443</v>
      </c>
      <c r="D250" s="3130">
        <v>50</v>
      </c>
      <c r="E250" s="3131">
        <v>50</v>
      </c>
      <c r="F250" s="3130">
        <f>E250*G250</f>
        <v>50</v>
      </c>
      <c r="G250" s="3132">
        <v>1</v>
      </c>
      <c r="H250" s="3130">
        <v>50</v>
      </c>
      <c r="J250" s="3110"/>
    </row>
    <row r="251" spans="1:10" s="3106" customFormat="1" ht="35.1" customHeight="1">
      <c r="A251" s="3100">
        <v>45</v>
      </c>
      <c r="B251" s="3114" t="s">
        <v>3322</v>
      </c>
      <c r="C251" s="3114" t="s">
        <v>3323</v>
      </c>
      <c r="D251" s="3130">
        <f>8391.414*0.37</f>
        <v>3104.8231800000003</v>
      </c>
      <c r="E251" s="3131">
        <v>3104.8231800000003</v>
      </c>
      <c r="F251" s="3130">
        <v>3104.8231800000003</v>
      </c>
      <c r="G251" s="3132">
        <v>1</v>
      </c>
      <c r="H251" s="3130">
        <v>3104.8231800000003</v>
      </c>
      <c r="J251" s="3110"/>
    </row>
    <row r="252" spans="1:10" s="3106" customFormat="1" ht="35.1" customHeight="1">
      <c r="A252" s="3100">
        <v>46</v>
      </c>
      <c r="B252" s="3114" t="s">
        <v>3444</v>
      </c>
      <c r="C252" s="3114" t="s">
        <v>3445</v>
      </c>
      <c r="D252" s="3130">
        <v>14</v>
      </c>
      <c r="E252" s="3131">
        <v>14</v>
      </c>
      <c r="F252" s="3130">
        <v>14</v>
      </c>
      <c r="G252" s="3132">
        <v>1</v>
      </c>
      <c r="H252" s="3130">
        <v>14</v>
      </c>
      <c r="J252" s="3110"/>
    </row>
    <row r="253" spans="1:10" s="3106" customFormat="1" ht="35.1" customHeight="1">
      <c r="A253" s="3100">
        <v>47</v>
      </c>
      <c r="B253" s="3114" t="s">
        <v>3442</v>
      </c>
      <c r="C253" s="3114" t="s">
        <v>3446</v>
      </c>
      <c r="D253" s="3130">
        <v>10</v>
      </c>
      <c r="E253" s="3131">
        <v>10</v>
      </c>
      <c r="F253" s="3130">
        <f>E253*G253</f>
        <v>10</v>
      </c>
      <c r="G253" s="3132">
        <v>1</v>
      </c>
      <c r="H253" s="3130">
        <v>10</v>
      </c>
      <c r="J253" s="3110"/>
    </row>
    <row r="254" spans="1:10" s="3106" customFormat="1" ht="35.1" customHeight="1">
      <c r="A254" s="3100">
        <v>48</v>
      </c>
      <c r="B254" s="3114" t="s">
        <v>3432</v>
      </c>
      <c r="C254" s="3114" t="s">
        <v>3447</v>
      </c>
      <c r="D254" s="3130">
        <v>7.95</v>
      </c>
      <c r="E254" s="3131">
        <v>7.95</v>
      </c>
      <c r="F254" s="3130">
        <f>E254*G254</f>
        <v>7.5525000000000002</v>
      </c>
      <c r="G254" s="3132">
        <v>0.95</v>
      </c>
      <c r="H254" s="3130">
        <v>7.55</v>
      </c>
      <c r="J254" s="3110"/>
    </row>
    <row r="255" spans="1:10" s="3106" customFormat="1" ht="35.1" customHeight="1">
      <c r="A255" s="3100">
        <v>49</v>
      </c>
      <c r="B255" s="3114" t="s">
        <v>3448</v>
      </c>
      <c r="C255" s="3114" t="s">
        <v>3449</v>
      </c>
      <c r="D255" s="3130">
        <v>2.25</v>
      </c>
      <c r="E255" s="3131">
        <v>2.25</v>
      </c>
      <c r="F255" s="3130">
        <f>E255*G255</f>
        <v>2.25</v>
      </c>
      <c r="G255" s="3132">
        <v>1</v>
      </c>
      <c r="H255" s="3130">
        <v>2.25</v>
      </c>
      <c r="J255" s="3110"/>
    </row>
    <row r="256" spans="1:10" s="3106" customFormat="1" ht="35.1" customHeight="1">
      <c r="A256" s="3100">
        <v>50</v>
      </c>
      <c r="B256" s="3114" t="s">
        <v>3355</v>
      </c>
      <c r="C256" s="3114" t="s">
        <v>3338</v>
      </c>
      <c r="D256" s="3130">
        <v>104.22199999999999</v>
      </c>
      <c r="E256" s="3131">
        <v>48.6815</v>
      </c>
      <c r="F256" s="3130">
        <f>E256*G256</f>
        <v>48.6815</v>
      </c>
      <c r="G256" s="3132">
        <v>1</v>
      </c>
      <c r="H256" s="3130">
        <f>0.41*39.15+32.63</f>
        <v>48.6815</v>
      </c>
      <c r="J256" s="3110"/>
    </row>
    <row r="257" spans="1:10" s="3123" customFormat="1" ht="35.1" customHeight="1">
      <c r="A257" s="3101" t="s">
        <v>3450</v>
      </c>
      <c r="B257" s="3510" t="s">
        <v>3451</v>
      </c>
      <c r="C257" s="3510"/>
      <c r="D257" s="3128">
        <f>D258+D280</f>
        <v>44091.069269</v>
      </c>
      <c r="E257" s="3129">
        <f>E258+E280</f>
        <v>43123.596799160005</v>
      </c>
      <c r="F257" s="3128">
        <f>F258+F280</f>
        <v>30850.532283221</v>
      </c>
      <c r="G257" s="3121"/>
      <c r="H257" s="3128">
        <f>H258+H280</f>
        <v>32195.969515000001</v>
      </c>
      <c r="J257" s="3106"/>
    </row>
    <row r="258" spans="1:10" s="3106" customFormat="1" ht="27" customHeight="1">
      <c r="A258" s="3101" t="s">
        <v>3198</v>
      </c>
      <c r="B258" s="3511" t="s">
        <v>3199</v>
      </c>
      <c r="C258" s="3511"/>
      <c r="D258" s="3128">
        <f>SUM(D259:D279)</f>
        <v>41190.399506740003</v>
      </c>
      <c r="E258" s="3129">
        <f>SUM(E259:E279)</f>
        <v>40480.386018900004</v>
      </c>
      <c r="F258" s="3128">
        <f>SUM(F259:F279)</f>
        <v>28405.038099165002</v>
      </c>
      <c r="G258" s="3125"/>
      <c r="H258" s="3128">
        <f>SUM(H259:H279)</f>
        <v>29775.052815999999</v>
      </c>
      <c r="J258" s="3110"/>
    </row>
    <row r="259" spans="1:10" s="3106" customFormat="1" ht="35.1" customHeight="1">
      <c r="A259" s="3100">
        <v>1</v>
      </c>
      <c r="B259" s="3114" t="s">
        <v>3452</v>
      </c>
      <c r="C259" s="3114" t="s">
        <v>3453</v>
      </c>
      <c r="D259" s="3130">
        <f>22716.448328+1478.431909+630+550+270</f>
        <v>25644.880236999998</v>
      </c>
      <c r="E259" s="3131">
        <v>22844.487335999998</v>
      </c>
      <c r="F259" s="3130">
        <f>E259*G259</f>
        <v>15991.141135199998</v>
      </c>
      <c r="G259" s="3132">
        <v>0.7</v>
      </c>
      <c r="H259" s="3130">
        <f>8353.6+2200+4439+718+930+418+150+69.5+135.96</f>
        <v>17414.059999999998</v>
      </c>
      <c r="J259" s="3110"/>
    </row>
    <row r="260" spans="1:10" s="3106" customFormat="1" ht="35.1" customHeight="1">
      <c r="A260" s="3100">
        <v>2</v>
      </c>
      <c r="B260" s="3114" t="s">
        <v>3202</v>
      </c>
      <c r="C260" s="3114" t="s">
        <v>3454</v>
      </c>
      <c r="D260" s="3130">
        <f>817.9135839+272</f>
        <v>1089.9135839</v>
      </c>
      <c r="E260" s="3131">
        <f>817.9135839+272</f>
        <v>1089.9135839</v>
      </c>
      <c r="F260" s="3130">
        <f>E260*G260</f>
        <v>926.426546315</v>
      </c>
      <c r="G260" s="3132">
        <v>0.85</v>
      </c>
      <c r="H260" s="3130">
        <f>140*0.18+536.94+133+95+47.5+47.5</f>
        <v>885.1400000000001</v>
      </c>
      <c r="J260" s="3110"/>
    </row>
    <row r="261" spans="1:10" s="3106" customFormat="1" ht="35.1" customHeight="1">
      <c r="A261" s="3100">
        <v>3</v>
      </c>
      <c r="B261" s="3114" t="s">
        <v>3452</v>
      </c>
      <c r="C261" s="3114" t="s">
        <v>3455</v>
      </c>
      <c r="D261" s="3130">
        <f>352.922972+375.405163+70</f>
        <v>798.32813499999997</v>
      </c>
      <c r="E261" s="3131">
        <v>1101.0345359999999</v>
      </c>
      <c r="F261" s="3130">
        <f>E261*G261</f>
        <v>715.67244840000001</v>
      </c>
      <c r="G261" s="3132">
        <v>0.65</v>
      </c>
      <c r="H261" s="3130">
        <f>204.9+9.59+3+202+9.72+28+244.2+14.52</f>
        <v>715.93000000000006</v>
      </c>
      <c r="J261" s="3110"/>
    </row>
    <row r="262" spans="1:10" s="3106" customFormat="1" ht="35.1" customHeight="1">
      <c r="A262" s="3100">
        <v>4</v>
      </c>
      <c r="B262" s="3114" t="s">
        <v>3204</v>
      </c>
      <c r="C262" s="3114" t="s">
        <v>3456</v>
      </c>
      <c r="D262" s="3130">
        <v>1029.48</v>
      </c>
      <c r="E262" s="3131">
        <v>844.46410000000003</v>
      </c>
      <c r="F262" s="3130">
        <f>E262*G262</f>
        <v>717.79448500000001</v>
      </c>
      <c r="G262" s="3132">
        <v>0.85</v>
      </c>
      <c r="H262" s="3130">
        <f>0+593.5+20+48+54</f>
        <v>715.5</v>
      </c>
      <c r="J262" s="3110"/>
    </row>
    <row r="263" spans="1:10" s="3106" customFormat="1" ht="35.1" customHeight="1">
      <c r="A263" s="3100">
        <v>5</v>
      </c>
      <c r="B263" s="3114" t="s">
        <v>3344</v>
      </c>
      <c r="C263" s="3114" t="s">
        <v>3457</v>
      </c>
      <c r="D263" s="3130">
        <f>1170.0242+1100</f>
        <v>2270.0241999999998</v>
      </c>
      <c r="E263" s="3131">
        <v>2674.6301189999999</v>
      </c>
      <c r="F263" s="3130">
        <f>E263*G263</f>
        <v>2005.9725892500001</v>
      </c>
      <c r="G263" s="3132">
        <v>0.75</v>
      </c>
      <c r="H263" s="3130">
        <f>0+472+147+96+299+200+578+213.97</f>
        <v>2005.97</v>
      </c>
      <c r="J263" s="3110"/>
    </row>
    <row r="264" spans="1:10" s="3106" customFormat="1" ht="35.1" customHeight="1">
      <c r="A264" s="3100">
        <v>7</v>
      </c>
      <c r="B264" s="3114" t="s">
        <v>3208</v>
      </c>
      <c r="C264" s="3114" t="s">
        <v>3209</v>
      </c>
      <c r="D264" s="3130">
        <v>284.05955299999999</v>
      </c>
      <c r="E264" s="3131">
        <v>369.2783</v>
      </c>
      <c r="F264" s="3130">
        <f t="shared" ref="F264:F277" si="7">E264*G264</f>
        <v>258.49480999999997</v>
      </c>
      <c r="G264" s="3132">
        <v>0.7</v>
      </c>
      <c r="H264" s="3130">
        <f>82.78+89+14+7.3+65.41</f>
        <v>258.49</v>
      </c>
      <c r="J264" s="3110"/>
    </row>
    <row r="265" spans="1:10" s="3106" customFormat="1" ht="35.1" customHeight="1">
      <c r="A265" s="3100">
        <v>8</v>
      </c>
      <c r="B265" s="3114" t="s">
        <v>3212</v>
      </c>
      <c r="C265" s="3114" t="s">
        <v>3213</v>
      </c>
      <c r="D265" s="3130">
        <v>137.10237699999999</v>
      </c>
      <c r="E265" s="3131">
        <v>142.35</v>
      </c>
      <c r="F265" s="3130">
        <f t="shared" si="7"/>
        <v>99.644999999999996</v>
      </c>
      <c r="G265" s="3132">
        <v>0.7</v>
      </c>
      <c r="H265" s="3130">
        <f>58.5+20+13.8+2.25+6</f>
        <v>100.55</v>
      </c>
      <c r="J265" s="3110"/>
    </row>
    <row r="266" spans="1:10" s="3106" customFormat="1" ht="35.1" customHeight="1">
      <c r="A266" s="3100">
        <v>9</v>
      </c>
      <c r="B266" s="3114" t="s">
        <v>3214</v>
      </c>
      <c r="C266" s="3114" t="s">
        <v>3346</v>
      </c>
      <c r="D266" s="3130">
        <f>119.249322+86</f>
        <v>205.24932200000001</v>
      </c>
      <c r="E266" s="3131">
        <f>118.13+86</f>
        <v>204.13</v>
      </c>
      <c r="F266" s="3130">
        <f t="shared" si="7"/>
        <v>142.89099999999999</v>
      </c>
      <c r="G266" s="3132">
        <v>0.7</v>
      </c>
      <c r="H266" s="3130">
        <f>5.26+14.7+31+45.5+46</f>
        <v>142.46</v>
      </c>
      <c r="J266" s="3110"/>
    </row>
    <row r="267" spans="1:10" s="3106" customFormat="1" ht="35.1" customHeight="1">
      <c r="A267" s="3100">
        <v>10</v>
      </c>
      <c r="B267" s="3114" t="s">
        <v>3223</v>
      </c>
      <c r="C267" s="3114" t="s">
        <v>3224</v>
      </c>
      <c r="D267" s="3130">
        <v>373.15660000000003</v>
      </c>
      <c r="E267" s="3131">
        <v>485.63339999999999</v>
      </c>
      <c r="F267" s="3130">
        <f t="shared" si="7"/>
        <v>412.78838999999999</v>
      </c>
      <c r="G267" s="3132">
        <v>0.85</v>
      </c>
      <c r="H267" s="3130">
        <f>202.6+13+13+5+82.06+97</f>
        <v>412.65999999999997</v>
      </c>
      <c r="J267" s="3110"/>
    </row>
    <row r="268" spans="1:10" s="3106" customFormat="1" ht="35.1" customHeight="1">
      <c r="A268" s="3100">
        <v>11</v>
      </c>
      <c r="B268" s="3114" t="s">
        <v>3210</v>
      </c>
      <c r="C268" s="3114" t="s">
        <v>3211</v>
      </c>
      <c r="D268" s="3130">
        <f>1333.788076*0.19</f>
        <v>253.41973444000001</v>
      </c>
      <c r="E268" s="3131">
        <v>328.84249999999997</v>
      </c>
      <c r="F268" s="3130">
        <f t="shared" si="7"/>
        <v>230.18974999999998</v>
      </c>
      <c r="G268" s="3132">
        <v>0.7</v>
      </c>
      <c r="H268" s="3130">
        <f>9.671+16.9+115+22+8.9+57.71</f>
        <v>230.18100000000001</v>
      </c>
      <c r="J268" s="3110"/>
    </row>
    <row r="269" spans="1:10" s="3106" customFormat="1" ht="35.1" customHeight="1">
      <c r="A269" s="3100">
        <v>12</v>
      </c>
      <c r="B269" s="3114" t="s">
        <v>3225</v>
      </c>
      <c r="C269" s="3114" t="s">
        <v>3226</v>
      </c>
      <c r="D269" s="3130">
        <f>72.997848+17.9725484</f>
        <v>90.970396399999998</v>
      </c>
      <c r="E269" s="3131">
        <v>108.36239999999999</v>
      </c>
      <c r="F269" s="3130">
        <f t="shared" si="7"/>
        <v>75.853679999999997</v>
      </c>
      <c r="G269" s="3132">
        <v>0.7</v>
      </c>
      <c r="H269" s="3130">
        <f>13.83+23+27+5.7+6.32</f>
        <v>75.849999999999994</v>
      </c>
      <c r="J269" s="3110"/>
    </row>
    <row r="270" spans="1:10" s="3106" customFormat="1" ht="35.1" customHeight="1">
      <c r="A270" s="3100">
        <v>13</v>
      </c>
      <c r="B270" s="3114" t="s">
        <v>3225</v>
      </c>
      <c r="C270" s="3114" t="s">
        <v>3458</v>
      </c>
      <c r="D270" s="3130">
        <v>79.520735000000002</v>
      </c>
      <c r="E270" s="3131">
        <v>84.784402</v>
      </c>
      <c r="F270" s="3130">
        <f t="shared" si="7"/>
        <v>67.827521599999997</v>
      </c>
      <c r="G270" s="3132">
        <v>0.8</v>
      </c>
      <c r="H270" s="3130">
        <f>46+22</f>
        <v>68</v>
      </c>
      <c r="J270" s="3110"/>
    </row>
    <row r="271" spans="1:10" s="3106" customFormat="1" ht="35.1" customHeight="1">
      <c r="A271" s="3100">
        <v>14</v>
      </c>
      <c r="B271" s="3114" t="s">
        <v>3221</v>
      </c>
      <c r="C271" s="3114" t="s">
        <v>3222</v>
      </c>
      <c r="D271" s="3130">
        <v>28.505299999999998</v>
      </c>
      <c r="E271" s="3131">
        <f>28.5053+8.5</f>
        <v>37.005299999999998</v>
      </c>
      <c r="F271" s="3130">
        <f t="shared" si="7"/>
        <v>31.454504999999997</v>
      </c>
      <c r="G271" s="3132">
        <v>0.85</v>
      </c>
      <c r="H271" s="3130">
        <f>15.92+2+2+10</f>
        <v>29.92</v>
      </c>
      <c r="J271" s="3110"/>
    </row>
    <row r="272" spans="1:10" s="3106" customFormat="1" ht="35.1" customHeight="1">
      <c r="A272" s="3100">
        <v>15</v>
      </c>
      <c r="B272" s="3114" t="s">
        <v>3459</v>
      </c>
      <c r="C272" s="3114" t="s">
        <v>3460</v>
      </c>
      <c r="D272" s="3130">
        <v>8299.4998830000004</v>
      </c>
      <c r="E272" s="3131">
        <v>9568.2017639999995</v>
      </c>
      <c r="F272" s="3130">
        <f t="shared" si="7"/>
        <v>6219.3311465999996</v>
      </c>
      <c r="G272" s="3132">
        <v>0.65</v>
      </c>
      <c r="H272" s="3130">
        <f>0+1391+2020+1461+62+1285</f>
        <v>6219</v>
      </c>
      <c r="J272" s="3110"/>
    </row>
    <row r="273" spans="1:10" s="3106" customFormat="1" ht="35.1" customHeight="1">
      <c r="A273" s="3100">
        <v>16</v>
      </c>
      <c r="B273" s="3114" t="s">
        <v>3461</v>
      </c>
      <c r="C273" s="3114" t="s">
        <v>3462</v>
      </c>
      <c r="D273" s="3130">
        <v>199.8</v>
      </c>
      <c r="E273" s="3131">
        <v>199.8</v>
      </c>
      <c r="F273" s="3130">
        <f t="shared" si="7"/>
        <v>193.80600000000001</v>
      </c>
      <c r="G273" s="3132">
        <v>0.97</v>
      </c>
      <c r="H273" s="3130">
        <f>100+39.86+53</f>
        <v>192.86</v>
      </c>
      <c r="J273" s="3110"/>
    </row>
    <row r="274" spans="1:10" s="3106" customFormat="1" ht="35.1" customHeight="1">
      <c r="A274" s="3100">
        <v>17</v>
      </c>
      <c r="B274" s="3114" t="s">
        <v>3463</v>
      </c>
      <c r="C274" s="3114" t="s">
        <v>3464</v>
      </c>
      <c r="D274" s="3130">
        <v>55.98</v>
      </c>
      <c r="E274" s="3131">
        <v>55.540861999999997</v>
      </c>
      <c r="F274" s="3130">
        <f t="shared" si="7"/>
        <v>49.986775799999997</v>
      </c>
      <c r="G274" s="3132">
        <v>0.9</v>
      </c>
      <c r="H274" s="3130">
        <f>29.78+9+11.6</f>
        <v>50.38</v>
      </c>
      <c r="J274" s="3110"/>
    </row>
    <row r="275" spans="1:10" s="3106" customFormat="1" ht="35.1" customHeight="1">
      <c r="A275" s="3100">
        <v>18</v>
      </c>
      <c r="B275" s="3114" t="s">
        <v>3465</v>
      </c>
      <c r="C275" s="3114" t="s">
        <v>3466</v>
      </c>
      <c r="D275" s="3130">
        <v>28.92</v>
      </c>
      <c r="E275" s="3131">
        <v>34.64</v>
      </c>
      <c r="F275" s="3130">
        <f t="shared" si="7"/>
        <v>34.64</v>
      </c>
      <c r="G275" s="3132">
        <v>1</v>
      </c>
      <c r="H275" s="3130">
        <f>8+12+7+7.64</f>
        <v>34.64</v>
      </c>
      <c r="J275" s="3110"/>
    </row>
    <row r="276" spans="1:10" s="3106" customFormat="1" ht="35.1" customHeight="1">
      <c r="A276" s="3100">
        <v>19</v>
      </c>
      <c r="B276" s="3114" t="s">
        <v>3225</v>
      </c>
      <c r="C276" s="3114" t="s">
        <v>3238</v>
      </c>
      <c r="D276" s="3130">
        <v>6.2662000000000004</v>
      </c>
      <c r="E276" s="3131">
        <v>2.8854160000000002</v>
      </c>
      <c r="F276" s="3130">
        <f t="shared" si="7"/>
        <v>2.8854160000000002</v>
      </c>
      <c r="G276" s="3132">
        <v>1</v>
      </c>
      <c r="H276" s="3130">
        <v>2.8854160000000002</v>
      </c>
      <c r="J276" s="3110"/>
    </row>
    <row r="277" spans="1:10" s="3123" customFormat="1" ht="35.1" customHeight="1">
      <c r="A277" s="3100">
        <v>20</v>
      </c>
      <c r="B277" s="3114" t="s">
        <v>3229</v>
      </c>
      <c r="C277" s="3114" t="s">
        <v>3347</v>
      </c>
      <c r="D277" s="3130">
        <v>25.001999999999999</v>
      </c>
      <c r="E277" s="3131">
        <v>25.001999999999999</v>
      </c>
      <c r="F277" s="3130">
        <f t="shared" si="7"/>
        <v>23.751899999999999</v>
      </c>
      <c r="G277" s="3132">
        <v>0.95</v>
      </c>
      <c r="H277" s="3130">
        <f>17.5014+6.2</f>
        <v>23.7014</v>
      </c>
      <c r="J277" s="3106"/>
    </row>
    <row r="278" spans="1:10" s="3123" customFormat="1" ht="35.1" customHeight="1">
      <c r="A278" s="3100">
        <v>21</v>
      </c>
      <c r="B278" s="3114" t="s">
        <v>3225</v>
      </c>
      <c r="C278" s="3114" t="s">
        <v>3467</v>
      </c>
      <c r="D278" s="3130">
        <v>159.52125000000001</v>
      </c>
      <c r="E278" s="3131">
        <v>152.5</v>
      </c>
      <c r="F278" s="3130">
        <v>122</v>
      </c>
      <c r="G278" s="3132">
        <v>0.8</v>
      </c>
      <c r="H278" s="3130">
        <v>114.375</v>
      </c>
      <c r="J278" s="3106"/>
    </row>
    <row r="279" spans="1:10" s="3123" customFormat="1" ht="35.1" customHeight="1">
      <c r="A279" s="3100">
        <v>23</v>
      </c>
      <c r="B279" s="3114" t="s">
        <v>3468</v>
      </c>
      <c r="C279" s="3114" t="s">
        <v>3469</v>
      </c>
      <c r="D279" s="3130">
        <v>130.80000000000001</v>
      </c>
      <c r="E279" s="3131">
        <v>126.9</v>
      </c>
      <c r="F279" s="3130">
        <f>E279*G279</f>
        <v>82.484999999999999</v>
      </c>
      <c r="G279" s="3132">
        <v>0.65</v>
      </c>
      <c r="H279" s="3130">
        <f>82.5</f>
        <v>82.5</v>
      </c>
      <c r="J279" s="3106"/>
    </row>
    <row r="280" spans="1:10" s="3106" customFormat="1" ht="27" customHeight="1">
      <c r="A280" s="3101" t="s">
        <v>3348</v>
      </c>
      <c r="B280" s="3511" t="s">
        <v>3253</v>
      </c>
      <c r="C280" s="3511"/>
      <c r="D280" s="3128">
        <f>SUM(D281:D326)</f>
        <v>2900.6697622600004</v>
      </c>
      <c r="E280" s="3129">
        <f>SUM(E281:E326)</f>
        <v>2643.2107802600008</v>
      </c>
      <c r="F280" s="3128">
        <f>SUM(F281:F326)</f>
        <v>2445.494184056</v>
      </c>
      <c r="G280" s="3121"/>
      <c r="H280" s="3128">
        <f>SUM(H281:H326)</f>
        <v>2420.9166989999999</v>
      </c>
      <c r="J280" s="3110"/>
    </row>
    <row r="281" spans="1:10" s="3106" customFormat="1" ht="35.1" customHeight="1">
      <c r="A281" s="3100">
        <v>1</v>
      </c>
      <c r="B281" s="3114" t="s">
        <v>3470</v>
      </c>
      <c r="C281" s="3114" t="s">
        <v>3471</v>
      </c>
      <c r="D281" s="3130">
        <v>129.6</v>
      </c>
      <c r="E281" s="3131">
        <v>129.6</v>
      </c>
      <c r="F281" s="3130">
        <f t="shared" ref="F281:F309" si="8">E281*G281</f>
        <v>123.11999999999999</v>
      </c>
      <c r="G281" s="3132">
        <v>0.95</v>
      </c>
      <c r="H281" s="3130">
        <f>39+36+22+19</f>
        <v>116</v>
      </c>
      <c r="J281" s="3110"/>
    </row>
    <row r="282" spans="1:10" s="3120" customFormat="1" ht="35.1" customHeight="1">
      <c r="A282" s="3100">
        <v>2</v>
      </c>
      <c r="B282" s="3114" t="s">
        <v>3258</v>
      </c>
      <c r="C282" s="3114" t="s">
        <v>3259</v>
      </c>
      <c r="D282" s="3130">
        <v>14.8</v>
      </c>
      <c r="E282" s="3131">
        <v>14.8</v>
      </c>
      <c r="F282" s="3130">
        <f t="shared" si="8"/>
        <v>14.06</v>
      </c>
      <c r="G282" s="3132">
        <v>0.95</v>
      </c>
      <c r="H282" s="3130">
        <f>4.4+5.22+3.7</f>
        <v>13.32</v>
      </c>
    </row>
    <row r="283" spans="1:10" s="3118" customFormat="1" ht="35.1" customHeight="1">
      <c r="A283" s="3100">
        <v>3</v>
      </c>
      <c r="B283" s="3114" t="s">
        <v>3260</v>
      </c>
      <c r="C283" s="3114" t="s">
        <v>3261</v>
      </c>
      <c r="D283" s="3130">
        <v>417.24</v>
      </c>
      <c r="E283" s="3131">
        <v>417.24</v>
      </c>
      <c r="F283" s="3130">
        <f t="shared" si="8"/>
        <v>396.37799999999999</v>
      </c>
      <c r="G283" s="3132">
        <v>0.95</v>
      </c>
      <c r="H283" s="3130">
        <f>379.233+17</f>
        <v>396.233</v>
      </c>
      <c r="J283" s="3120"/>
    </row>
    <row r="284" spans="1:10" s="3118" customFormat="1" ht="35.1" customHeight="1">
      <c r="A284" s="3100">
        <v>4</v>
      </c>
      <c r="B284" s="3114" t="s">
        <v>3262</v>
      </c>
      <c r="C284" s="3114" t="s">
        <v>3261</v>
      </c>
      <c r="D284" s="3130">
        <v>154.26</v>
      </c>
      <c r="E284" s="3131">
        <v>154.26</v>
      </c>
      <c r="F284" s="3130">
        <f t="shared" si="8"/>
        <v>146.547</v>
      </c>
      <c r="G284" s="3132">
        <v>0.95</v>
      </c>
      <c r="H284" s="3130">
        <f>89.253+34+23</f>
        <v>146.25299999999999</v>
      </c>
      <c r="J284" s="3120"/>
    </row>
    <row r="285" spans="1:10" s="3118" customFormat="1" ht="35.1" customHeight="1">
      <c r="A285" s="3100">
        <v>5</v>
      </c>
      <c r="B285" s="3114" t="s">
        <v>3263</v>
      </c>
      <c r="C285" s="3114" t="s">
        <v>3261</v>
      </c>
      <c r="D285" s="3130">
        <v>62.1</v>
      </c>
      <c r="E285" s="3131">
        <v>62.1</v>
      </c>
      <c r="F285" s="3130">
        <f t="shared" si="8"/>
        <v>58.994999999999997</v>
      </c>
      <c r="G285" s="3132">
        <v>0.95</v>
      </c>
      <c r="H285" s="3130">
        <f>38.394+11+9.5</f>
        <v>58.893999999999998</v>
      </c>
      <c r="J285" s="3120"/>
    </row>
    <row r="286" spans="1:10" s="3118" customFormat="1" ht="35.1" customHeight="1">
      <c r="A286" s="3100">
        <v>6</v>
      </c>
      <c r="B286" s="3114" t="s">
        <v>3264</v>
      </c>
      <c r="C286" s="3114" t="s">
        <v>3351</v>
      </c>
      <c r="D286" s="3130">
        <v>39.353845</v>
      </c>
      <c r="E286" s="3131">
        <v>39.353845</v>
      </c>
      <c r="F286" s="3130">
        <f t="shared" si="8"/>
        <v>39.353845</v>
      </c>
      <c r="G286" s="3132">
        <v>1</v>
      </c>
      <c r="H286" s="3130">
        <f>9.72+2+25.5</f>
        <v>37.22</v>
      </c>
      <c r="J286" s="3120"/>
    </row>
    <row r="287" spans="1:10" s="3118" customFormat="1" ht="35.1" customHeight="1">
      <c r="A287" s="3100">
        <v>7</v>
      </c>
      <c r="B287" s="3114" t="s">
        <v>3272</v>
      </c>
      <c r="C287" s="3114" t="s">
        <v>3350</v>
      </c>
      <c r="D287" s="3130">
        <v>5.4431999999999992</v>
      </c>
      <c r="E287" s="3131">
        <v>5.4431999999999992</v>
      </c>
      <c r="F287" s="3130">
        <f t="shared" si="8"/>
        <v>5.4431999999999992</v>
      </c>
      <c r="G287" s="3132">
        <v>1</v>
      </c>
      <c r="H287" s="3130">
        <f>0+5.4432</f>
        <v>5.4432</v>
      </c>
      <c r="J287" s="3120"/>
    </row>
    <row r="288" spans="1:10" s="3118" customFormat="1" ht="35.1" customHeight="1">
      <c r="A288" s="3100">
        <v>8</v>
      </c>
      <c r="B288" s="3114" t="s">
        <v>3274</v>
      </c>
      <c r="C288" s="3114" t="s">
        <v>3352</v>
      </c>
      <c r="D288" s="3130">
        <v>1.26</v>
      </c>
      <c r="E288" s="3131">
        <v>1.26</v>
      </c>
      <c r="F288" s="3130">
        <f t="shared" si="8"/>
        <v>1.26</v>
      </c>
      <c r="G288" s="3132">
        <v>1</v>
      </c>
      <c r="H288" s="3130">
        <v>1.26</v>
      </c>
      <c r="J288" s="3120"/>
    </row>
    <row r="289" spans="1:10" s="3118" customFormat="1" ht="35.1" customHeight="1">
      <c r="A289" s="3100">
        <v>9</v>
      </c>
      <c r="B289" s="3127" t="s">
        <v>3470</v>
      </c>
      <c r="C289" s="3127" t="s">
        <v>3472</v>
      </c>
      <c r="D289" s="3130">
        <v>94.6</v>
      </c>
      <c r="E289" s="3131">
        <v>94.6</v>
      </c>
      <c r="F289" s="3130">
        <f t="shared" si="8"/>
        <v>89.86999999999999</v>
      </c>
      <c r="G289" s="3132">
        <v>0.95</v>
      </c>
      <c r="H289" s="3130">
        <f>28+23+6+28</f>
        <v>85</v>
      </c>
      <c r="J289" s="3120"/>
    </row>
    <row r="290" spans="1:10" s="3118" customFormat="1" ht="35.1" customHeight="1">
      <c r="A290" s="3100">
        <v>10</v>
      </c>
      <c r="B290" s="3114" t="s">
        <v>3276</v>
      </c>
      <c r="C290" s="3114" t="s">
        <v>3279</v>
      </c>
      <c r="D290" s="3130">
        <v>1.1180000000000001</v>
      </c>
      <c r="E290" s="3131">
        <v>1.1180000000000001</v>
      </c>
      <c r="F290" s="3130">
        <f t="shared" si="8"/>
        <v>1.1180000000000001</v>
      </c>
      <c r="G290" s="3132">
        <v>1</v>
      </c>
      <c r="H290" s="3130">
        <f>0.78+0.338</f>
        <v>1.1180000000000001</v>
      </c>
      <c r="J290" s="3120"/>
    </row>
    <row r="291" spans="1:10" s="3118" customFormat="1" ht="35.1" customHeight="1">
      <c r="A291" s="3100">
        <v>11</v>
      </c>
      <c r="B291" s="3114" t="s">
        <v>3280</v>
      </c>
      <c r="C291" s="3114" t="s">
        <v>3281</v>
      </c>
      <c r="D291" s="3130">
        <v>0.36899999999999999</v>
      </c>
      <c r="E291" s="3131">
        <v>0.36899999999999999</v>
      </c>
      <c r="F291" s="3130">
        <f t="shared" si="8"/>
        <v>0.36899999999999999</v>
      </c>
      <c r="G291" s="3132">
        <v>1</v>
      </c>
      <c r="H291" s="3130">
        <v>0.36899999999999999</v>
      </c>
      <c r="J291" s="3120"/>
    </row>
    <row r="292" spans="1:10" s="3118" customFormat="1" ht="35.1" customHeight="1">
      <c r="A292" s="3100">
        <v>12</v>
      </c>
      <c r="B292" s="3114" t="s">
        <v>3264</v>
      </c>
      <c r="C292" s="3114" t="s">
        <v>3284</v>
      </c>
      <c r="D292" s="3130">
        <v>0.7863</v>
      </c>
      <c r="E292" s="3131">
        <v>0.7863</v>
      </c>
      <c r="F292" s="3130">
        <f t="shared" si="8"/>
        <v>0.7863</v>
      </c>
      <c r="G292" s="3132">
        <v>1</v>
      </c>
      <c r="H292" s="3130">
        <f>0+0.55+0.2363</f>
        <v>0.7863</v>
      </c>
      <c r="J292" s="3120"/>
    </row>
    <row r="293" spans="1:10" s="3118" customFormat="1" ht="35.1" customHeight="1">
      <c r="A293" s="3100">
        <v>13</v>
      </c>
      <c r="B293" s="3114" t="s">
        <v>3262</v>
      </c>
      <c r="C293" s="3114" t="s">
        <v>3285</v>
      </c>
      <c r="D293" s="3130">
        <v>15.49</v>
      </c>
      <c r="E293" s="3131">
        <v>15.49</v>
      </c>
      <c r="F293" s="3130">
        <f t="shared" si="8"/>
        <v>15.49</v>
      </c>
      <c r="G293" s="3132">
        <v>1</v>
      </c>
      <c r="H293" s="3130">
        <f>7.98+2.86+4.65</f>
        <v>15.49</v>
      </c>
      <c r="J293" s="3120"/>
    </row>
    <row r="294" spans="1:10" s="3118" customFormat="1" ht="35.1" customHeight="1">
      <c r="A294" s="3100">
        <v>14</v>
      </c>
      <c r="B294" s="3114" t="s">
        <v>3260</v>
      </c>
      <c r="C294" s="3114" t="s">
        <v>3286</v>
      </c>
      <c r="D294" s="3130">
        <v>30.6</v>
      </c>
      <c r="E294" s="3131">
        <v>30.6</v>
      </c>
      <c r="F294" s="3130">
        <f t="shared" si="8"/>
        <v>30.6</v>
      </c>
      <c r="G294" s="3132">
        <v>1</v>
      </c>
      <c r="H294" s="3130">
        <f>14.93+5.96+8.2</f>
        <v>29.09</v>
      </c>
      <c r="J294" s="3120"/>
    </row>
    <row r="295" spans="1:10" s="3118" customFormat="1" ht="35.1" customHeight="1">
      <c r="A295" s="3100">
        <v>15</v>
      </c>
      <c r="B295" s="3114" t="s">
        <v>3287</v>
      </c>
      <c r="C295" s="3114" t="s">
        <v>3288</v>
      </c>
      <c r="D295" s="3130">
        <f>7.2-0.41252</f>
        <v>6.7874800000000004</v>
      </c>
      <c r="E295" s="3131">
        <f>7.2-0.41252</f>
        <v>6.7874800000000004</v>
      </c>
      <c r="F295" s="3130">
        <f t="shared" si="8"/>
        <v>6.7874800000000004</v>
      </c>
      <c r="G295" s="3132">
        <v>1</v>
      </c>
      <c r="H295" s="3130">
        <v>6.78</v>
      </c>
      <c r="J295" s="3120"/>
    </row>
    <row r="296" spans="1:10" s="3118" customFormat="1" ht="35.1" customHeight="1">
      <c r="A296" s="3100">
        <v>16</v>
      </c>
      <c r="B296" s="3114" t="s">
        <v>3260</v>
      </c>
      <c r="C296" s="3114" t="s">
        <v>3289</v>
      </c>
      <c r="D296" s="3130">
        <v>31.48</v>
      </c>
      <c r="E296" s="3131">
        <v>31.48</v>
      </c>
      <c r="F296" s="3130">
        <f t="shared" si="8"/>
        <v>31.48</v>
      </c>
      <c r="G296" s="3132">
        <v>1</v>
      </c>
      <c r="H296" s="3130">
        <f>15.7+6.31+8</f>
        <v>30.009999999999998</v>
      </c>
      <c r="J296" s="3120"/>
    </row>
    <row r="297" spans="1:10" s="3118" customFormat="1" ht="35.1" customHeight="1">
      <c r="A297" s="3100">
        <v>17</v>
      </c>
      <c r="B297" s="3114" t="s">
        <v>3473</v>
      </c>
      <c r="C297" s="3114" t="s">
        <v>3474</v>
      </c>
      <c r="D297" s="3130">
        <v>277.44</v>
      </c>
      <c r="E297" s="3131">
        <v>277.44</v>
      </c>
      <c r="F297" s="3130">
        <f t="shared" si="8"/>
        <v>277.44</v>
      </c>
      <c r="G297" s="3132">
        <v>1</v>
      </c>
      <c r="H297" s="3130">
        <v>277.44</v>
      </c>
      <c r="J297" s="3120"/>
    </row>
    <row r="298" spans="1:10" s="3118" customFormat="1" ht="35.1" customHeight="1">
      <c r="A298" s="3100">
        <v>18</v>
      </c>
      <c r="B298" s="3114" t="s">
        <v>3262</v>
      </c>
      <c r="C298" s="3114" t="s">
        <v>3290</v>
      </c>
      <c r="D298" s="3130">
        <v>1.74</v>
      </c>
      <c r="E298" s="3131">
        <v>1.74</v>
      </c>
      <c r="F298" s="3130">
        <f t="shared" si="8"/>
        <v>1.74</v>
      </c>
      <c r="G298" s="3132">
        <v>1</v>
      </c>
      <c r="H298" s="3130">
        <f>0.87+0.87</f>
        <v>1.74</v>
      </c>
      <c r="J298" s="3120"/>
    </row>
    <row r="299" spans="1:10" s="3118" customFormat="1" ht="35.1" customHeight="1">
      <c r="A299" s="3100">
        <v>19</v>
      </c>
      <c r="B299" s="3114" t="s">
        <v>3264</v>
      </c>
      <c r="C299" s="3114" t="s">
        <v>3353</v>
      </c>
      <c r="D299" s="3130">
        <v>8.4480079999999997</v>
      </c>
      <c r="E299" s="3131">
        <v>8.4480079999999997</v>
      </c>
      <c r="F299" s="3130">
        <f t="shared" si="8"/>
        <v>8.4480079999999997</v>
      </c>
      <c r="G299" s="3132">
        <v>1</v>
      </c>
      <c r="H299" s="3130">
        <f>0+8.31+0.13</f>
        <v>8.4400000000000013</v>
      </c>
      <c r="J299" s="3120"/>
    </row>
    <row r="300" spans="1:10" s="3118" customFormat="1" ht="35.1" customHeight="1">
      <c r="A300" s="3100">
        <v>20</v>
      </c>
      <c r="B300" s="3114" t="s">
        <v>3264</v>
      </c>
      <c r="C300" s="3114" t="s">
        <v>3292</v>
      </c>
      <c r="D300" s="3130">
        <v>4.8</v>
      </c>
      <c r="E300" s="3131">
        <v>4.8</v>
      </c>
      <c r="F300" s="3130">
        <f t="shared" si="8"/>
        <v>4.8</v>
      </c>
      <c r="G300" s="3132">
        <v>1</v>
      </c>
      <c r="H300" s="3130">
        <f>0+2.4+1.728</f>
        <v>4.1280000000000001</v>
      </c>
      <c r="J300" s="3120"/>
    </row>
    <row r="301" spans="1:10" s="3118" customFormat="1" ht="35.1" customHeight="1">
      <c r="A301" s="3100">
        <v>21</v>
      </c>
      <c r="B301" s="3114" t="s">
        <v>3293</v>
      </c>
      <c r="C301" s="3114" t="s">
        <v>3294</v>
      </c>
      <c r="D301" s="3130">
        <v>3.42</v>
      </c>
      <c r="E301" s="3131">
        <v>3.42</v>
      </c>
      <c r="F301" s="3130">
        <f t="shared" si="8"/>
        <v>3.42</v>
      </c>
      <c r="G301" s="3132">
        <v>1</v>
      </c>
      <c r="H301" s="3130">
        <f>2.394+1.026</f>
        <v>3.42</v>
      </c>
      <c r="J301" s="3120"/>
    </row>
    <row r="302" spans="1:10" s="3118" customFormat="1" ht="35.1" customHeight="1">
      <c r="A302" s="3100">
        <v>22</v>
      </c>
      <c r="B302" s="3114" t="s">
        <v>3298</v>
      </c>
      <c r="C302" s="3114" t="s">
        <v>3299</v>
      </c>
      <c r="D302" s="3130">
        <v>1.602E-2</v>
      </c>
      <c r="E302" s="3131">
        <v>1.602E-2</v>
      </c>
      <c r="F302" s="3130">
        <f t="shared" si="8"/>
        <v>1.602E-2</v>
      </c>
      <c r="G302" s="3132">
        <v>1</v>
      </c>
      <c r="H302" s="3130">
        <v>1.602E-2</v>
      </c>
      <c r="J302" s="3120"/>
    </row>
    <row r="303" spans="1:10" s="3118" customFormat="1" ht="35.1" customHeight="1">
      <c r="A303" s="3100">
        <v>23</v>
      </c>
      <c r="B303" s="3114" t="s">
        <v>3295</v>
      </c>
      <c r="C303" s="3114" t="s">
        <v>3296</v>
      </c>
      <c r="D303" s="3130">
        <v>1.08</v>
      </c>
      <c r="E303" s="3131">
        <v>1.08</v>
      </c>
      <c r="F303" s="3130">
        <f t="shared" si="8"/>
        <v>1.08</v>
      </c>
      <c r="G303" s="3132">
        <v>1</v>
      </c>
      <c r="H303" s="3130">
        <v>1.08</v>
      </c>
      <c r="J303" s="3120"/>
    </row>
    <row r="304" spans="1:10" s="3118" customFormat="1" ht="35.1" customHeight="1">
      <c r="A304" s="3100">
        <v>24</v>
      </c>
      <c r="B304" s="3114" t="s">
        <v>3295</v>
      </c>
      <c r="C304" s="3114" t="s">
        <v>3296</v>
      </c>
      <c r="D304" s="3130">
        <f>3.24+5</f>
        <v>8.24</v>
      </c>
      <c r="E304" s="3131">
        <f>3.24+5</f>
        <v>8.24</v>
      </c>
      <c r="F304" s="3130">
        <f t="shared" si="8"/>
        <v>8.24</v>
      </c>
      <c r="G304" s="3132">
        <v>1</v>
      </c>
      <c r="H304" s="3130">
        <v>3.24</v>
      </c>
      <c r="J304" s="3120"/>
    </row>
    <row r="305" spans="1:10" s="3118" customFormat="1" ht="35.1" customHeight="1">
      <c r="A305" s="3100">
        <v>26</v>
      </c>
      <c r="B305" s="3114" t="s">
        <v>3300</v>
      </c>
      <c r="C305" s="3114" t="s">
        <v>3301</v>
      </c>
      <c r="D305" s="3130">
        <f>0.18*0.252535</f>
        <v>4.5456299999999998E-2</v>
      </c>
      <c r="E305" s="3131">
        <v>4.5456299999999998E-2</v>
      </c>
      <c r="F305" s="3130">
        <f t="shared" si="8"/>
        <v>3.6365040000000001E-2</v>
      </c>
      <c r="G305" s="3132">
        <v>0.8</v>
      </c>
      <c r="H305" s="3130">
        <f>0.18*0.2</f>
        <v>3.5999999999999997E-2</v>
      </c>
      <c r="J305" s="3120"/>
    </row>
    <row r="306" spans="1:10" s="3118" customFormat="1" ht="35.1" customHeight="1">
      <c r="A306" s="3100">
        <v>27</v>
      </c>
      <c r="B306" s="3127" t="s">
        <v>3475</v>
      </c>
      <c r="C306" s="3127" t="s">
        <v>3476</v>
      </c>
      <c r="D306" s="3130">
        <v>4.4672780000000003</v>
      </c>
      <c r="E306" s="3131">
        <v>4.4672780000000003</v>
      </c>
      <c r="F306" s="3130">
        <f t="shared" si="8"/>
        <v>4.4672780000000003</v>
      </c>
      <c r="G306" s="3132">
        <v>1</v>
      </c>
      <c r="H306" s="3130">
        <v>4.4672749999999999</v>
      </c>
      <c r="J306" s="3120"/>
    </row>
    <row r="307" spans="1:10" s="3118" customFormat="1" ht="35.1" customHeight="1">
      <c r="A307" s="3100">
        <v>28</v>
      </c>
      <c r="B307" s="3114" t="s">
        <v>3302</v>
      </c>
      <c r="C307" s="3114" t="s">
        <v>3303</v>
      </c>
      <c r="D307" s="3130">
        <f>0.18*1.185872</f>
        <v>0.21345696</v>
      </c>
      <c r="E307" s="3131">
        <v>0.21345696</v>
      </c>
      <c r="F307" s="3130">
        <f t="shared" si="8"/>
        <v>0.18143841599999999</v>
      </c>
      <c r="G307" s="3132">
        <v>0.85</v>
      </c>
      <c r="H307" s="3130">
        <f>0.18*1</f>
        <v>0.18</v>
      </c>
      <c r="J307" s="3120"/>
    </row>
    <row r="308" spans="1:10" s="3118" customFormat="1" ht="35.1" customHeight="1">
      <c r="A308" s="3100">
        <v>29</v>
      </c>
      <c r="B308" s="3127" t="s">
        <v>3475</v>
      </c>
      <c r="C308" s="3127" t="s">
        <v>3477</v>
      </c>
      <c r="D308" s="3130">
        <v>43.634765000000002</v>
      </c>
      <c r="E308" s="3131">
        <v>43.634765000000002</v>
      </c>
      <c r="F308" s="3130">
        <f t="shared" si="8"/>
        <v>43.634765000000002</v>
      </c>
      <c r="G308" s="3132">
        <v>1</v>
      </c>
      <c r="H308" s="3130">
        <v>43.634765000000002</v>
      </c>
      <c r="J308" s="3120"/>
    </row>
    <row r="309" spans="1:10" s="3118" customFormat="1" ht="35.1" customHeight="1">
      <c r="A309" s="3100">
        <v>30</v>
      </c>
      <c r="B309" s="3127" t="s">
        <v>3478</v>
      </c>
      <c r="C309" s="3127" t="s">
        <v>3479</v>
      </c>
      <c r="D309" s="3130">
        <v>0.2</v>
      </c>
      <c r="E309" s="3131">
        <v>0.2</v>
      </c>
      <c r="F309" s="3130">
        <f t="shared" si="8"/>
        <v>0.2</v>
      </c>
      <c r="G309" s="3132">
        <v>1</v>
      </c>
      <c r="H309" s="3130">
        <v>0.2</v>
      </c>
      <c r="J309" s="3120"/>
    </row>
    <row r="310" spans="1:10" s="3118" customFormat="1" ht="35.1" customHeight="1">
      <c r="A310" s="3100">
        <v>31</v>
      </c>
      <c r="B310" s="3127" t="s">
        <v>3478</v>
      </c>
      <c r="C310" s="3127" t="s">
        <v>3480</v>
      </c>
      <c r="D310" s="3130">
        <v>0.22</v>
      </c>
      <c r="E310" s="3131">
        <v>0.22</v>
      </c>
      <c r="F310" s="3130">
        <v>0.22</v>
      </c>
      <c r="G310" s="3132">
        <v>1</v>
      </c>
      <c r="H310" s="3130">
        <v>0.22</v>
      </c>
      <c r="J310" s="3120"/>
    </row>
    <row r="311" spans="1:10" s="3118" customFormat="1" ht="35.1" customHeight="1">
      <c r="A311" s="3100">
        <v>32</v>
      </c>
      <c r="B311" s="3127" t="s">
        <v>3270</v>
      </c>
      <c r="C311" s="3127" t="s">
        <v>3271</v>
      </c>
      <c r="D311" s="3130">
        <v>304.62799999999999</v>
      </c>
      <c r="E311" s="3131">
        <v>304.62799999999999</v>
      </c>
      <c r="F311" s="3130">
        <f t="shared" ref="F311:F317" si="9">E311*G311</f>
        <v>304.62799999999999</v>
      </c>
      <c r="G311" s="3132">
        <v>1</v>
      </c>
      <c r="H311" s="3130">
        <v>304.62799999999999</v>
      </c>
      <c r="J311" s="3120"/>
    </row>
    <row r="312" spans="1:10" s="3118" customFormat="1" ht="35.1" customHeight="1">
      <c r="A312" s="3100">
        <v>33</v>
      </c>
      <c r="B312" s="3114" t="s">
        <v>3304</v>
      </c>
      <c r="C312" s="3114" t="s">
        <v>3305</v>
      </c>
      <c r="D312" s="3130">
        <f>0.18*0.54</f>
        <v>9.7200000000000009E-2</v>
      </c>
      <c r="E312" s="3131">
        <v>9.7200000000000009E-2</v>
      </c>
      <c r="F312" s="3130">
        <f t="shared" si="9"/>
        <v>9.7200000000000009E-2</v>
      </c>
      <c r="G312" s="3132">
        <v>1</v>
      </c>
      <c r="H312" s="3130">
        <v>9.7200000000000009E-2</v>
      </c>
      <c r="J312" s="3120"/>
    </row>
    <row r="313" spans="1:10" s="3118" customFormat="1" ht="35.1" customHeight="1">
      <c r="A313" s="3100">
        <v>34</v>
      </c>
      <c r="B313" s="3114" t="s">
        <v>3306</v>
      </c>
      <c r="C313" s="3114" t="s">
        <v>3307</v>
      </c>
      <c r="D313" s="3130">
        <f>0.18*20.16</f>
        <v>3.6288</v>
      </c>
      <c r="E313" s="3131">
        <v>3.6288</v>
      </c>
      <c r="F313" s="3130">
        <f t="shared" si="9"/>
        <v>3.6288</v>
      </c>
      <c r="G313" s="3132">
        <v>1</v>
      </c>
      <c r="H313" s="3130">
        <v>3.6288</v>
      </c>
      <c r="J313" s="3120"/>
    </row>
    <row r="314" spans="1:10" s="3118" customFormat="1" ht="35.1" customHeight="1">
      <c r="A314" s="3100">
        <v>35</v>
      </c>
      <c r="B314" s="3114" t="s">
        <v>3308</v>
      </c>
      <c r="C314" s="3114" t="s">
        <v>3309</v>
      </c>
      <c r="D314" s="3130">
        <f>0.18*527.24</f>
        <v>94.903199999999998</v>
      </c>
      <c r="E314" s="3131">
        <f>0.18*527.24</f>
        <v>94.903199999999998</v>
      </c>
      <c r="F314" s="3130">
        <f t="shared" si="9"/>
        <v>94.903199999999998</v>
      </c>
      <c r="G314" s="3132">
        <v>1</v>
      </c>
      <c r="H314" s="3130">
        <f>0.18*527.24</f>
        <v>94.903199999999998</v>
      </c>
      <c r="J314" s="3120"/>
    </row>
    <row r="315" spans="1:10" s="3118" customFormat="1" ht="35.1" customHeight="1">
      <c r="A315" s="3100">
        <v>36</v>
      </c>
      <c r="B315" s="3114" t="s">
        <v>3481</v>
      </c>
      <c r="C315" s="3114" t="s">
        <v>3311</v>
      </c>
      <c r="D315" s="3130">
        <v>295.31380000000001</v>
      </c>
      <c r="E315" s="3131">
        <v>295.31380000000001</v>
      </c>
      <c r="F315" s="3130">
        <f t="shared" si="9"/>
        <v>147.65690000000001</v>
      </c>
      <c r="G315" s="3132">
        <v>0.5</v>
      </c>
      <c r="H315" s="3130">
        <v>147.65690000000001</v>
      </c>
      <c r="J315" s="3120"/>
    </row>
    <row r="316" spans="1:10" s="3118" customFormat="1" ht="35.1" customHeight="1">
      <c r="A316" s="3100">
        <v>37</v>
      </c>
      <c r="B316" s="3114" t="s">
        <v>3314</v>
      </c>
      <c r="C316" s="3114" t="s">
        <v>3315</v>
      </c>
      <c r="D316" s="3130">
        <f>0.18*259.0738</f>
        <v>46.633283999999996</v>
      </c>
      <c r="E316" s="3131">
        <f>0.18*259.0738</f>
        <v>46.633283999999996</v>
      </c>
      <c r="F316" s="3130">
        <f t="shared" si="9"/>
        <v>46.633283999999996</v>
      </c>
      <c r="G316" s="3132">
        <v>1</v>
      </c>
      <c r="H316" s="3130">
        <f>0.18*259.0738</f>
        <v>46.633283999999996</v>
      </c>
      <c r="J316" s="3120"/>
    </row>
    <row r="317" spans="1:10" s="3118" customFormat="1" ht="35.1" customHeight="1">
      <c r="A317" s="3100">
        <v>38</v>
      </c>
      <c r="B317" s="3114" t="s">
        <v>3318</v>
      </c>
      <c r="C317" s="3114" t="s">
        <v>3319</v>
      </c>
      <c r="D317" s="3130">
        <v>1.0075000000000001</v>
      </c>
      <c r="E317" s="3131">
        <v>1.0075000000000001</v>
      </c>
      <c r="F317" s="3130">
        <f t="shared" si="9"/>
        <v>1.0075000000000001</v>
      </c>
      <c r="G317" s="3132">
        <v>1</v>
      </c>
      <c r="H317" s="3130">
        <v>1.0075000000000001</v>
      </c>
      <c r="J317" s="3120"/>
    </row>
    <row r="318" spans="1:10" s="3118" customFormat="1" ht="35.1" customHeight="1">
      <c r="A318" s="3100">
        <v>39</v>
      </c>
      <c r="B318" s="3114" t="s">
        <v>3320</v>
      </c>
      <c r="C318" s="3114" t="s">
        <v>3321</v>
      </c>
      <c r="D318" s="3130">
        <v>12</v>
      </c>
      <c r="E318" s="3131">
        <v>12</v>
      </c>
      <c r="F318" s="3130">
        <v>12</v>
      </c>
      <c r="G318" s="3132">
        <v>1</v>
      </c>
      <c r="H318" s="3130">
        <f>6+6</f>
        <v>12</v>
      </c>
      <c r="J318" s="3120"/>
    </row>
    <row r="319" spans="1:10" s="3118" customFormat="1" ht="35.1" customHeight="1">
      <c r="A319" s="3100">
        <v>41</v>
      </c>
      <c r="B319" s="3114" t="s">
        <v>3482</v>
      </c>
      <c r="C319" s="3114" t="s">
        <v>3483</v>
      </c>
      <c r="D319" s="3130">
        <v>15</v>
      </c>
      <c r="E319" s="3131">
        <v>15</v>
      </c>
      <c r="F319" s="3130">
        <v>15</v>
      </c>
      <c r="G319" s="3132">
        <v>1</v>
      </c>
      <c r="H319" s="3130">
        <v>15</v>
      </c>
      <c r="J319" s="3120"/>
    </row>
    <row r="320" spans="1:10" s="3118" customFormat="1" ht="35.1" customHeight="1">
      <c r="A320" s="3100">
        <v>42</v>
      </c>
      <c r="B320" s="3114" t="s">
        <v>3484</v>
      </c>
      <c r="C320" s="3114" t="s">
        <v>3485</v>
      </c>
      <c r="D320" s="3130">
        <v>1</v>
      </c>
      <c r="E320" s="3131">
        <v>1</v>
      </c>
      <c r="F320" s="3130">
        <v>1</v>
      </c>
      <c r="G320" s="3132">
        <v>1</v>
      </c>
      <c r="H320" s="3130">
        <v>1</v>
      </c>
      <c r="J320" s="3120"/>
    </row>
    <row r="321" spans="1:10" s="3118" customFormat="1" ht="35.1" customHeight="1">
      <c r="A321" s="3100">
        <v>43</v>
      </c>
      <c r="B321" s="3114" t="s">
        <v>3475</v>
      </c>
      <c r="C321" s="3114" t="s">
        <v>3486</v>
      </c>
      <c r="D321" s="3130">
        <v>52.006836999999997</v>
      </c>
      <c r="E321" s="3131">
        <v>52.006836999999997</v>
      </c>
      <c r="F321" s="3130">
        <f t="shared" ref="F321:F326" si="10">E321*G321</f>
        <v>52.006836999999997</v>
      </c>
      <c r="G321" s="3132">
        <v>1</v>
      </c>
      <c r="H321" s="3130">
        <v>52.006836999999997</v>
      </c>
      <c r="J321" s="3120"/>
    </row>
    <row r="322" spans="1:10" s="3118" customFormat="1" ht="35.1" customHeight="1">
      <c r="A322" s="3100">
        <v>44</v>
      </c>
      <c r="B322" s="3114" t="s">
        <v>3487</v>
      </c>
      <c r="C322" s="3114" t="s">
        <v>3488</v>
      </c>
      <c r="D322" s="3130">
        <v>10</v>
      </c>
      <c r="E322" s="3131">
        <v>10</v>
      </c>
      <c r="F322" s="3130">
        <f t="shared" si="10"/>
        <v>10</v>
      </c>
      <c r="G322" s="3132">
        <v>1</v>
      </c>
      <c r="H322" s="3130">
        <v>9.5</v>
      </c>
      <c r="J322" s="3120"/>
    </row>
    <row r="323" spans="1:10" s="3118" customFormat="1" ht="35.1" customHeight="1">
      <c r="A323" s="3100">
        <v>45</v>
      </c>
      <c r="B323" s="3114" t="s">
        <v>3489</v>
      </c>
      <c r="C323" s="3114" t="s">
        <v>3490</v>
      </c>
      <c r="D323" s="3130">
        <v>31.942931999999999</v>
      </c>
      <c r="E323" s="3131">
        <v>31.942931999999999</v>
      </c>
      <c r="F323" s="3130">
        <f t="shared" si="10"/>
        <v>25.554345600000001</v>
      </c>
      <c r="G323" s="3132">
        <v>0.8</v>
      </c>
      <c r="H323" s="3130">
        <v>25.55</v>
      </c>
      <c r="J323" s="3120"/>
    </row>
    <row r="324" spans="1:10" s="3118" customFormat="1" ht="35.1" customHeight="1">
      <c r="A324" s="3100">
        <v>46</v>
      </c>
      <c r="B324" s="3114" t="s">
        <v>3491</v>
      </c>
      <c r="C324" s="3114" t="s">
        <v>3492</v>
      </c>
      <c r="D324" s="3130">
        <v>12.247400000000001</v>
      </c>
      <c r="E324" s="3131">
        <v>12.247400000000001</v>
      </c>
      <c r="F324" s="3130">
        <f t="shared" si="10"/>
        <v>12.247400000000001</v>
      </c>
      <c r="G324" s="3132">
        <v>1</v>
      </c>
      <c r="H324" s="3130">
        <v>12.247400000000001</v>
      </c>
      <c r="J324" s="3120"/>
    </row>
    <row r="325" spans="1:10" s="3118" customFormat="1" ht="35.1" customHeight="1">
      <c r="A325" s="3100">
        <v>47</v>
      </c>
      <c r="B325" s="3114" t="s">
        <v>3304</v>
      </c>
      <c r="C325" s="3114" t="s">
        <v>3441</v>
      </c>
      <c r="D325" s="3130">
        <v>600</v>
      </c>
      <c r="E325" s="3131">
        <v>394.15301799999997</v>
      </c>
      <c r="F325" s="3130">
        <f t="shared" si="10"/>
        <v>394.15301799999997</v>
      </c>
      <c r="G325" s="3132">
        <v>1</v>
      </c>
      <c r="H325" s="3130">
        <f>413+33-1.846982-50</f>
        <v>394.15301799999997</v>
      </c>
      <c r="J325" s="3120"/>
    </row>
    <row r="326" spans="1:10" s="3120" customFormat="1" ht="35.1" customHeight="1">
      <c r="A326" s="3100">
        <v>50</v>
      </c>
      <c r="B326" s="3114" t="s">
        <v>3355</v>
      </c>
      <c r="C326" s="3114" t="s">
        <v>3338</v>
      </c>
      <c r="D326" s="3130">
        <f>0.24*254.2</f>
        <v>61.007999999999996</v>
      </c>
      <c r="E326" s="3131">
        <f>0.24*39.15</f>
        <v>9.395999999999999</v>
      </c>
      <c r="F326" s="3130">
        <f t="shared" si="10"/>
        <v>9.395999999999999</v>
      </c>
      <c r="G326" s="3132">
        <v>1</v>
      </c>
      <c r="H326" s="3130">
        <f>0.24*39.15</f>
        <v>9.395999999999999</v>
      </c>
    </row>
    <row r="327" spans="1:10" s="3149" customFormat="1" ht="21" hidden="1" customHeight="1">
      <c r="A327" s="3144"/>
      <c r="B327" s="3145"/>
      <c r="C327" s="3146"/>
      <c r="D327" s="3147"/>
      <c r="E327" s="3148"/>
      <c r="F327" s="3147"/>
      <c r="G327" s="3122"/>
      <c r="H327" s="3147"/>
    </row>
    <row r="328" spans="1:10" s="3149" customFormat="1" ht="35.1" hidden="1" customHeight="1">
      <c r="A328" s="3150" t="s">
        <v>3493</v>
      </c>
      <c r="B328" s="3509" t="s">
        <v>3494</v>
      </c>
      <c r="C328" s="3509"/>
      <c r="D328" s="3151">
        <f>SUM(D329:D332)</f>
        <v>42254</v>
      </c>
      <c r="E328" s="3152">
        <f>SUM(E329:E332)</f>
        <v>42254</v>
      </c>
      <c r="F328" s="3151">
        <f>SUM(F329:F332)</f>
        <v>42254</v>
      </c>
      <c r="G328" s="3153"/>
      <c r="H328" s="3151">
        <f>SUM(H329:H332)</f>
        <v>42254</v>
      </c>
    </row>
    <row r="329" spans="1:10" s="3149" customFormat="1" ht="21" hidden="1" customHeight="1">
      <c r="A329" s="3154">
        <v>1</v>
      </c>
      <c r="B329" s="3155" t="s">
        <v>3495</v>
      </c>
      <c r="C329" s="3156" t="s">
        <v>3494</v>
      </c>
      <c r="D329" s="3157">
        <v>10774.840019723706</v>
      </c>
      <c r="E329" s="3158">
        <v>10774.840019723706</v>
      </c>
      <c r="F329" s="3157">
        <f>E329*G329</f>
        <v>10774.840019723706</v>
      </c>
      <c r="G329" s="3159">
        <v>1</v>
      </c>
      <c r="H329" s="3157">
        <v>10774.840019723706</v>
      </c>
    </row>
    <row r="330" spans="1:10" s="3149" customFormat="1" ht="21" hidden="1" customHeight="1">
      <c r="A330" s="3154">
        <v>2</v>
      </c>
      <c r="B330" s="3155" t="s">
        <v>3496</v>
      </c>
      <c r="C330" s="3156" t="s">
        <v>3494</v>
      </c>
      <c r="D330" s="3157">
        <v>11086.342400310406</v>
      </c>
      <c r="E330" s="3158">
        <v>11086.342400310406</v>
      </c>
      <c r="F330" s="3157">
        <f>E330*G330</f>
        <v>11086.342400310406</v>
      </c>
      <c r="G330" s="3159">
        <v>1</v>
      </c>
      <c r="H330" s="3157">
        <v>11086.342400310406</v>
      </c>
    </row>
    <row r="331" spans="1:10" s="3149" customFormat="1" ht="21" hidden="1" customHeight="1">
      <c r="A331" s="3154">
        <v>3</v>
      </c>
      <c r="B331" s="3155" t="s">
        <v>3497</v>
      </c>
      <c r="C331" s="3156" t="s">
        <v>3494</v>
      </c>
      <c r="D331" s="3157">
        <v>12724.803935041105</v>
      </c>
      <c r="E331" s="3158">
        <v>12724.803935041105</v>
      </c>
      <c r="F331" s="3157">
        <f>E331*G331</f>
        <v>12724.803935041105</v>
      </c>
      <c r="G331" s="3159">
        <v>1</v>
      </c>
      <c r="H331" s="3157">
        <v>12724.803935041105</v>
      </c>
    </row>
    <row r="332" spans="1:10" s="3149" customFormat="1" ht="21" hidden="1" customHeight="1">
      <c r="A332" s="3154">
        <v>4</v>
      </c>
      <c r="B332" s="3155" t="s">
        <v>3498</v>
      </c>
      <c r="C332" s="3156" t="s">
        <v>3494</v>
      </c>
      <c r="D332" s="3157">
        <v>7668.0136449247839</v>
      </c>
      <c r="E332" s="3158">
        <v>7668.0136449247839</v>
      </c>
      <c r="F332" s="3157">
        <f>E332*G332</f>
        <v>7668.0136449247839</v>
      </c>
      <c r="G332" s="3159">
        <v>1</v>
      </c>
      <c r="H332" s="3157">
        <v>7668.0136449247839</v>
      </c>
    </row>
    <row r="333" spans="1:10" hidden="1"/>
    <row r="334" spans="1:10" ht="5.0999999999999996" customHeight="1"/>
    <row r="335" spans="1:10" ht="3" customHeight="1"/>
  </sheetData>
  <mergeCells count="26">
    <mergeCell ref="A1:H1"/>
    <mergeCell ref="A2:H2"/>
    <mergeCell ref="A4:A5"/>
    <mergeCell ref="B4:B5"/>
    <mergeCell ref="C4:C5"/>
    <mergeCell ref="D4:E4"/>
    <mergeCell ref="F4:H4"/>
    <mergeCell ref="B111:C111"/>
    <mergeCell ref="A6:C6"/>
    <mergeCell ref="A7:C7"/>
    <mergeCell ref="A8:C8"/>
    <mergeCell ref="A9:C9"/>
    <mergeCell ref="A10:C10"/>
    <mergeCell ref="A11:C11"/>
    <mergeCell ref="B12:C12"/>
    <mergeCell ref="B13:C13"/>
    <mergeCell ref="B43:C43"/>
    <mergeCell ref="B95:C95"/>
    <mergeCell ref="B96:C96"/>
    <mergeCell ref="B328:C328"/>
    <mergeCell ref="B151:C151"/>
    <mergeCell ref="B152:C152"/>
    <mergeCell ref="B208:C208"/>
    <mergeCell ref="B257:C257"/>
    <mergeCell ref="B258:C258"/>
    <mergeCell ref="B280:C280"/>
  </mergeCells>
  <phoneticPr fontId="140"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96" t="s">
        <v>1623</v>
      </c>
      <c r="B1" s="3196"/>
      <c r="C1" s="3196"/>
      <c r="D1" s="3196"/>
    </row>
    <row r="2" spans="1:4" ht="18">
      <c r="A2" s="3197" t="s">
        <v>1607</v>
      </c>
      <c r="B2" s="3197"/>
      <c r="C2" s="3197"/>
      <c r="D2" s="3197"/>
    </row>
    <row r="3" spans="1:4" ht="18.75">
      <c r="A3" s="1694" t="s">
        <v>1608</v>
      </c>
      <c r="B3" s="1694" t="s">
        <v>1609</v>
      </c>
      <c r="C3" s="1694" t="s">
        <v>1610</v>
      </c>
      <c r="D3" s="1694" t="s">
        <v>1611</v>
      </c>
    </row>
    <row r="4" spans="1:4" ht="56.25" customHeight="1">
      <c r="A4" s="1695" t="str">
        <f>项目基本情况!B4</f>
        <v>吴薇</v>
      </c>
      <c r="B4" s="1696">
        <f ca="1">项目基本情况!C4</f>
        <v>1419970001</v>
      </c>
      <c r="C4" s="1697"/>
      <c r="D4" s="1698" t="s">
        <v>1612</v>
      </c>
    </row>
    <row r="5" spans="1:4" ht="56.25" customHeight="1">
      <c r="A5" s="1695" t="str">
        <f>项目基本情况!D4</f>
        <v>郑燚</v>
      </c>
      <c r="B5" s="1696">
        <f ca="1">项目基本情况!E4</f>
        <v>1120070131</v>
      </c>
      <c r="C5" s="1699"/>
      <c r="D5" s="1698" t="s">
        <v>1612</v>
      </c>
    </row>
    <row r="6" spans="1:4" ht="18">
      <c r="A6" s="3197" t="s">
        <v>1613</v>
      </c>
      <c r="B6" s="3197"/>
      <c r="C6" s="3197"/>
      <c r="D6" s="3197"/>
    </row>
    <row r="7" spans="1:4" ht="18.75">
      <c r="A7" s="1694" t="s">
        <v>1608</v>
      </c>
      <c r="B7" s="1696" t="s">
        <v>1614</v>
      </c>
      <c r="C7" s="1694" t="s">
        <v>1610</v>
      </c>
      <c r="D7" s="1694" t="s">
        <v>1611</v>
      </c>
    </row>
    <row r="8" spans="1:4" ht="56.25" customHeight="1">
      <c r="A8" s="1700" t="s">
        <v>837</v>
      </c>
      <c r="B8" s="1700" t="s">
        <v>1</v>
      </c>
      <c r="C8" s="1697"/>
      <c r="D8" s="1698" t="s">
        <v>1612</v>
      </c>
    </row>
    <row r="9" spans="1:4">
      <c r="A9" s="684"/>
      <c r="B9" s="684"/>
      <c r="C9" s="684"/>
      <c r="D9" s="684"/>
    </row>
    <row r="10" spans="1:4" ht="18.75">
      <c r="A10" s="1701" t="s">
        <v>1615</v>
      </c>
      <c r="B10" s="684"/>
      <c r="C10" s="684"/>
      <c r="D10" s="684"/>
    </row>
    <row r="11" spans="1:4" ht="30" customHeight="1">
      <c r="A11" s="3198" t="s">
        <v>1616</v>
      </c>
      <c r="B11" s="3190"/>
      <c r="C11" s="3190"/>
      <c r="D11" s="3190"/>
    </row>
    <row r="12" spans="1:4" ht="15.75">
      <c r="A12" s="31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5"/>
      <c r="C12" s="3195"/>
      <c r="D12" s="3195"/>
    </row>
    <row r="13" spans="1:4" ht="30" customHeight="1">
      <c r="A13" s="31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5"/>
      <c r="C13" s="3195"/>
      <c r="D13" s="3195"/>
    </row>
    <row r="14" spans="1:4" ht="15.75" customHeight="1">
      <c r="A14" s="3190" t="str">
        <f>IF(项目基本情况!B8="抵押","4.本次评估估价师所知悉的法定优先受偿款情况说明如下：","——")</f>
        <v>4.本次评估估价师所知悉的法定优先受偿款情况说明如下：</v>
      </c>
      <c r="B14" s="3195"/>
      <c r="C14" s="3195"/>
      <c r="D14" s="3195"/>
    </row>
    <row r="15" spans="1:4" ht="42" customHeight="1">
      <c r="A15" s="31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0"/>
      <c r="C15" s="3190"/>
      <c r="D15" s="3190"/>
    </row>
    <row r="16" spans="1:4" ht="30" customHeight="1">
      <c r="A16" s="3192" t="s">
        <v>1617</v>
      </c>
      <c r="B16" s="3192"/>
      <c r="C16" s="3192"/>
      <c r="D16" s="3192"/>
    </row>
    <row r="17" spans="1:4" ht="144" customHeight="1">
      <c r="A17" s="3192" t="s">
        <v>1618</v>
      </c>
      <c r="B17" s="3192"/>
      <c r="C17" s="3192"/>
      <c r="D17" s="3192"/>
    </row>
    <row r="18" spans="1:4" ht="15.75" customHeight="1">
      <c r="A18" s="3190" t="str">
        <f>IF(项目基本情况!B8="抵押",结果表!K120,"——")</f>
        <v>故，本次评估不存在估价师知悉的法定优先受偿款</v>
      </c>
      <c r="B18" s="3190"/>
      <c r="C18" s="3190"/>
      <c r="D18" s="3190"/>
    </row>
    <row r="19" spans="1:4" ht="46.5" customHeight="1">
      <c r="A19" s="31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0"/>
      <c r="C19" s="3190"/>
      <c r="D19" s="3190"/>
    </row>
    <row r="20" spans="1:4" ht="57.75" customHeight="1">
      <c r="A20" s="31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0"/>
      <c r="C20" s="3190"/>
      <c r="D20" s="3190"/>
    </row>
    <row r="21" spans="1:4" ht="57.75" customHeight="1">
      <c r="A21" s="31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3"/>
      <c r="C21" s="3193"/>
      <c r="D21" s="3193"/>
    </row>
    <row r="22" spans="1:4" ht="18.75" customHeight="1">
      <c r="A22" s="3194" t="s">
        <v>1619</v>
      </c>
      <c r="B22" s="3194"/>
      <c r="C22" s="3194"/>
      <c r="D22" s="3194"/>
    </row>
    <row r="23" spans="1:4">
      <c r="A23" s="1702"/>
      <c r="B23" s="1674"/>
      <c r="C23" s="1674"/>
      <c r="D23" s="1674"/>
    </row>
    <row r="24" spans="1:4">
      <c r="A24" s="1702"/>
      <c r="B24" s="1674"/>
      <c r="C24" s="1674"/>
      <c r="D24" s="1674"/>
    </row>
    <row r="25" spans="1:4" ht="18.75">
      <c r="A25" s="1703" t="s">
        <v>1620</v>
      </c>
    </row>
    <row r="26" spans="1:4" ht="18">
      <c r="A26" s="1672"/>
    </row>
    <row r="27" spans="1:4" ht="18.75">
      <c r="A27" s="1672" t="s">
        <v>1621</v>
      </c>
    </row>
    <row r="30" spans="1:4" ht="18.75">
      <c r="D30" s="1703" t="s">
        <v>1622</v>
      </c>
    </row>
    <row r="31" spans="1:4" ht="13.5" customHeight="1">
      <c r="C31" s="3191">
        <v>42551</v>
      </c>
      <c r="D31" s="31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1624</v>
      </c>
    </row>
    <row r="3" spans="1:7">
      <c r="A3" s="1708" t="s">
        <v>82</v>
      </c>
      <c r="B3" s="1692" t="s">
        <v>1625</v>
      </c>
      <c r="G3" s="1709"/>
    </row>
    <row r="4" spans="1:7">
      <c r="G4" s="1709"/>
    </row>
    <row r="5" spans="1:7">
      <c r="A5" s="1711" t="s">
        <v>73</v>
      </c>
      <c r="B5" s="1692" t="s">
        <v>1626</v>
      </c>
      <c r="G5" s="1709"/>
    </row>
    <row r="6" spans="1:7">
      <c r="G6" s="1709"/>
    </row>
    <row r="7" spans="1:7">
      <c r="A7" s="1712" t="s">
        <v>135</v>
      </c>
      <c r="B7" s="1692" t="s">
        <v>1627</v>
      </c>
      <c r="G7" s="1709"/>
    </row>
    <row r="8" spans="1:7">
      <c r="G8" s="1709"/>
    </row>
    <row r="9" spans="1:7">
      <c r="A9" s="1713" t="s">
        <v>74</v>
      </c>
      <c r="B9" s="1692" t="s">
        <v>1628</v>
      </c>
    </row>
    <row r="11" spans="1:7">
      <c r="A11" s="1714" t="s">
        <v>75</v>
      </c>
      <c r="B11" s="1715" t="s">
        <v>72</v>
      </c>
    </row>
    <row r="13" spans="1:7">
      <c r="A13" s="1716" t="s">
        <v>1629</v>
      </c>
    </row>
    <row r="15" spans="1:7" ht="13.5">
      <c r="A15" s="3204" t="s">
        <v>1630</v>
      </c>
      <c r="B15" s="3199" t="s">
        <v>136</v>
      </c>
      <c r="C15" s="3200"/>
    </row>
    <row r="16" spans="1:7" ht="13.5">
      <c r="A16" s="3205"/>
      <c r="B16" s="3199" t="s">
        <v>69</v>
      </c>
      <c r="C16" s="3200"/>
    </row>
    <row r="17" spans="1:3" ht="13.5">
      <c r="A17" s="3205"/>
      <c r="B17" s="3202" t="s">
        <v>1631</v>
      </c>
      <c r="C17" s="1717" t="s">
        <v>1630</v>
      </c>
    </row>
    <row r="18" spans="1:3" ht="13.5">
      <c r="A18" s="3205"/>
      <c r="B18" s="3202"/>
      <c r="C18" s="1717" t="s">
        <v>1632</v>
      </c>
    </row>
    <row r="19" spans="1:3" ht="13.5">
      <c r="A19" s="3205"/>
      <c r="B19" s="3202"/>
      <c r="C19" s="1717" t="s">
        <v>1633</v>
      </c>
    </row>
    <row r="20" spans="1:3" ht="13.5">
      <c r="A20" s="3206"/>
      <c r="B20" s="3201" t="s">
        <v>1634</v>
      </c>
      <c r="C20" s="3200"/>
    </row>
    <row r="21" spans="1:3" ht="13.5">
      <c r="A21" s="1718" t="s">
        <v>1635</v>
      </c>
      <c r="B21" s="1719"/>
      <c r="C21" s="1720"/>
    </row>
    <row r="22" spans="1:3" ht="13.5">
      <c r="A22" s="3203" t="s">
        <v>1636</v>
      </c>
      <c r="B22" s="3201" t="s">
        <v>1637</v>
      </c>
      <c r="C22" s="3200"/>
    </row>
    <row r="23" spans="1:3" ht="13.5">
      <c r="A23" s="3203"/>
      <c r="B23" s="3201" t="s">
        <v>1638</v>
      </c>
      <c r="C23" s="3200"/>
    </row>
    <row r="24" spans="1:3" ht="13.5">
      <c r="A24" s="3203"/>
      <c r="B24" s="3201" t="s">
        <v>1639</v>
      </c>
      <c r="C24" s="3200"/>
    </row>
    <row r="25" spans="1:3" ht="13.5">
      <c r="A25" s="3203"/>
      <c r="B25" s="3202" t="s">
        <v>1640</v>
      </c>
      <c r="C25" s="1717" t="s">
        <v>1641</v>
      </c>
    </row>
    <row r="26" spans="1:3" ht="13.5">
      <c r="A26" s="3203"/>
      <c r="B26" s="3202"/>
      <c r="C26" s="1717" t="s">
        <v>1642</v>
      </c>
    </row>
    <row r="27" spans="1:3" ht="13.5">
      <c r="A27" s="3203"/>
      <c r="B27" s="3202"/>
      <c r="C27" s="1717" t="s">
        <v>1643</v>
      </c>
    </row>
    <row r="28" spans="1:3" ht="13.5">
      <c r="A28" s="3203"/>
      <c r="B28" s="3202"/>
      <c r="C28" s="1717" t="s">
        <v>1644</v>
      </c>
    </row>
    <row r="29" spans="1:3" ht="13.5">
      <c r="A29" s="3203"/>
      <c r="B29" s="3202"/>
      <c r="C29" s="1717" t="s">
        <v>1645</v>
      </c>
    </row>
    <row r="30" spans="1:3" ht="13.5">
      <c r="A30" s="3203"/>
      <c r="B30" s="3202"/>
      <c r="C30" s="1717" t="s">
        <v>1646</v>
      </c>
    </row>
    <row r="31" spans="1:3" ht="13.5">
      <c r="A31" s="3203"/>
      <c r="B31" s="3202"/>
      <c r="C31" s="1717" t="s">
        <v>1647</v>
      </c>
    </row>
    <row r="32" spans="1:3" ht="13.5">
      <c r="A32" s="3203"/>
      <c r="B32" s="3202"/>
      <c r="C32" s="1717" t="s">
        <v>1648</v>
      </c>
    </row>
    <row r="33" spans="1:3" ht="13.5">
      <c r="A33" s="3203"/>
      <c r="B33" s="3202"/>
      <c r="C33" s="1717" t="s">
        <v>1649</v>
      </c>
    </row>
    <row r="34" spans="1:3">
      <c r="A34" s="1721" t="s">
        <v>76</v>
      </c>
    </row>
    <row r="37" spans="1:3">
      <c r="A37" s="1721" t="s">
        <v>1650</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2877</v>
      </c>
      <c r="B2" s="2562">
        <f ca="1">TODAY()</f>
        <v>44558</v>
      </c>
      <c r="C2" s="2563" t="s">
        <v>2878</v>
      </c>
      <c r="D2" s="2563"/>
      <c r="E2" s="2563"/>
      <c r="F2" s="2559"/>
      <c r="G2" s="2559"/>
      <c r="H2" s="2559"/>
    </row>
    <row r="3" spans="1:8" ht="24" customHeight="1">
      <c r="A3" s="2564" t="s">
        <v>2879</v>
      </c>
      <c r="B3" s="2565" t="s">
        <v>2880</v>
      </c>
      <c r="C3" s="2565" t="s">
        <v>2881</v>
      </c>
      <c r="D3" s="2566" t="s">
        <v>2882</v>
      </c>
      <c r="E3" s="2567" t="s">
        <v>2883</v>
      </c>
      <c r="F3" s="1472" t="s">
        <v>2884</v>
      </c>
      <c r="G3" s="2565" t="s">
        <v>2881</v>
      </c>
      <c r="H3" s="2566" t="s">
        <v>2885</v>
      </c>
    </row>
    <row r="4" spans="1:8" ht="24" customHeight="1">
      <c r="A4" s="1472" t="s">
        <v>2886</v>
      </c>
      <c r="B4" s="1472">
        <f ca="1">IF(C4&lt;B2,"已过期",1119970066)</f>
        <v>1119970066</v>
      </c>
      <c r="C4" s="2568">
        <v>44876</v>
      </c>
      <c r="D4" s="2569" t="str">
        <f ca="1">A4&amp;"（注册号："&amp;B4&amp;"）"</f>
        <v>梁津（注册号：1119970066）</v>
      </c>
      <c r="E4" s="2570" t="s">
        <v>2886</v>
      </c>
      <c r="F4" s="1472">
        <f ca="1">IF(G4&lt;B2,"已过期",96010014)</f>
        <v>96010014</v>
      </c>
      <c r="G4" s="2571">
        <v>47118</v>
      </c>
      <c r="H4" s="2572" t="str">
        <f ca="1">E4&amp;"（注册号："&amp;F4&amp;"）"</f>
        <v>梁津（注册号：96010014）</v>
      </c>
    </row>
    <row r="5" spans="1:8" ht="24" customHeight="1">
      <c r="A5" s="1472" t="s">
        <v>2887</v>
      </c>
      <c r="B5" s="1472">
        <f ca="1">IF(C5&lt;B2,"已过期",1119970111)</f>
        <v>1119970111</v>
      </c>
      <c r="C5" s="2568">
        <v>44876</v>
      </c>
      <c r="D5" s="2569" t="str">
        <f t="shared" ref="D5:D15" ca="1" si="0">A5&amp;"（注册号："&amp;B5&amp;"）"</f>
        <v>叶凌（注册号：1119970111）</v>
      </c>
      <c r="E5" s="2570" t="s">
        <v>2887</v>
      </c>
      <c r="F5" s="1472">
        <f ca="1">IF(G5&lt;B2,"已过期",94010078)</f>
        <v>94010078</v>
      </c>
      <c r="G5" s="2571">
        <v>46387</v>
      </c>
      <c r="H5" s="2572" t="str">
        <f t="shared" ref="H5:H16" ca="1" si="1">E5&amp;"（注册号："&amp;F5&amp;"）"</f>
        <v>叶凌（注册号：94010078）</v>
      </c>
    </row>
    <row r="6" spans="1:8" ht="24" customHeight="1">
      <c r="A6" s="1472" t="s">
        <v>2888</v>
      </c>
      <c r="B6" s="1472" t="str">
        <f ca="1">IF(C6&lt;B2,"已过期",1120050019)</f>
        <v>已过期</v>
      </c>
      <c r="C6" s="2568">
        <v>44395</v>
      </c>
      <c r="D6" s="2569" t="str">
        <f t="shared" ca="1" si="0"/>
        <v>王鹏（注册号：已过期）</v>
      </c>
      <c r="E6" s="2570" t="s">
        <v>2888</v>
      </c>
      <c r="F6" s="1472">
        <f ca="1">IF(G6&lt;B2,"已过期",2002110030)</f>
        <v>2002110030</v>
      </c>
      <c r="G6" s="2571">
        <v>46387</v>
      </c>
      <c r="H6" s="2572" t="str">
        <f t="shared" ca="1" si="1"/>
        <v>王鹏（注册号：2002110030）</v>
      </c>
    </row>
    <row r="7" spans="1:8" ht="24" customHeight="1">
      <c r="A7" s="1472" t="s">
        <v>2889</v>
      </c>
      <c r="B7" s="1472">
        <f ca="1">IF(C7&lt;B2,"已过期",1120000080)</f>
        <v>1120000080</v>
      </c>
      <c r="C7" s="2568">
        <v>44876</v>
      </c>
      <c r="D7" s="2569" t="str">
        <f t="shared" ca="1" si="0"/>
        <v>欧红伟（注册号：1120000080）</v>
      </c>
      <c r="E7" s="2570" t="s">
        <v>2889</v>
      </c>
      <c r="F7" s="1472">
        <f ca="1">IF(G7&lt;B2,"已过期",2000110082)</f>
        <v>2000110082</v>
      </c>
      <c r="G7" s="2571">
        <v>46387</v>
      </c>
      <c r="H7" s="2572" t="str">
        <f t="shared" ca="1" si="1"/>
        <v>欧红伟（注册号：2000110082）</v>
      </c>
    </row>
    <row r="8" spans="1:8" ht="24" customHeight="1">
      <c r="A8" s="1472" t="s">
        <v>2890</v>
      </c>
      <c r="B8" s="1472">
        <f ca="1">IF(C8&lt;B2,"已过期",1419970001)</f>
        <v>1419970001</v>
      </c>
      <c r="C8" s="2568">
        <v>44899</v>
      </c>
      <c r="D8" s="2569" t="str">
        <f t="shared" ca="1" si="0"/>
        <v>吴薇（注册号：1419970001）</v>
      </c>
      <c r="E8" s="2570" t="s">
        <v>2890</v>
      </c>
      <c r="F8" s="1472">
        <f ca="1">IF(G8&lt;B2,"已过期",2002110125)</f>
        <v>2002110125</v>
      </c>
      <c r="G8" s="2571">
        <v>47118</v>
      </c>
      <c r="H8" s="2572" t="str">
        <f t="shared" ca="1" si="1"/>
        <v>吴薇（注册号：2002110125）</v>
      </c>
    </row>
    <row r="9" spans="1:8" ht="24" customHeight="1">
      <c r="A9" s="1472" t="s">
        <v>2891</v>
      </c>
      <c r="B9" s="1472" t="str">
        <f ca="1">IF(C9&lt;B2,"已过期",1120060040)</f>
        <v>已过期</v>
      </c>
      <c r="C9" s="2573">
        <v>44554</v>
      </c>
      <c r="D9" s="2569" t="str">
        <f t="shared" ca="1" si="0"/>
        <v>陈颖（注册号：已过期）</v>
      </c>
      <c r="E9" s="2570" t="s">
        <v>2891</v>
      </c>
      <c r="F9" s="1472">
        <f ca="1">IF(G9&lt;B2,"已过期",2004110096)</f>
        <v>2004110096</v>
      </c>
      <c r="G9" s="2571">
        <v>47118</v>
      </c>
      <c r="H9" s="2572" t="str">
        <f t="shared" ca="1" si="1"/>
        <v>陈颖（注册号：2004110096）</v>
      </c>
    </row>
    <row r="10" spans="1:8" ht="24" customHeight="1">
      <c r="A10" s="1472" t="s">
        <v>2892</v>
      </c>
      <c r="B10" s="1472">
        <f ca="1">IF(C10&lt;B2,"已过期",1120100036)</f>
        <v>1120100036</v>
      </c>
      <c r="C10" s="2573">
        <v>44675</v>
      </c>
      <c r="D10" s="2569" t="str">
        <f t="shared" ca="1" si="0"/>
        <v>崔锴（注册号：1120100036）</v>
      </c>
      <c r="E10" s="2570" t="s">
        <v>2892</v>
      </c>
      <c r="F10" s="1472">
        <f ca="1">IF(G10&lt;B2,"已过期",2010110070)</f>
        <v>2010110070</v>
      </c>
      <c r="G10" s="2571">
        <v>47907</v>
      </c>
      <c r="H10" s="2572" t="str">
        <f t="shared" ca="1" si="1"/>
        <v>崔锴（注册号：2010110070）</v>
      </c>
    </row>
    <row r="11" spans="1:8" ht="24" customHeight="1">
      <c r="A11" s="1472" t="s">
        <v>2893</v>
      </c>
      <c r="B11" s="1472">
        <f ca="1">IF(C11&lt;B2,"已过期",1120070131)</f>
        <v>1120070131</v>
      </c>
      <c r="C11" s="2568">
        <v>44849</v>
      </c>
      <c r="D11" s="2569" t="str">
        <f t="shared" ca="1" si="0"/>
        <v>郑燚（注册号：1120070131）</v>
      </c>
      <c r="E11" s="2570" t="s">
        <v>2893</v>
      </c>
      <c r="F11" s="1472">
        <f ca="1">IF(G11&lt;B2,"已过期",2014110011)</f>
        <v>2014110011</v>
      </c>
      <c r="G11" s="2571">
        <v>49302</v>
      </c>
      <c r="H11" s="2572" t="str">
        <f t="shared" ca="1" si="1"/>
        <v>郑燚（注册号：2014110011）</v>
      </c>
    </row>
    <row r="12" spans="1:8" ht="24" customHeight="1">
      <c r="A12" s="1472" t="s">
        <v>2894</v>
      </c>
      <c r="B12" s="1472">
        <f ca="1">IF(C12&lt;B2,"已过期",1120040230)</f>
        <v>1120040230</v>
      </c>
      <c r="C12" s="2573">
        <v>44864</v>
      </c>
      <c r="D12" s="2569" t="str">
        <f t="shared" ca="1" si="0"/>
        <v>苏海（注册号：1120040230）</v>
      </c>
      <c r="E12" s="2570" t="s">
        <v>2894</v>
      </c>
      <c r="F12" s="1472">
        <f ca="1">IF(G12&lt;B2,"已过期",98030020)</f>
        <v>98030020</v>
      </c>
      <c r="G12" s="2571">
        <v>47118</v>
      </c>
      <c r="H12" s="2572" t="str">
        <f t="shared" ca="1" si="1"/>
        <v>苏海（注册号：98030020）</v>
      </c>
    </row>
    <row r="13" spans="1:8" ht="24" customHeight="1">
      <c r="A13" s="1472" t="s">
        <v>2895</v>
      </c>
      <c r="B13" s="1472" t="str">
        <f ca="1">IF(C13&lt;B2,"已过期",1120020033)</f>
        <v>已过期</v>
      </c>
      <c r="C13" s="2568">
        <v>44339</v>
      </c>
      <c r="D13" s="2569" t="str">
        <f t="shared" ca="1" si="0"/>
        <v>刘敬东（注册号：已过期）</v>
      </c>
      <c r="E13" s="2570" t="s">
        <v>2895</v>
      </c>
      <c r="F13" s="1472">
        <f ca="1">IF(G13&lt;B2,"已过期",2000110137)</f>
        <v>2000110137</v>
      </c>
      <c r="G13" s="2571">
        <v>46387</v>
      </c>
      <c r="H13" s="2572" t="str">
        <f t="shared" ca="1" si="1"/>
        <v>刘敬东（注册号：2000110137）</v>
      </c>
    </row>
    <row r="14" spans="1:8" ht="24" customHeight="1">
      <c r="A14" s="1472" t="s">
        <v>2896</v>
      </c>
      <c r="B14" s="1472">
        <f ca="1">IF(C14&lt;B2,"已过期",1119980106)</f>
        <v>1119980106</v>
      </c>
      <c r="C14" s="2573">
        <v>44969</v>
      </c>
      <c r="D14" s="2569" t="str">
        <f t="shared" ca="1" si="0"/>
        <v>刘俊财（注册号：1119980106）</v>
      </c>
      <c r="E14" s="2570" t="s">
        <v>2896</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2897</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207" t="s">
        <v>2898</v>
      </c>
      <c r="B17" s="3207"/>
      <c r="C17" s="3207"/>
      <c r="D17" s="3207"/>
      <c r="E17" s="3207"/>
      <c r="F17" s="3207"/>
      <c r="G17" s="3207"/>
      <c r="H17" s="3207"/>
    </row>
    <row r="18" spans="1:8" ht="24" customHeight="1">
      <c r="A18" s="3208" t="s">
        <v>2899</v>
      </c>
      <c r="B18" s="3208"/>
      <c r="C18" s="3208"/>
      <c r="D18" s="2566"/>
      <c r="E18" s="3209" t="s">
        <v>2900</v>
      </c>
      <c r="F18" s="3208"/>
      <c r="G18" s="3208"/>
    </row>
    <row r="19" spans="1:8" s="2577" customFormat="1" ht="24" customHeight="1">
      <c r="A19" s="2576" t="s">
        <v>2901</v>
      </c>
      <c r="B19" s="2565" t="s">
        <v>2902</v>
      </c>
      <c r="C19" s="2565" t="s">
        <v>2881</v>
      </c>
      <c r="D19" s="2566"/>
      <c r="E19" s="2570" t="s">
        <v>2901</v>
      </c>
      <c r="F19" s="2565" t="s">
        <v>2902</v>
      </c>
      <c r="G19" s="2565" t="s">
        <v>2881</v>
      </c>
    </row>
    <row r="20" spans="1:8" s="2577" customFormat="1" ht="24" customHeight="1">
      <c r="A20" s="2578" t="s">
        <v>2903</v>
      </c>
      <c r="B20" s="2578" t="s">
        <v>2904</v>
      </c>
      <c r="C20" s="2571">
        <v>44820</v>
      </c>
      <c r="D20" s="2579"/>
      <c r="E20" s="2580" t="s">
        <v>2905</v>
      </c>
      <c r="F20" s="2578" t="s">
        <v>2906</v>
      </c>
      <c r="G20" s="2581">
        <v>44377</v>
      </c>
    </row>
    <row r="21" spans="1:8" s="2577" customFormat="1" ht="24" customHeight="1">
      <c r="A21" s="2578"/>
      <c r="B21" s="2578"/>
      <c r="C21" s="2582"/>
      <c r="D21" s="2583"/>
      <c r="E21" s="2580" t="s">
        <v>2907</v>
      </c>
      <c r="F21" s="2584" t="s">
        <v>2908</v>
      </c>
      <c r="G21" s="2585">
        <v>44012</v>
      </c>
    </row>
    <row r="22" spans="1:8" ht="24" customHeight="1">
      <c r="C22" s="2586"/>
      <c r="D22" s="2586"/>
      <c r="E22" s="2587"/>
      <c r="F22" s="2588"/>
      <c r="G22" s="2589" t="s">
        <v>2909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155</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结果表-B</vt:lpstr>
      <vt:lpstr>成本法-B</vt:lpstr>
      <vt:lpstr>收益法-B</vt:lpstr>
      <vt:lpstr>Sheet2</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'成本法-B'!Print_Area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'结果表-B'!Print_Area</vt:lpstr>
      <vt:lpstr>收益法!Print_Area</vt:lpstr>
      <vt:lpstr>'收益法 (元)'!Print_Area</vt:lpstr>
      <vt:lpstr>'收益法（汇总）'!Print_Area</vt:lpstr>
      <vt:lpstr>'收益法-B'!Print_Area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2021-12-28T03:20:27Z</dcterms:modified>
</cp:coreProperties>
</file>