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345B7C27-0276-4909-92CA-B7BF44BB31F4}" xr6:coauthVersionLast="47" xr6:coauthVersionMax="47" xr10:uidLastSave="{00000000-0000-0000-0000-000000000000}"/>
  <bookViews>
    <workbookView xWindow="-120" yWindow="-120" windowWidth="19440" windowHeight="15000" tabRatio="899" firstSheet="15"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表-C2" sheetId="80" r:id="rId46"/>
    <sheet name="成本法-C2" sheetId="79" r:id="rId47"/>
    <sheet name="收益法-C2" sheetId="81" r:id="rId48"/>
    <sheet name="Sheet2" sheetId="78"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46">'成本法-C2'!$A$1:$G$57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45">'结果表-C2'!$A$1:$I$127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47">'收益法-C2'!$A$1:$F$43,'收益法-C2'!$H$3:$M$29,'收益法-C2'!$A$46:$F$71,'收益法-C2'!$I$46:$N$65</definedName>
    <definedName name="_xlnm.Print_Area" localSheetId="14">'数据-汇总表'!$A$1:$P$32</definedName>
    <definedName name="_xlnm.Print_Area" localSheetId="33">'土地比较法-工业'!$A$1:$K$61,'土地比较法-工业'!$A$64:$M$121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9" i="77" l="1"/>
  <c r="Q7" i="1" l="1"/>
  <c r="U7" i="1"/>
  <c r="C12" i="77" l="1"/>
  <c r="Q72" i="81" l="1"/>
  <c r="Q59" i="81"/>
  <c r="K59" i="81"/>
  <c r="P61" i="81" s="1"/>
  <c r="F59" i="81"/>
  <c r="Q58" i="81"/>
  <c r="Q51" i="81"/>
  <c r="J50" i="81"/>
  <c r="M47" i="81"/>
  <c r="D46" i="81"/>
  <c r="F33" i="81"/>
  <c r="F61" i="81" s="1"/>
  <c r="F31" i="81"/>
  <c r="F23" i="81"/>
  <c r="D24" i="81" s="1"/>
  <c r="D22" i="81"/>
  <c r="F21" i="81"/>
  <c r="F20" i="81"/>
  <c r="M19" i="81"/>
  <c r="F18" i="81"/>
  <c r="M17" i="81"/>
  <c r="F17" i="81"/>
  <c r="F15" i="81"/>
  <c r="D23" i="81" l="1"/>
  <c r="P74" i="81"/>
  <c r="I14" i="3" l="1"/>
  <c r="I13" i="3"/>
  <c r="A3" i="3"/>
  <c r="J7" i="1" l="1"/>
  <c r="I7" i="1"/>
  <c r="H7" i="1"/>
  <c r="F20" i="6"/>
  <c r="A120" i="80"/>
  <c r="H111" i="80"/>
  <c r="D126" i="80" s="1"/>
  <c r="D127" i="80" s="1"/>
  <c r="E111" i="80"/>
  <c r="H112" i="80" s="1"/>
  <c r="E109" i="80"/>
  <c r="A124" i="80" s="1"/>
  <c r="E107" i="80"/>
  <c r="A122" i="80" s="1"/>
  <c r="H106" i="80"/>
  <c r="H103" i="80" s="1"/>
  <c r="D120" i="80" s="1"/>
  <c r="H105" i="80"/>
  <c r="H104" i="80"/>
  <c r="D101" i="80"/>
  <c r="C101" i="80"/>
  <c r="C91" i="80"/>
  <c r="E90" i="80"/>
  <c r="D89" i="80"/>
  <c r="C89" i="80" s="1"/>
  <c r="C87" i="80" s="1"/>
  <c r="H77" i="80"/>
  <c r="D77" i="80"/>
  <c r="C76" i="80"/>
  <c r="F59" i="80"/>
  <c r="E59" i="80"/>
  <c r="N55" i="80" s="1"/>
  <c r="F56" i="80"/>
  <c r="O55" i="80"/>
  <c r="K55" i="80"/>
  <c r="J55" i="80"/>
  <c r="I55" i="80"/>
  <c r="F55" i="80"/>
  <c r="O53" i="80" s="1"/>
  <c r="O54" i="80"/>
  <c r="N54" i="80"/>
  <c r="N53" i="80"/>
  <c r="K49" i="80"/>
  <c r="E48" i="80"/>
  <c r="N52" i="80" s="1"/>
  <c r="D48" i="80"/>
  <c r="M52" i="80" s="1"/>
  <c r="F33" i="80"/>
  <c r="D27" i="80"/>
  <c r="C25" i="80"/>
  <c r="C24" i="80"/>
  <c r="D17" i="80"/>
  <c r="C17" i="80"/>
  <c r="L4" i="80"/>
  <c r="K4" i="80"/>
  <c r="H1" i="80"/>
  <c r="F38" i="79"/>
  <c r="E37" i="79"/>
  <c r="F36" i="79"/>
  <c r="F35" i="79"/>
  <c r="F21" i="79"/>
  <c r="F40" i="79" s="1"/>
  <c r="F20" i="79"/>
  <c r="F39" i="79" s="1"/>
  <c r="C19" i="79"/>
  <c r="E10" i="79"/>
  <c r="E9" i="79"/>
  <c r="F7" i="79"/>
  <c r="O3" i="78"/>
  <c r="O4" i="78"/>
  <c r="O5" i="78"/>
  <c r="O6" i="78"/>
  <c r="E46" i="39" s="1"/>
  <c r="O7" i="78"/>
  <c r="O8" i="78"/>
  <c r="O9" i="78"/>
  <c r="O10" i="78"/>
  <c r="G46" i="39" s="1"/>
  <c r="O11" i="78"/>
  <c r="O12" i="78"/>
  <c r="O13" i="78"/>
  <c r="O14" i="78"/>
  <c r="I46" i="39" s="1"/>
  <c r="O15" i="78"/>
  <c r="O16" i="78"/>
  <c r="O17" i="78"/>
  <c r="O18" i="78"/>
  <c r="O19" i="78"/>
  <c r="O20" i="78"/>
  <c r="O2" i="78"/>
  <c r="N6" i="1"/>
  <c r="N7" i="1" s="1"/>
  <c r="Y7" i="1" s="1"/>
  <c r="F9" i="77"/>
  <c r="F19" i="6"/>
  <c r="I38" i="39"/>
  <c r="G38" i="39"/>
  <c r="E38" i="39"/>
  <c r="C38" i="39"/>
  <c r="I7" i="39"/>
  <c r="G7" i="39"/>
  <c r="E7" i="39"/>
  <c r="I5" i="39"/>
  <c r="G5" i="39"/>
  <c r="E5" i="39"/>
  <c r="D11" i="77"/>
  <c r="D8" i="77"/>
  <c r="F6" i="77" s="1"/>
  <c r="E2" i="79"/>
  <c r="Y6" i="1" l="1"/>
  <c r="E6" i="77"/>
  <c r="F7" i="77"/>
  <c r="D12" i="77"/>
  <c r="D13" i="77" s="1"/>
  <c r="F10" i="77"/>
  <c r="A126" i="80"/>
  <c r="C18" i="80"/>
  <c r="D18" i="80" s="1"/>
  <c r="K120" i="80"/>
  <c r="D121" i="80"/>
  <c r="C92" i="80"/>
  <c r="C94" i="80"/>
  <c r="H109" i="80"/>
  <c r="C21" i="79"/>
  <c r="C40" i="79"/>
  <c r="AH5" i="71"/>
  <c r="AG5" i="71"/>
  <c r="AE5" i="71"/>
  <c r="AF5" i="71" s="1"/>
  <c r="AD5" i="71"/>
  <c r="Q5" i="71"/>
  <c r="P5" i="71"/>
  <c r="O5" i="71"/>
  <c r="N5" i="71"/>
  <c r="D124" i="80" l="1"/>
  <c r="D125" i="80" s="1"/>
  <c r="H110" i="80"/>
  <c r="AH6" i="7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B20" i="71" s="1"/>
  <c r="B19" i="71" s="1"/>
  <c r="Q20" i="71"/>
  <c r="P20" i="71"/>
  <c r="E20" i="71" s="1"/>
  <c r="O20" i="71"/>
  <c r="C20" i="71"/>
  <c r="C19" i="71" s="1"/>
  <c r="Q21" i="71"/>
  <c r="F20" i="71"/>
  <c r="F19" i="71" s="1"/>
  <c r="F18" i="71" s="1"/>
  <c r="P21" i="71"/>
  <c r="E19" i="71"/>
  <c r="E18" i="71" s="1"/>
  <c r="O21" i="71"/>
  <c r="N21" i="71"/>
  <c r="V20"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2" i="71"/>
  <c r="P22" i="71"/>
  <c r="O22" i="71"/>
  <c r="N22"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I9" i="43"/>
  <c r="AI12" i="43" s="1"/>
  <c r="AH9" i="43"/>
  <c r="AG9" i="43"/>
  <c r="AF9" i="43"/>
  <c r="AF12" i="43" s="1"/>
  <c r="AE9" i="43"/>
  <c r="AE12" i="43" s="1"/>
  <c r="AD9" i="43"/>
  <c r="AC9" i="43"/>
  <c r="AB9" i="43"/>
  <c r="AA9" i="43"/>
  <c r="AA12" i="43" s="1"/>
  <c r="Z9" i="43"/>
  <c r="AA10" i="43"/>
  <c r="AI10" i="43"/>
  <c r="K49" i="9"/>
  <c r="E107" i="9"/>
  <c r="A122" i="9" s="1"/>
  <c r="A8" i="5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s="1"/>
  <c r="I19" i="43"/>
  <c r="D85" i="71"/>
  <c r="F84" i="71"/>
  <c r="F83" i="71" s="1"/>
  <c r="E84" i="71"/>
  <c r="E83" i="71" s="1"/>
  <c r="E82" i="71" s="1"/>
  <c r="C84" i="71"/>
  <c r="B84" i="71"/>
  <c r="B83" i="71" s="1"/>
  <c r="F82" i="71"/>
  <c r="B82" i="71"/>
  <c r="D81" i="71"/>
  <c r="F80" i="71"/>
  <c r="F79" i="71" s="1"/>
  <c r="E80" i="71"/>
  <c r="E79" i="71" s="1"/>
  <c r="E78" i="71" s="1"/>
  <c r="C80" i="71"/>
  <c r="D80" i="71" s="1"/>
  <c r="B80" i="71"/>
  <c r="B79" i="71" s="1"/>
  <c r="F78" i="7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s="1"/>
  <c r="E64" i="71"/>
  <c r="C64" i="71"/>
  <c r="B64" i="71"/>
  <c r="F63" i="7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c r="C55" i="71" s="1"/>
  <c r="D55"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C47"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C43" i="71" s="1"/>
  <c r="D43" i="71" s="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C39" i="71" s="1"/>
  <c r="C40" i="71" s="1"/>
  <c r="N37" i="71"/>
  <c r="B38" i="71" s="1"/>
  <c r="B39" i="71" s="1"/>
  <c r="B40" i="71" s="1"/>
  <c r="S40" i="71" s="1"/>
  <c r="D37" i="71"/>
  <c r="Q36" i="71"/>
  <c r="P36" i="71"/>
  <c r="O36" i="71"/>
  <c r="N36" i="71"/>
  <c r="Q35" i="71"/>
  <c r="AB35" i="71" s="1"/>
  <c r="P35" i="71"/>
  <c r="AA35" i="71" s="1"/>
  <c r="O35" i="71"/>
  <c r="Y35" i="71" s="1"/>
  <c r="Z35" i="71" s="1"/>
  <c r="N35" i="71"/>
  <c r="X35" i="71" s="1"/>
  <c r="Q34" i="71"/>
  <c r="AB34" i="71" s="1"/>
  <c r="P34" i="71"/>
  <c r="AA34" i="71" s="1"/>
  <c r="O34" i="71"/>
  <c r="N34" i="71"/>
  <c r="Q33" i="71"/>
  <c r="P33" i="71"/>
  <c r="O33" i="71"/>
  <c r="N33" i="71"/>
  <c r="B34" i="71" s="1"/>
  <c r="B35" i="71" s="1"/>
  <c r="D33" i="71"/>
  <c r="Q32" i="71"/>
  <c r="P32" i="71"/>
  <c r="O32" i="71"/>
  <c r="N32" i="71"/>
  <c r="Q31" i="71"/>
  <c r="AB31" i="71" s="1"/>
  <c r="P31" i="71"/>
  <c r="O31" i="71"/>
  <c r="N31" i="71"/>
  <c r="X31" i="71" s="1"/>
  <c r="Q30" i="71"/>
  <c r="P30" i="71"/>
  <c r="O30" i="71"/>
  <c r="Y30" i="71"/>
  <c r="Z30" i="71" s="1"/>
  <c r="N30" i="71"/>
  <c r="Q29" i="71"/>
  <c r="F30" i="71" s="1"/>
  <c r="F31" i="71" s="1"/>
  <c r="F32" i="71" s="1"/>
  <c r="V32" i="71" s="1"/>
  <c r="P29" i="71"/>
  <c r="O29" i="71"/>
  <c r="Y26" i="71" s="1"/>
  <c r="Z26" i="71" s="1"/>
  <c r="N29" i="71"/>
  <c r="D29" i="71"/>
  <c r="Q28" i="71"/>
  <c r="P28" i="71"/>
  <c r="AA28" i="71" s="1"/>
  <c r="O28" i="71"/>
  <c r="Y28" i="71"/>
  <c r="Z28" i="71" s="1"/>
  <c r="N28" i="71"/>
  <c r="Q27" i="71"/>
  <c r="AB27" i="71" s="1"/>
  <c r="P27" i="71"/>
  <c r="O27" i="71"/>
  <c r="N27" i="71"/>
  <c r="Q26" i="71"/>
  <c r="P26" i="71"/>
  <c r="O26" i="71"/>
  <c r="N26" i="71"/>
  <c r="Q25" i="71"/>
  <c r="F26" i="71" s="1"/>
  <c r="F27" i="71" s="1"/>
  <c r="P25" i="71"/>
  <c r="E26" i="71" s="1"/>
  <c r="O25" i="71"/>
  <c r="N25" i="71"/>
  <c r="D25" i="71"/>
  <c r="O24" i="71"/>
  <c r="C24" i="71" s="1"/>
  <c r="N24" i="71"/>
  <c r="B26" i="71"/>
  <c r="B27" i="71" s="1"/>
  <c r="B30" i="71"/>
  <c r="B31" i="71" s="1"/>
  <c r="E34" i="71"/>
  <c r="AA33" i="71"/>
  <c r="N64" i="71"/>
  <c r="E30" i="71"/>
  <c r="C26" i="71"/>
  <c r="C27" i="71" s="1"/>
  <c r="D27" i="71" s="1"/>
  <c r="AA27" i="71"/>
  <c r="X30" i="71"/>
  <c r="X32" i="71"/>
  <c r="C34" i="71"/>
  <c r="D34" i="71" s="1"/>
  <c r="X34" i="71"/>
  <c r="Y23" i="71"/>
  <c r="Z23" i="71" s="1"/>
  <c r="B24" i="71"/>
  <c r="B23" i="71" s="1"/>
  <c r="B22" i="71" s="1"/>
  <c r="X24" i="71"/>
  <c r="C35" i="71"/>
  <c r="C36" i="71" s="1"/>
  <c r="D38" i="71"/>
  <c r="D42" i="71"/>
  <c r="D46" i="71"/>
  <c r="P24" i="71"/>
  <c r="E51" i="71"/>
  <c r="E52" i="71" s="1"/>
  <c r="U52" i="71" s="1"/>
  <c r="E56" i="71"/>
  <c r="U56" i="71" s="1"/>
  <c r="U64" i="71"/>
  <c r="Q24" i="71"/>
  <c r="AB21" i="71" s="1"/>
  <c r="D54" i="71"/>
  <c r="T64" i="71"/>
  <c r="Q64" i="71"/>
  <c r="C67" i="71"/>
  <c r="E67" i="71"/>
  <c r="E66" i="71" s="1"/>
  <c r="D68" i="71"/>
  <c r="C71" i="71"/>
  <c r="C70" i="71" s="1"/>
  <c r="D70" i="71" s="1"/>
  <c r="C75" i="71"/>
  <c r="D76" i="71"/>
  <c r="F24" i="71"/>
  <c r="F23" i="71" s="1"/>
  <c r="F22" i="71" s="1"/>
  <c r="E24" i="71"/>
  <c r="E23" i="71"/>
  <c r="E22" i="71" s="1"/>
  <c r="AA21" i="71"/>
  <c r="D75" i="71"/>
  <c r="C74" i="71"/>
  <c r="D74" i="71" s="1"/>
  <c r="D67" i="71"/>
  <c r="C66" i="71"/>
  <c r="D66" i="71" s="1"/>
  <c r="C56" i="71"/>
  <c r="C48" i="71"/>
  <c r="D47" i="71"/>
  <c r="D39" i="71"/>
  <c r="D35" i="71"/>
  <c r="C28" i="71"/>
  <c r="T28" i="71" s="1"/>
  <c r="V24" i="71"/>
  <c r="D28" i="71"/>
  <c r="T48" i="71"/>
  <c r="D48" i="71"/>
  <c r="T56" i="71"/>
  <c r="D5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s="1"/>
  <c r="F77" i="37" s="1"/>
  <c r="G77" i="37" s="1"/>
  <c r="C21" i="37"/>
  <c r="Q21" i="34"/>
  <c r="Z21" i="34" s="1"/>
  <c r="D84" i="34"/>
  <c r="E84" i="34" s="1"/>
  <c r="F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AB25" i="40" s="1"/>
  <c r="J25" i="40"/>
  <c r="AC25" i="40" s="1"/>
  <c r="H29" i="39"/>
  <c r="J29" i="39"/>
  <c r="AC29" i="39" s="1"/>
  <c r="J18" i="36"/>
  <c r="F68" i="35"/>
  <c r="G68" i="35" s="1"/>
  <c r="H18" i="35"/>
  <c r="S18" i="35"/>
  <c r="J18" i="35"/>
  <c r="AC18" i="35" s="1"/>
  <c r="H21" i="37"/>
  <c r="AB21" i="37" s="1"/>
  <c r="F21" i="37"/>
  <c r="S21" i="37" s="1"/>
  <c r="H21" i="34"/>
  <c r="U21" i="34" s="1"/>
  <c r="F83" i="33"/>
  <c r="H21" i="33"/>
  <c r="AB21" i="33" s="1"/>
  <c r="F21" i="33"/>
  <c r="S21" i="33" s="1"/>
  <c r="E83" i="21"/>
  <c r="F83" i="21" s="1"/>
  <c r="G83" i="21" s="1"/>
  <c r="S21" i="21"/>
  <c r="H1" i="69"/>
  <c r="W25" i="40"/>
  <c r="U25" i="40"/>
  <c r="AB29" i="39"/>
  <c r="U29" i="39"/>
  <c r="W29" i="39"/>
  <c r="AC18" i="36"/>
  <c r="W18" i="36"/>
  <c r="U21" i="37"/>
  <c r="AA21" i="37"/>
  <c r="AB21" i="34"/>
  <c r="U21" i="33"/>
  <c r="AA21" i="33"/>
  <c r="AB18" i="35"/>
  <c r="U18" i="35"/>
  <c r="W18" i="35"/>
  <c r="J21" i="37"/>
  <c r="W21" i="37" s="1"/>
  <c r="G84" i="34"/>
  <c r="J21" i="34"/>
  <c r="AC21" i="34" s="1"/>
  <c r="G83" i="33"/>
  <c r="J21" i="33"/>
  <c r="AC21" i="33" s="1"/>
  <c r="H21" i="21"/>
  <c r="AB21" i="21" s="1"/>
  <c r="F38" i="69"/>
  <c r="E37" i="69"/>
  <c r="F36" i="69"/>
  <c r="F35" i="69"/>
  <c r="F21" i="69"/>
  <c r="F40" i="69" s="1"/>
  <c r="F20" i="69"/>
  <c r="F39" i="69" s="1"/>
  <c r="E10" i="69"/>
  <c r="E9" i="69"/>
  <c r="C7" i="69"/>
  <c r="AC21" i="37"/>
  <c r="W21" i="34"/>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B1" i="4"/>
  <c r="C27" i="66"/>
  <c r="C31" i="66" s="1"/>
  <c r="I23" i="66"/>
  <c r="D20" i="66"/>
  <c r="I19" i="66"/>
  <c r="I18" i="66"/>
  <c r="I17" i="66"/>
  <c r="I20" i="66" s="1"/>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D7" i="1"/>
  <c r="D8" i="1"/>
  <c r="A7" i="1"/>
  <c r="B7" i="1" s="1"/>
  <c r="E7" i="1" s="1"/>
  <c r="A8" i="1"/>
  <c r="B8" i="1" s="1"/>
  <c r="E8" i="1" s="1"/>
  <c r="A9" i="1"/>
  <c r="A10" i="1"/>
  <c r="A11" i="1"/>
  <c r="A12" i="1"/>
  <c r="A13" i="1"/>
  <c r="K13" i="1" s="1"/>
  <c r="M13" i="1" s="1"/>
  <c r="O13" i="1" s="1"/>
  <c r="P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F34" i="79"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7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s="1"/>
  <c r="H22" i="35"/>
  <c r="AB22" i="35" s="1"/>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s="1"/>
  <c r="H40" i="39"/>
  <c r="AB40" i="39" s="1"/>
  <c r="H39" i="39"/>
  <c r="U39" i="39"/>
  <c r="S38" i="39"/>
  <c r="S34" i="39"/>
  <c r="H34" i="39"/>
  <c r="U34" i="39"/>
  <c r="E109" i="39"/>
  <c r="H31" i="39"/>
  <c r="AB31" i="39" s="1"/>
  <c r="F31" i="39"/>
  <c r="AA31" i="39" s="1"/>
  <c r="E101" i="39"/>
  <c r="F101" i="39" s="1"/>
  <c r="G101" i="39" s="1"/>
  <c r="H19" i="39"/>
  <c r="AB19" i="39"/>
  <c r="F19" i="39"/>
  <c r="AA19" i="39"/>
  <c r="H17" i="39"/>
  <c r="AB17" i="39"/>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c r="F27" i="39"/>
  <c r="F11" i="21"/>
  <c r="S11" i="21" s="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s="1"/>
  <c r="J11" i="40"/>
  <c r="W11" i="40" s="1"/>
  <c r="AB12" i="33"/>
  <c r="AC12" i="34"/>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AB11" i="35"/>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G507" i="3"/>
  <c r="G505" i="3"/>
  <c r="G503" i="3"/>
  <c r="G501" i="3"/>
  <c r="G499" i="3"/>
  <c r="G497" i="3"/>
  <c r="G495" i="3"/>
  <c r="BQ507" i="3"/>
  <c r="BL507" i="3"/>
  <c r="AZ507" i="3" s="1"/>
  <c r="BQ505" i="3"/>
  <c r="BL505" i="3" s="1"/>
  <c r="AZ505" i="3" s="1"/>
  <c r="BQ503" i="3"/>
  <c r="BL503" i="3" s="1"/>
  <c r="AZ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c r="F15" i="39"/>
  <c r="AA15" i="39"/>
  <c r="H15" i="39"/>
  <c r="U15" i="39"/>
  <c r="J15" i="39"/>
  <c r="W15" i="39"/>
  <c r="H41" i="39"/>
  <c r="W27" i="39"/>
  <c r="AB34" i="39"/>
  <c r="U40" i="39"/>
  <c r="S42" i="39"/>
  <c r="W14" i="39"/>
  <c r="W9" i="39"/>
  <c r="W8" i="39"/>
  <c r="J19" i="40"/>
  <c r="AC19" i="40" s="1"/>
  <c r="J50" i="40"/>
  <c r="B54" i="72"/>
  <c r="H103" i="9"/>
  <c r="D8" i="53" s="1"/>
  <c r="B16" i="53"/>
  <c r="B33" i="72" s="1"/>
  <c r="C7" i="37"/>
  <c r="C52" i="37" s="1"/>
  <c r="D52" i="37" s="1"/>
  <c r="C7" i="34"/>
  <c r="C7" i="36"/>
  <c r="C46" i="36" s="1"/>
  <c r="D46" i="36" s="1"/>
  <c r="E46" i="36" s="1"/>
  <c r="F46" i="36" s="1"/>
  <c r="G46" i="36" s="1"/>
  <c r="H46" i="36" s="1"/>
  <c r="I46" i="36" s="1"/>
  <c r="W35" i="40"/>
  <c r="A118" i="9"/>
  <c r="A4" i="52"/>
  <c r="B41" i="72" s="1"/>
  <c r="G4" i="4"/>
  <c r="I4" i="4"/>
  <c r="A2" i="9"/>
  <c r="F59" i="43"/>
  <c r="H62" i="43" s="1"/>
  <c r="AZ20"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AZ345" i="3" s="1"/>
  <c r="BL355" i="3"/>
  <c r="G356" i="3"/>
  <c r="BL357" i="3"/>
  <c r="BA359" i="3"/>
  <c r="AZ359" i="3" s="1"/>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AZ394" i="3" s="1"/>
  <c r="BL394" i="3"/>
  <c r="G113" i="3"/>
  <c r="BA115" i="3"/>
  <c r="AZ115" i="3"/>
  <c r="BL116" i="3"/>
  <c r="AZ116" i="3"/>
  <c r="G117" i="3"/>
  <c r="BA119" i="3"/>
  <c r="BL120" i="3"/>
  <c r="AZ120" i="3" s="1"/>
  <c r="G121" i="3"/>
  <c r="BA123" i="3"/>
  <c r="AZ123" i="3" s="1"/>
  <c r="BL124" i="3"/>
  <c r="AZ124" i="3" s="1"/>
  <c r="G125" i="3"/>
  <c r="BA127" i="3"/>
  <c r="AZ127" i="3" s="1"/>
  <c r="BL128" i="3"/>
  <c r="G129" i="3"/>
  <c r="BA131" i="3"/>
  <c r="AZ131" i="3" s="1"/>
  <c r="BL132" i="3"/>
  <c r="AZ132" i="3" s="1"/>
  <c r="G133" i="3"/>
  <c r="BA135" i="3"/>
  <c r="BL136" i="3"/>
  <c r="G137" i="3"/>
  <c r="BA139" i="3"/>
  <c r="BL140" i="3"/>
  <c r="AZ140" i="3" s="1"/>
  <c r="G141" i="3"/>
  <c r="BA143" i="3"/>
  <c r="BL144" i="3"/>
  <c r="G145" i="3"/>
  <c r="BA147" i="3"/>
  <c r="BL148" i="3"/>
  <c r="AZ148" i="3"/>
  <c r="G149" i="3"/>
  <c r="BA151" i="3"/>
  <c r="AZ151" i="3" s="1"/>
  <c r="BL152" i="3"/>
  <c r="G153" i="3"/>
  <c r="BA155" i="3"/>
  <c r="AZ155" i="3" s="1"/>
  <c r="BL156" i="3"/>
  <c r="AZ156" i="3" s="1"/>
  <c r="G157" i="3"/>
  <c r="BA159" i="3"/>
  <c r="BL160" i="3"/>
  <c r="G161" i="3"/>
  <c r="BA163" i="3"/>
  <c r="BL164" i="3"/>
  <c r="AZ164" i="3" s="1"/>
  <c r="G165" i="3"/>
  <c r="BA167" i="3"/>
  <c r="AZ167" i="3" s="1"/>
  <c r="BL168" i="3"/>
  <c r="AZ168" i="3" s="1"/>
  <c r="G169" i="3"/>
  <c r="BA171" i="3"/>
  <c r="AZ171" i="3" s="1"/>
  <c r="BL172" i="3"/>
  <c r="G173" i="3"/>
  <c r="BA175" i="3"/>
  <c r="AZ175" i="3"/>
  <c r="BL176" i="3"/>
  <c r="G177" i="3"/>
  <c r="BA179" i="3"/>
  <c r="AZ179" i="3"/>
  <c r="BL180" i="3"/>
  <c r="AZ180" i="3"/>
  <c r="G181" i="3"/>
  <c r="BA183" i="3"/>
  <c r="AZ183" i="3" s="1"/>
  <c r="BL184" i="3"/>
  <c r="AZ184" i="3" s="1"/>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51" i="3"/>
  <c r="AZ55" i="3"/>
  <c r="AZ59" i="3"/>
  <c r="AZ67" i="3"/>
  <c r="AZ71" i="3"/>
  <c r="AZ83" i="3"/>
  <c r="AZ136" i="3"/>
  <c r="AZ144" i="3"/>
  <c r="AZ160" i="3"/>
  <c r="AZ176" i="3"/>
  <c r="AZ200" i="3"/>
  <c r="AZ85" i="3"/>
  <c r="AZ93" i="3"/>
  <c r="AZ101"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AZ382" i="3" s="1"/>
  <c r="G383" i="3"/>
  <c r="G386" i="3"/>
  <c r="BL387" i="3"/>
  <c r="BA389" i="3"/>
  <c r="AZ389" i="3" s="1"/>
  <c r="BA390" i="3"/>
  <c r="BL390" i="3"/>
  <c r="G391" i="3"/>
  <c r="G394" i="3"/>
  <c r="AZ154" i="3"/>
  <c r="AZ166" i="3"/>
  <c r="AZ174" i="3"/>
  <c r="AZ178" i="3"/>
  <c r="AZ182" i="3"/>
  <c r="AZ190" i="3"/>
  <c r="AZ194" i="3"/>
  <c r="AZ198"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BL331" i="3"/>
  <c r="AZ331" i="3"/>
  <c r="G332" i="3"/>
  <c r="BA334" i="3"/>
  <c r="AZ334" i="3" s="1"/>
  <c r="BL335" i="3"/>
  <c r="G336" i="3"/>
  <c r="BA338" i="3"/>
  <c r="AZ338" i="3" s="1"/>
  <c r="BL339" i="3"/>
  <c r="G340" i="3"/>
  <c r="BL343" i="3"/>
  <c r="AZ343" i="3" s="1"/>
  <c r="G344" i="3"/>
  <c r="G348" i="3"/>
  <c r="G355" i="3"/>
  <c r="AZ214" i="3"/>
  <c r="AZ222" i="3"/>
  <c r="AZ319" i="3"/>
  <c r="G342" i="3"/>
  <c r="BL345" i="3"/>
  <c r="G346" i="3"/>
  <c r="BL349" i="3"/>
  <c r="AZ349" i="3" s="1"/>
  <c r="BL352" i="3"/>
  <c r="G353" i="3"/>
  <c r="BA357" i="3"/>
  <c r="AZ357" i="3" s="1"/>
  <c r="BL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09"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E8" i="6" s="1"/>
  <c r="BR5" i="3"/>
  <c r="G28" i="6" s="1"/>
  <c r="AZ380" i="3"/>
  <c r="AZ388" i="3"/>
  <c r="AZ499" i="3"/>
  <c r="AZ509" i="3"/>
  <c r="G509" i="3"/>
  <c r="BL493" i="3"/>
  <c r="AZ493" i="3" s="1"/>
  <c r="AZ491" i="3"/>
  <c r="AZ390" i="3"/>
  <c r="U36" i="40"/>
  <c r="F36" i="43"/>
  <c r="F81" i="43"/>
  <c r="H83" i="43" s="1"/>
  <c r="H113" i="43"/>
  <c r="F48" i="43"/>
  <c r="H52" i="43" s="1"/>
  <c r="F70" i="43"/>
  <c r="H73" i="43" s="1"/>
  <c r="M11" i="43"/>
  <c r="D17" i="43"/>
  <c r="F39" i="43"/>
  <c r="I17" i="43"/>
  <c r="F35" i="43"/>
  <c r="J17" i="43"/>
  <c r="F6" i="1"/>
  <c r="U17" i="39"/>
  <c r="S14" i="35"/>
  <c r="U43" i="21"/>
  <c r="U35" i="21"/>
  <c r="AC35" i="21"/>
  <c r="U10" i="21"/>
  <c r="G8" i="1"/>
  <c r="G10" i="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15" i="3"/>
  <c r="AZ227" i="3"/>
  <c r="AZ240" i="3"/>
  <c r="AZ243" i="3"/>
  <c r="AZ256" i="3"/>
  <c r="AZ259" i="3"/>
  <c r="AZ280" i="3"/>
  <c r="AZ288" i="3"/>
  <c r="AZ114" i="3"/>
  <c r="AZ130" i="3"/>
  <c r="AZ21" i="3"/>
  <c r="AZ42" i="3"/>
  <c r="AZ53" i="3"/>
  <c r="AZ58" i="3"/>
  <c r="AZ61" i="3"/>
  <c r="AZ66" i="3"/>
  <c r="AZ69" i="3"/>
  <c r="AZ72" i="3"/>
  <c r="AZ74" i="3"/>
  <c r="AZ82" i="3"/>
  <c r="AZ86" i="3"/>
  <c r="AZ94"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K6" i="1"/>
  <c r="G29" i="6"/>
  <c r="AC26" i="33"/>
  <c r="W26" i="33"/>
  <c r="W27" i="34"/>
  <c r="AC27" i="34"/>
  <c r="AB34" i="36"/>
  <c r="U34" i="36"/>
  <c r="AB33" i="36"/>
  <c r="U33" i="36"/>
  <c r="AC12" i="39"/>
  <c r="W12" i="39"/>
  <c r="AC39" i="40"/>
  <c r="W39" i="40"/>
  <c r="W12" i="33"/>
  <c r="AC12" i="33"/>
  <c r="AA32" i="36"/>
  <c r="S32" i="36"/>
  <c r="AZ408" i="3"/>
  <c r="AZ437" i="3"/>
  <c r="AZ441" i="3"/>
  <c r="AA39" i="34"/>
  <c r="F28" i="6"/>
  <c r="BL14" i="3"/>
  <c r="U30" i="33"/>
  <c r="AC13" i="34"/>
  <c r="AA47" i="34"/>
  <c r="W28" i="37"/>
  <c r="S19" i="39"/>
  <c r="F12" i="33"/>
  <c r="H12" i="39"/>
  <c r="AB12" i="39" s="1"/>
  <c r="F39" i="40"/>
  <c r="BA14" i="3"/>
  <c r="AZ14" i="3" s="1"/>
  <c r="AZ213" i="3"/>
  <c r="AZ224" i="3"/>
  <c r="AZ238" i="3"/>
  <c r="AZ254" i="3"/>
  <c r="AZ281" i="3"/>
  <c r="AZ286" i="3"/>
  <c r="AZ149" i="3"/>
  <c r="AZ173" i="3"/>
  <c r="AZ189" i="3"/>
  <c r="AZ19" i="3"/>
  <c r="S12" i="1"/>
  <c r="AQ12" i="1" s="1"/>
  <c r="R12" i="1"/>
  <c r="B12" i="1"/>
  <c r="E12" i="1" s="1"/>
  <c r="S10" i="1"/>
  <c r="AQ10" i="1" s="1"/>
  <c r="R10" i="1"/>
  <c r="B10" i="1"/>
  <c r="E10" i="1"/>
  <c r="AZ80" i="3"/>
  <c r="AZ84" i="3"/>
  <c r="AZ88" i="3"/>
  <c r="K12" i="1"/>
  <c r="M12" i="1" s="1"/>
  <c r="S13" i="1"/>
  <c r="AR13" i="1" s="1"/>
  <c r="R13" i="1"/>
  <c r="S11" i="1"/>
  <c r="AQ11" i="1" s="1"/>
  <c r="R11" i="1"/>
  <c r="S9" i="1"/>
  <c r="AR9" i="1" s="1"/>
  <c r="R9" i="1"/>
  <c r="J51" i="67"/>
  <c r="C42" i="1"/>
  <c r="H100" i="43"/>
  <c r="C30" i="66"/>
  <c r="AC34" i="33"/>
  <c r="B41" i="1"/>
  <c r="S22" i="31"/>
  <c r="J100" i="43"/>
  <c r="AB37" i="40"/>
  <c r="S35" i="40"/>
  <c r="U35" i="40"/>
  <c r="AC36" i="40"/>
  <c r="W38" i="40"/>
  <c r="AA32" i="40"/>
  <c r="S17" i="40"/>
  <c r="S23" i="40"/>
  <c r="AC17" i="40"/>
  <c r="AC15" i="40"/>
  <c r="AB27" i="40"/>
  <c r="S30" i="40"/>
  <c r="AA19" i="40"/>
  <c r="S28"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H22" i="43"/>
  <c r="H101" i="43"/>
  <c r="H102" i="43" s="1"/>
  <c r="M101" i="43"/>
  <c r="M109" i="43" s="1"/>
  <c r="E101" i="43"/>
  <c r="E102" i="43" s="1"/>
  <c r="E32" i="6"/>
  <c r="L19" i="6"/>
  <c r="G1" i="68"/>
  <c r="K1" i="12"/>
  <c r="AR12" i="1"/>
  <c r="T12" i="1"/>
  <c r="AR10" i="1"/>
  <c r="E19" i="69"/>
  <c r="E19" i="68"/>
  <c r="E19" i="11"/>
  <c r="E1" i="73"/>
  <c r="G22" i="69"/>
  <c r="G22" i="68"/>
  <c r="G26" i="12"/>
  <c r="G22" i="11"/>
  <c r="C100" i="43"/>
  <c r="E11" i="43"/>
  <c r="E10" i="43"/>
  <c r="E9" i="43"/>
  <c r="E8" i="43"/>
  <c r="C7" i="43" s="1"/>
  <c r="E81" i="43"/>
  <c r="B79" i="43" s="1"/>
  <c r="AH11" i="43"/>
  <c r="AD11" i="43"/>
  <c r="Z11" i="43"/>
  <c r="AI11" i="43"/>
  <c r="AI13" i="43" s="1"/>
  <c r="AE11" i="43"/>
  <c r="AE13" i="43" s="1"/>
  <c r="AC11" i="43"/>
  <c r="Y11" i="43"/>
  <c r="Y13"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D68" i="39" s="1"/>
  <c r="C7" i="35"/>
  <c r="C7" i="33"/>
  <c r="C58" i="33" s="1"/>
  <c r="C7" i="21"/>
  <c r="C58" i="21" s="1"/>
  <c r="C7" i="40"/>
  <c r="C63" i="40" s="1"/>
  <c r="M47" i="9"/>
  <c r="G19" i="43"/>
  <c r="O19" i="43" s="1"/>
  <c r="C19" i="43" s="1"/>
  <c r="T35" i="4"/>
  <c r="A19" i="51"/>
  <c r="B14" i="72" s="1"/>
  <c r="C59" i="34"/>
  <c r="D59" i="34" s="1"/>
  <c r="E59" i="34" s="1"/>
  <c r="F59" i="34" s="1"/>
  <c r="G59" i="34" s="1"/>
  <c r="H59" i="34" s="1"/>
  <c r="A4" i="51"/>
  <c r="B6" i="72" s="1"/>
  <c r="C48" i="35"/>
  <c r="D48" i="35" s="1"/>
  <c r="C4" i="12"/>
  <c r="H66" i="43"/>
  <c r="H65" i="43"/>
  <c r="H64" i="43"/>
  <c r="H63" i="43"/>
  <c r="H55" i="43"/>
  <c r="H56" i="43"/>
  <c r="H72" i="43"/>
  <c r="L20" i="6"/>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W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F29" i="21"/>
  <c r="S29" i="21" s="1"/>
  <c r="F13" i="21"/>
  <c r="AA13" i="21" s="1"/>
  <c r="AC38" i="21"/>
  <c r="H32" i="21"/>
  <c r="AB32" i="21" s="1"/>
  <c r="H9" i="21"/>
  <c r="U9" i="21" s="1"/>
  <c r="J9" i="21"/>
  <c r="W9" i="21" s="1"/>
  <c r="J32" i="21"/>
  <c r="AC32" i="21" s="1"/>
  <c r="F32" i="21"/>
  <c r="AA32" i="21" s="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1" i="1"/>
  <c r="D19" i="12"/>
  <c r="C19" i="12" s="1"/>
  <c r="AR11" i="1"/>
  <c r="AA39" i="40"/>
  <c r="S39" i="40"/>
  <c r="S12" i="33"/>
  <c r="AA12" i="33"/>
  <c r="J32" i="39"/>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AC23" i="37" s="1"/>
  <c r="G79" i="37"/>
  <c r="J10" i="37"/>
  <c r="AC10" i="37" s="1"/>
  <c r="I60" i="37"/>
  <c r="G63" i="37"/>
  <c r="H63" i="37" s="1"/>
  <c r="I63" i="37" s="1"/>
  <c r="J63" i="37" s="1"/>
  <c r="K63" i="37" s="1"/>
  <c r="L63" i="37" s="1"/>
  <c r="M63" i="37" s="1"/>
  <c r="H11" i="37"/>
  <c r="AB11" i="37" s="1"/>
  <c r="AB10" i="37"/>
  <c r="U10" i="37"/>
  <c r="G70" i="34"/>
  <c r="H70" i="34" s="1"/>
  <c r="I70" i="34" s="1"/>
  <c r="J70" i="34" s="1"/>
  <c r="K70" i="34" s="1"/>
  <c r="L70" i="34" s="1"/>
  <c r="M70" i="34" s="1"/>
  <c r="H11" i="34"/>
  <c r="AB11" i="34" s="1"/>
  <c r="AB10" i="34"/>
  <c r="U10" i="34"/>
  <c r="J10" i="34"/>
  <c r="AC10" i="34" s="1"/>
  <c r="I67" i="34"/>
  <c r="AB41" i="33"/>
  <c r="U41" i="33"/>
  <c r="W35" i="33"/>
  <c r="AC35" i="33"/>
  <c r="H111" i="33"/>
  <c r="I111" i="33" s="1"/>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AA23" i="33" s="1"/>
  <c r="G85" i="33"/>
  <c r="AC23" i="33"/>
  <c r="W23" i="33"/>
  <c r="AA19" i="33"/>
  <c r="H19" i="33"/>
  <c r="AB19" i="33" s="1"/>
  <c r="G81" i="33"/>
  <c r="G79" i="33"/>
  <c r="H17" i="33"/>
  <c r="U17" i="33" s="1"/>
  <c r="F17" i="33"/>
  <c r="AA17" i="33" s="1"/>
  <c r="W17" i="33"/>
  <c r="AC17" i="33"/>
  <c r="U10" i="33"/>
  <c r="AB10" i="33"/>
  <c r="AC10" i="33"/>
  <c r="W10" i="33"/>
  <c r="AC37" i="21"/>
  <c r="U33" i="21"/>
  <c r="S37" i="21"/>
  <c r="AA23" i="21"/>
  <c r="AB15" i="21"/>
  <c r="J23" i="21"/>
  <c r="AC23" i="21" s="1"/>
  <c r="F85" i="21"/>
  <c r="G85" i="21" s="1"/>
  <c r="H23" i="21"/>
  <c r="U23" i="21" s="1"/>
  <c r="D6" i="52"/>
  <c r="J22" i="43"/>
  <c r="E105" i="43"/>
  <c r="H107" i="43"/>
  <c r="E109" i="43"/>
  <c r="R22" i="31"/>
  <c r="AP7" i="1"/>
  <c r="AC33" i="21"/>
  <c r="S33" i="21"/>
  <c r="AA33" i="21"/>
  <c r="W32" i="21"/>
  <c r="AB9" i="21"/>
  <c r="S32" i="21"/>
  <c r="AC9" i="21"/>
  <c r="U32" i="21"/>
  <c r="AA10" i="21"/>
  <c r="AB32" i="39"/>
  <c r="AC32" i="39"/>
  <c r="W32" i="39"/>
  <c r="AC19" i="37"/>
  <c r="W23" i="37"/>
  <c r="U11" i="37"/>
  <c r="J11" i="37"/>
  <c r="W10" i="37"/>
  <c r="U11" i="34"/>
  <c r="W10" i="34"/>
  <c r="J11" i="34"/>
  <c r="AC36" i="33"/>
  <c r="W36" i="33"/>
  <c r="AB36" i="33"/>
  <c r="AC25" i="33"/>
  <c r="S23" i="33"/>
  <c r="U19" i="33"/>
  <c r="S17" i="33"/>
  <c r="AB17" i="33"/>
  <c r="W23" i="21"/>
  <c r="AC11" i="37"/>
  <c r="W11" i="37"/>
  <c r="W11" i="34"/>
  <c r="AC11" i="34"/>
  <c r="F34" i="11"/>
  <c r="F11" i="12"/>
  <c r="C23" i="12" s="1"/>
  <c r="F34" i="68"/>
  <c r="R8" i="1"/>
  <c r="AE8" i="1"/>
  <c r="AG6" i="1"/>
  <c r="H109" i="9"/>
  <c r="D16" i="53" s="1"/>
  <c r="D124" i="9"/>
  <c r="H14" i="74" s="1"/>
  <c r="B7" i="74" s="1"/>
  <c r="H112" i="9"/>
  <c r="D21" i="53" s="1"/>
  <c r="B39" i="72" s="1"/>
  <c r="H111" i="9"/>
  <c r="D126" i="9" s="1"/>
  <c r="I14" i="74" s="1"/>
  <c r="B8" i="74" s="1"/>
  <c r="D19" i="53"/>
  <c r="B38" i="72" s="1"/>
  <c r="D20" i="53"/>
  <c r="B40" i="7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18" i="71"/>
  <c r="D18" i="71"/>
  <c r="D19" i="71"/>
  <c r="D20" i="71"/>
  <c r="U20" i="71" s="1"/>
  <c r="S20" i="71"/>
  <c r="T20" i="71"/>
  <c r="AB18" i="71"/>
  <c r="X16" i="71"/>
  <c r="X15" i="71"/>
  <c r="AA16" i="71"/>
  <c r="AA15" i="71"/>
  <c r="X19" i="71"/>
  <c r="Y15" i="71"/>
  <c r="Z15" i="71" s="1"/>
  <c r="AB16" i="71"/>
  <c r="AB15" i="71"/>
  <c r="C94" i="9"/>
  <c r="C92" i="9"/>
  <c r="F17" i="71"/>
  <c r="F16" i="71"/>
  <c r="F15" i="71" s="1"/>
  <c r="F14" i="71" s="1"/>
  <c r="F13" i="71" s="1"/>
  <c r="Y16" i="71"/>
  <c r="Z16" i="71" s="1"/>
  <c r="X3" i="71"/>
  <c r="C17" i="71"/>
  <c r="E17" i="71"/>
  <c r="E16" i="71" s="1"/>
  <c r="G20" i="43"/>
  <c r="E41" i="43" s="1"/>
  <c r="C41" i="43" s="1"/>
  <c r="C16" i="71"/>
  <c r="C15" i="71" s="1"/>
  <c r="C14" i="71" s="1"/>
  <c r="C13" i="71" s="1"/>
  <c r="D17" i="71"/>
  <c r="I59" i="34"/>
  <c r="J59" i="34" s="1"/>
  <c r="T16" i="71"/>
  <c r="D16" i="71"/>
  <c r="U16" i="71" s="1"/>
  <c r="F42" i="67"/>
  <c r="M6" i="15"/>
  <c r="M24" i="15"/>
  <c r="M24" i="67"/>
  <c r="M22" i="15"/>
  <c r="F37" i="67"/>
  <c r="F6" i="67"/>
  <c r="E2" i="69"/>
  <c r="F6" i="73"/>
  <c r="M28" i="67"/>
  <c r="F7" i="15"/>
  <c r="J15" i="67"/>
  <c r="D3" i="73"/>
  <c r="E13" i="76"/>
  <c r="E2" i="68"/>
  <c r="D2" i="35"/>
  <c r="C76" i="15"/>
  <c r="M8" i="67"/>
  <c r="M29" i="15"/>
  <c r="E8" i="76"/>
  <c r="B7" i="76"/>
  <c r="F35" i="67"/>
  <c r="C76" i="67"/>
  <c r="M21" i="67"/>
  <c r="M9" i="15"/>
  <c r="F37" i="15"/>
  <c r="F43" i="15"/>
  <c r="D2" i="37"/>
  <c r="L48" i="15"/>
  <c r="E12" i="76"/>
  <c r="M26" i="15"/>
  <c r="B11" i="76"/>
  <c r="D7" i="73"/>
  <c r="F38" i="15"/>
  <c r="M29" i="67"/>
  <c r="F40" i="67"/>
  <c r="AO13" i="1"/>
  <c r="F9" i="67"/>
  <c r="B9" i="76"/>
  <c r="F9" i="15"/>
  <c r="J15" i="15"/>
  <c r="M6" i="67"/>
  <c r="B10" i="76"/>
  <c r="L47" i="15"/>
  <c r="F40" i="15"/>
  <c r="L47" i="67"/>
  <c r="D2" i="36"/>
  <c r="AO10" i="1"/>
  <c r="F26" i="15"/>
  <c r="M22" i="67"/>
  <c r="AO11" i="1"/>
  <c r="F36" i="67"/>
  <c r="F16" i="15"/>
  <c r="AO8" i="1"/>
  <c r="B12" i="76"/>
  <c r="M28" i="15"/>
  <c r="D2" i="33"/>
  <c r="F7" i="67"/>
  <c r="D2" i="21"/>
  <c r="B13" i="76"/>
  <c r="E7" i="76"/>
  <c r="F13" i="67"/>
  <c r="F42" i="15"/>
  <c r="M9" i="67"/>
  <c r="M23" i="15"/>
  <c r="F8" i="15"/>
  <c r="E10" i="76"/>
  <c r="D4" i="73"/>
  <c r="F26" i="67"/>
  <c r="E11" i="76"/>
  <c r="F3" i="73"/>
  <c r="F7" i="73"/>
  <c r="D5" i="73"/>
  <c r="F6" i="15"/>
  <c r="F43" i="67"/>
  <c r="F4" i="73"/>
  <c r="F16" i="67"/>
  <c r="M23" i="67"/>
  <c r="M8" i="15"/>
  <c r="M27" i="67"/>
  <c r="F5" i="73"/>
  <c r="F20" i="31"/>
  <c r="AO12" i="1"/>
  <c r="E9" i="76"/>
  <c r="F13" i="15"/>
  <c r="F38" i="67"/>
  <c r="F8" i="67"/>
  <c r="D6" i="73"/>
  <c r="B8" i="76"/>
  <c r="F41" i="67"/>
  <c r="L48" i="67"/>
  <c r="M27" i="15"/>
  <c r="M26" i="67"/>
  <c r="D2" i="34"/>
  <c r="F36" i="15"/>
  <c r="AO9" i="1"/>
  <c r="G30" i="6" l="1"/>
  <c r="G31" i="6" s="1"/>
  <c r="E28" i="6"/>
  <c r="K14" i="1" s="1"/>
  <c r="M14" i="1" s="1"/>
  <c r="O14" i="1" s="1"/>
  <c r="F48" i="9"/>
  <c r="O52" i="9" s="1"/>
  <c r="F32" i="81"/>
  <c r="F60" i="81" s="1"/>
  <c r="F28" i="81"/>
  <c r="M18" i="81"/>
  <c r="D68" i="80"/>
  <c r="F54" i="80"/>
  <c r="F53" i="80"/>
  <c r="F52" i="80"/>
  <c r="F48" i="80"/>
  <c r="O52" i="80" s="1"/>
  <c r="F30" i="79"/>
  <c r="F48" i="79" s="1"/>
  <c r="F29" i="6"/>
  <c r="AZ342" i="3"/>
  <c r="AA25" i="21"/>
  <c r="AC12" i="37"/>
  <c r="U43" i="33"/>
  <c r="AZ495" i="3"/>
  <c r="AZ513" i="3"/>
  <c r="AZ567" i="3"/>
  <c r="AZ575" i="3"/>
  <c r="AZ511" i="3"/>
  <c r="AZ515" i="3"/>
  <c r="AZ519" i="3"/>
  <c r="AZ565" i="3"/>
  <c r="AZ569" i="3"/>
  <c r="AZ573" i="3"/>
  <c r="AZ577" i="3"/>
  <c r="AZ587" i="3"/>
  <c r="AZ504" i="3"/>
  <c r="AZ508" i="3"/>
  <c r="AZ520" i="3"/>
  <c r="AZ534" i="3"/>
  <c r="AZ542" i="3"/>
  <c r="AZ556" i="3"/>
  <c r="S44" i="34"/>
  <c r="U13" i="33"/>
  <c r="AB45" i="33"/>
  <c r="AA14" i="34"/>
  <c r="AB46" i="34"/>
  <c r="W11" i="36"/>
  <c r="U46" i="33"/>
  <c r="AB23" i="21"/>
  <c r="D15" i="71"/>
  <c r="D14" i="71"/>
  <c r="G17" i="43"/>
  <c r="C16" i="43" s="1"/>
  <c r="H110" i="9"/>
  <c r="D18" i="53" s="1"/>
  <c r="B35" i="72" s="1"/>
  <c r="AC27" i="33"/>
  <c r="S13" i="21"/>
  <c r="AC15" i="21"/>
  <c r="AZ13" i="3"/>
  <c r="AZ583" i="3"/>
  <c r="BL586" i="3"/>
  <c r="AZ586" i="3" s="1"/>
  <c r="BL585" i="3"/>
  <c r="F9" i="34"/>
  <c r="F44" i="39"/>
  <c r="G570" i="3"/>
  <c r="G556" i="3"/>
  <c r="BL550" i="3"/>
  <c r="BA550" i="3"/>
  <c r="G526" i="3"/>
  <c r="M20" i="15"/>
  <c r="F34" i="81"/>
  <c r="F62" i="81" s="1"/>
  <c r="M20" i="81"/>
  <c r="G41" i="69"/>
  <c r="G22" i="79"/>
  <c r="G41" i="79"/>
  <c r="AZ438" i="3"/>
  <c r="AZ443" i="3"/>
  <c r="AZ461" i="3"/>
  <c r="AZ468" i="3"/>
  <c r="AZ479" i="3"/>
  <c r="BA551" i="3"/>
  <c r="AZ551" i="3" s="1"/>
  <c r="BL548" i="3"/>
  <c r="AZ548" i="3" s="1"/>
  <c r="D78" i="9"/>
  <c r="D78" i="80"/>
  <c r="D93" i="80"/>
  <c r="A15" i="62"/>
  <c r="B61" i="72"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AZ463" i="3" s="1"/>
  <c r="BA464" i="3"/>
  <c r="AZ464" i="3" s="1"/>
  <c r="BA465" i="3"/>
  <c r="AZ465" i="3" s="1"/>
  <c r="G468" i="3"/>
  <c r="BL468" i="3"/>
  <c r="G470" i="3"/>
  <c r="BL470" i="3"/>
  <c r="AZ470" i="3" s="1"/>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BL317" i="3"/>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A385" i="3"/>
  <c r="AZ385" i="3" s="1"/>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AZ22" i="3"/>
  <c r="AZ54" i="3"/>
  <c r="AZ95" i="3"/>
  <c r="AA30" i="71"/>
  <c r="AA29" i="71"/>
  <c r="F62" i="71"/>
  <c r="Q63" i="71"/>
  <c r="O64" i="71"/>
  <c r="C63" i="71"/>
  <c r="AB12" i="43"/>
  <c r="AB10" i="43"/>
  <c r="AJ12" i="43"/>
  <c r="AJ10" i="43"/>
  <c r="M56" i="80"/>
  <c r="J56" i="80"/>
  <c r="J57" i="80" s="1"/>
  <c r="J59" i="80" s="1"/>
  <c r="J61" i="80" s="1"/>
  <c r="N56" i="80"/>
  <c r="K56" i="80"/>
  <c r="M56" i="9"/>
  <c r="X22" i="71"/>
  <c r="AA22" i="71"/>
  <c r="AA3" i="71"/>
  <c r="BL41" i="3"/>
  <c r="AZ41" i="3" s="1"/>
  <c r="BL43" i="3"/>
  <c r="AZ43" i="3" s="1"/>
  <c r="BA44" i="3"/>
  <c r="AZ44" i="3" s="1"/>
  <c r="BA45" i="3"/>
  <c r="AZ45" i="3" s="1"/>
  <c r="BL47" i="3"/>
  <c r="AZ47" i="3" s="1"/>
  <c r="BA48" i="3"/>
  <c r="AZ48" i="3" s="1"/>
  <c r="BL50" i="3"/>
  <c r="AZ50" i="3" s="1"/>
  <c r="G53" i="3"/>
  <c r="G54" i="3"/>
  <c r="BL54" i="3"/>
  <c r="G57" i="3"/>
  <c r="G58" i="3"/>
  <c r="G59" i="3"/>
  <c r="G60" i="3"/>
  <c r="BL60" i="3"/>
  <c r="AZ60"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G1" i="81"/>
  <c r="J51" i="15"/>
  <c r="E59" i="43"/>
  <c r="B57" i="43" s="1"/>
  <c r="I15" i="66"/>
  <c r="D1" i="66" s="1"/>
  <c r="E10" i="66" s="1"/>
  <c r="C32" i="66"/>
  <c r="E26" i="66" s="1"/>
  <c r="C51" i="10"/>
  <c r="A13" i="51" s="1"/>
  <c r="B11" i="72" s="1"/>
  <c r="A2" i="80"/>
  <c r="A118" i="80"/>
  <c r="W21" i="33"/>
  <c r="D71" i="71"/>
  <c r="AA23" i="71"/>
  <c r="AB24" i="71"/>
  <c r="C79" i="71"/>
  <c r="E75" i="71"/>
  <c r="E74" i="71" s="1"/>
  <c r="D72" i="71"/>
  <c r="D64" i="71"/>
  <c r="D26" i="71"/>
  <c r="Y21" i="71"/>
  <c r="Z21" i="71" s="1"/>
  <c r="C30" i="71"/>
  <c r="AB25" i="71"/>
  <c r="E31" i="71"/>
  <c r="E32" i="71" s="1"/>
  <c r="U32" i="71" s="1"/>
  <c r="X29" i="71"/>
  <c r="X25" i="71"/>
  <c r="Y25" i="71"/>
  <c r="Z25" i="71" s="1"/>
  <c r="Y24" i="71"/>
  <c r="Z24" i="71" s="1"/>
  <c r="F28" i="71"/>
  <c r="V28" i="71" s="1"/>
  <c r="AA26" i="71"/>
  <c r="AA24" i="71"/>
  <c r="Y32" i="71"/>
  <c r="Z32" i="71" s="1"/>
  <c r="AA31" i="71"/>
  <c r="AA32" i="71"/>
  <c r="Y33" i="71"/>
  <c r="Z33" i="71" s="1"/>
  <c r="F34" i="71"/>
  <c r="F35" i="71" s="1"/>
  <c r="F36" i="71" s="1"/>
  <c r="V36" i="71" s="1"/>
  <c r="AB33" i="71"/>
  <c r="Y34" i="71"/>
  <c r="Z34" i="71" s="1"/>
  <c r="P64" i="71"/>
  <c r="E63" i="71"/>
  <c r="U72" i="71"/>
  <c r="E71" i="71"/>
  <c r="E70" i="71" s="1"/>
  <c r="D84" i="71"/>
  <c r="C83" i="71"/>
  <c r="AF10" i="43"/>
  <c r="AB22" i="71"/>
  <c r="Y22" i="71"/>
  <c r="Z22" i="71" s="1"/>
  <c r="K56" i="9"/>
  <c r="B18" i="71"/>
  <c r="B17" i="71" s="1"/>
  <c r="B16" i="71" s="1"/>
  <c r="E35" i="71"/>
  <c r="E36" i="71" s="1"/>
  <c r="U36" i="71" s="1"/>
  <c r="B32" i="71"/>
  <c r="S32" i="71" s="1"/>
  <c r="B28" i="71"/>
  <c r="S28" i="71" s="1"/>
  <c r="X21" i="71"/>
  <c r="E27" i="71"/>
  <c r="E28" i="71" s="1"/>
  <c r="U28" i="71" s="1"/>
  <c r="X26" i="71"/>
  <c r="AB26" i="71"/>
  <c r="Y27" i="71"/>
  <c r="Z27" i="71" s="1"/>
  <c r="X27" i="71"/>
  <c r="AB28" i="71"/>
  <c r="AB30" i="71"/>
  <c r="Y31" i="71"/>
  <c r="Z31" i="71" s="1"/>
  <c r="AB32" i="71"/>
  <c r="B36" i="71"/>
  <c r="S36" i="71" s="1"/>
  <c r="AA41" i="39"/>
  <c r="C77" i="9"/>
  <c r="C74" i="9" s="1"/>
  <c r="C28" i="81"/>
  <c r="C30" i="79"/>
  <c r="C77" i="80"/>
  <c r="C74" i="80" s="1"/>
  <c r="C48" i="79"/>
  <c r="J51" i="81"/>
  <c r="M47" i="80"/>
  <c r="G7" i="1"/>
  <c r="C21" i="69"/>
  <c r="L27" i="6"/>
  <c r="F3" i="35"/>
  <c r="G1" i="79"/>
  <c r="G14" i="3"/>
  <c r="M107" i="43"/>
  <c r="F22" i="43"/>
  <c r="H105" i="43"/>
  <c r="E104" i="43"/>
  <c r="T13" i="1"/>
  <c r="AQ13" i="1"/>
  <c r="T10" i="1"/>
  <c r="E13" i="6"/>
  <c r="E15" i="6"/>
  <c r="M6" i="1"/>
  <c r="E12" i="6"/>
  <c r="J101" i="43"/>
  <c r="J103" i="43" s="1"/>
  <c r="K5" i="4"/>
  <c r="B47" i="48" s="1"/>
  <c r="D5" i="43"/>
  <c r="C39" i="43" s="1"/>
  <c r="C5" i="43"/>
  <c r="P61" i="15"/>
  <c r="F32" i="67"/>
  <c r="F60" i="67" s="1"/>
  <c r="F28" i="15"/>
  <c r="C28" i="15" s="1"/>
  <c r="F28" i="67"/>
  <c r="D68" i="9"/>
  <c r="F32" i="15"/>
  <c r="F60" i="15" s="1"/>
  <c r="F52" i="9"/>
  <c r="F30" i="68"/>
  <c r="C24" i="12"/>
  <c r="F54" i="9"/>
  <c r="M18" i="15"/>
  <c r="F30" i="69"/>
  <c r="M18" i="67"/>
  <c r="F31" i="12"/>
  <c r="F30" i="11"/>
  <c r="C30" i="11" s="1"/>
  <c r="F53" i="9"/>
  <c r="N101" i="43"/>
  <c r="N107" i="43" s="1"/>
  <c r="D22" i="67"/>
  <c r="H106" i="43"/>
  <c r="M105" i="43"/>
  <c r="M104" i="43"/>
  <c r="E107" i="43"/>
  <c r="C34" i="69"/>
  <c r="C35" i="69" s="1"/>
  <c r="AA11" i="43"/>
  <c r="AA13" i="43" s="1"/>
  <c r="AG11" i="43"/>
  <c r="Z7" i="43"/>
  <c r="AB11" i="43"/>
  <c r="AB13" i="43" s="1"/>
  <c r="AF11" i="43"/>
  <c r="AF13" i="43" s="1"/>
  <c r="AJ11" i="43"/>
  <c r="AJ13" i="43" s="1"/>
  <c r="G22" i="43"/>
  <c r="I101" i="43"/>
  <c r="I107" i="43" s="1"/>
  <c r="D101" i="43"/>
  <c r="L101" i="43"/>
  <c r="L105" i="43" s="1"/>
  <c r="P10" i="1"/>
  <c r="G101" i="43"/>
  <c r="K101" i="43"/>
  <c r="C36" i="69"/>
  <c r="B115" i="43"/>
  <c r="C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N104" i="46"/>
  <c r="C101" i="43"/>
  <c r="E22" i="43"/>
  <c r="F101" i="43"/>
  <c r="G11" i="1"/>
  <c r="D9" i="69"/>
  <c r="C9" i="69" s="1"/>
  <c r="T8" i="1"/>
  <c r="I105" i="43"/>
  <c r="I104" i="43"/>
  <c r="BL5" i="3"/>
  <c r="F27" i="6"/>
  <c r="E56" i="39"/>
  <c r="E51" i="40"/>
  <c r="U38" i="39"/>
  <c r="AB8" i="39"/>
  <c r="AR8" i="1"/>
  <c r="L103" i="43"/>
  <c r="L106" i="43"/>
  <c r="H109" i="43"/>
  <c r="H104" i="43"/>
  <c r="H103" i="43"/>
  <c r="M103" i="43"/>
  <c r="M106" i="43"/>
  <c r="M102" i="43"/>
  <c r="E103" i="43"/>
  <c r="E106" i="43"/>
  <c r="T9" i="1"/>
  <c r="E59" i="40"/>
  <c r="AQ9" i="1"/>
  <c r="C36" i="11"/>
  <c r="B34" i="72"/>
  <c r="D17" i="53"/>
  <c r="B36" i="72" s="1"/>
  <c r="D125" i="9"/>
  <c r="D11" i="52" s="1"/>
  <c r="D10" i="52"/>
  <c r="D70" i="39"/>
  <c r="E68" i="39"/>
  <c r="C48" i="68"/>
  <c r="C28" i="67"/>
  <c r="C30" i="69"/>
  <c r="E15" i="71"/>
  <c r="E14" i="71" s="1"/>
  <c r="E13" i="71" s="1"/>
  <c r="E12" i="71" s="1"/>
  <c r="V16" i="71"/>
  <c r="C20" i="43"/>
  <c r="D13" i="71"/>
  <c r="C12" i="71"/>
  <c r="D12" i="52"/>
  <c r="D127" i="9"/>
  <c r="D13" i="52" s="1"/>
  <c r="P14" i="1"/>
  <c r="M7" i="1"/>
  <c r="Q16" i="1"/>
  <c r="H16" i="1"/>
  <c r="F48" i="69"/>
  <c r="C48" i="69"/>
  <c r="C48" i="11"/>
  <c r="P6" i="1"/>
  <c r="U45" i="21"/>
  <c r="AB45" i="21"/>
  <c r="P11" i="1"/>
  <c r="O12" i="1"/>
  <c r="P12" i="1" s="1"/>
  <c r="F30" i="6"/>
  <c r="E29" i="6"/>
  <c r="C31" i="12"/>
  <c r="AZ321" i="3"/>
  <c r="AC9" i="34"/>
  <c r="W9" i="34"/>
  <c r="AC34" i="35"/>
  <c r="W34" i="35"/>
  <c r="E56" i="40"/>
  <c r="U44" i="34"/>
  <c r="AB27" i="36"/>
  <c r="U12" i="39"/>
  <c r="AA27" i="40"/>
  <c r="AA34" i="33"/>
  <c r="AZ362" i="3"/>
  <c r="AZ521" i="3"/>
  <c r="AZ585" i="3"/>
  <c r="S12" i="34"/>
  <c r="AA12" i="34"/>
  <c r="AB11" i="36"/>
  <c r="AA14" i="33"/>
  <c r="AA44" i="33"/>
  <c r="H9" i="34"/>
  <c r="F34" i="35"/>
  <c r="H34" i="35"/>
  <c r="J36" i="35"/>
  <c r="AZ398" i="3"/>
  <c r="AZ405" i="3"/>
  <c r="AZ407" i="3"/>
  <c r="AZ410" i="3"/>
  <c r="AZ415" i="3"/>
  <c r="AZ420" i="3"/>
  <c r="AZ426" i="3"/>
  <c r="AZ431" i="3"/>
  <c r="AZ448" i="3"/>
  <c r="AZ452" i="3"/>
  <c r="AZ485" i="3"/>
  <c r="AZ424" i="3"/>
  <c r="AZ439" i="3"/>
  <c r="AZ444" i="3"/>
  <c r="AZ456" i="3"/>
  <c r="AZ466" i="3"/>
  <c r="AZ472" i="3"/>
  <c r="AZ475" i="3"/>
  <c r="AZ483" i="3"/>
  <c r="AZ489" i="3"/>
  <c r="AZ216" i="3"/>
  <c r="AZ221" i="3"/>
  <c r="AZ226" i="3"/>
  <c r="AZ230" i="3"/>
  <c r="AZ242" i="3"/>
  <c r="AZ246" i="3"/>
  <c r="AZ258" i="3"/>
  <c r="AZ260" i="3"/>
  <c r="AZ264" i="3"/>
  <c r="AZ282" i="3"/>
  <c r="AZ285" i="3"/>
  <c r="AZ290" i="3"/>
  <c r="AZ293" i="3"/>
  <c r="AZ153" i="3"/>
  <c r="AZ169" i="3"/>
  <c r="AZ185" i="3"/>
  <c r="AZ201" i="3"/>
  <c r="AZ207" i="3"/>
  <c r="AZ25" i="3"/>
  <c r="AZ30" i="3"/>
  <c r="AZ36" i="3"/>
  <c r="AZ40" i="3"/>
  <c r="AZ46" i="3"/>
  <c r="AZ49" i="3"/>
  <c r="AZ64" i="3"/>
  <c r="AZ78" i="3"/>
  <c r="AZ91" i="3"/>
  <c r="AZ98" i="3"/>
  <c r="AZ104" i="3"/>
  <c r="AZ108" i="3"/>
  <c r="D113" i="43"/>
  <c r="T40" i="71"/>
  <c r="D40" i="71"/>
  <c r="C23" i="71"/>
  <c r="T24" i="71"/>
  <c r="D24" i="71"/>
  <c r="U24" i="71" s="1"/>
  <c r="D50" i="71"/>
  <c r="C51" i="71"/>
  <c r="D58" i="71"/>
  <c r="C59" i="71"/>
  <c r="M100" i="43"/>
  <c r="I100" i="43"/>
  <c r="E100" i="43"/>
  <c r="D100" i="43"/>
  <c r="C40" i="68"/>
  <c r="C21" i="68"/>
  <c r="T36" i="71"/>
  <c r="D36" i="71"/>
  <c r="AB23" i="71"/>
  <c r="S24" i="71"/>
  <c r="X23" i="71"/>
  <c r="AB29" i="71"/>
  <c r="Y29" i="71"/>
  <c r="Z29" i="71" s="1"/>
  <c r="X28" i="71"/>
  <c r="X33" i="71"/>
  <c r="AA25" i="71"/>
  <c r="Y5" i="71"/>
  <c r="Z5" i="71" s="1"/>
  <c r="Y6" i="71"/>
  <c r="Z6" i="71" s="1"/>
  <c r="AA5" i="71"/>
  <c r="AA6" i="71"/>
  <c r="S64" i="71"/>
  <c r="B63" i="71"/>
  <c r="AE10" i="43"/>
  <c r="Z12" i="43"/>
  <c r="Z13" i="43" s="1"/>
  <c r="Z10" i="43"/>
  <c r="AD12" i="43"/>
  <c r="AD13" i="43" s="1"/>
  <c r="AD10" i="43"/>
  <c r="AH12" i="43"/>
  <c r="AH13" i="43" s="1"/>
  <c r="AH10" i="43"/>
  <c r="X20" i="71"/>
  <c r="AA20" i="71"/>
  <c r="AA19" i="71"/>
  <c r="AA18" i="71"/>
  <c r="X17" i="71"/>
  <c r="Y17" i="71"/>
  <c r="Z17" i="71" s="1"/>
  <c r="Y10" i="71"/>
  <c r="Z10" i="71" s="1"/>
  <c r="X5" i="71"/>
  <c r="X6" i="71"/>
  <c r="AB6" i="71"/>
  <c r="AB5" i="71"/>
  <c r="AC12" i="43"/>
  <c r="AC13" i="43" s="1"/>
  <c r="AC10" i="43"/>
  <c r="AG12" i="43"/>
  <c r="AG13" i="43" s="1"/>
  <c r="AG10" i="43"/>
  <c r="AB20" i="71"/>
  <c r="Y20" i="71"/>
  <c r="Z20" i="71" s="1"/>
  <c r="AB19" i="71"/>
  <c r="AB17" i="71"/>
  <c r="X14" i="71"/>
  <c r="Y13" i="71"/>
  <c r="Z13" i="71" s="1"/>
  <c r="AA14" i="71"/>
  <c r="AB14" i="71"/>
  <c r="Y19" i="71"/>
  <c r="Z19" i="71" s="1"/>
  <c r="Y18" i="71"/>
  <c r="Z18" i="71" s="1"/>
  <c r="X18" i="71"/>
  <c r="AA17" i="71"/>
  <c r="Y14" i="71"/>
  <c r="Z14" i="71" s="1"/>
  <c r="AB11" i="71"/>
  <c r="X13" i="71"/>
  <c r="AA13" i="71"/>
  <c r="AB13" i="71"/>
  <c r="AB7" i="71"/>
  <c r="AB10" i="71"/>
  <c r="Y7" i="71"/>
  <c r="Z7" i="71" s="1"/>
  <c r="Y9" i="71"/>
  <c r="Z9" i="71" s="1"/>
  <c r="AA8" i="71"/>
  <c r="AA10" i="71"/>
  <c r="X8" i="71"/>
  <c r="P74" i="67"/>
  <c r="X11" i="71"/>
  <c r="AA11" i="71"/>
  <c r="AB8" i="71"/>
  <c r="AB9" i="71"/>
  <c r="Y8" i="71"/>
  <c r="Z8" i="71" s="1"/>
  <c r="AA7" i="71"/>
  <c r="AA9" i="71"/>
  <c r="X7" i="71"/>
  <c r="X9" i="71"/>
  <c r="X10" i="7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D12" i="71"/>
  <c r="U12" i="71" s="1"/>
  <c r="F12" i="7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D9" i="68"/>
  <c r="D9" i="79"/>
  <c r="C16" i="15"/>
  <c r="C36" i="79"/>
  <c r="C17" i="67"/>
  <c r="F27" i="79"/>
  <c r="C14" i="67"/>
  <c r="G1" i="73"/>
  <c r="C36" i="68"/>
  <c r="C82" i="71" l="1"/>
  <c r="D82" i="71" s="1"/>
  <c r="D83" i="71"/>
  <c r="E62" i="71"/>
  <c r="P63" i="71"/>
  <c r="C31" i="71"/>
  <c r="D30" i="71"/>
  <c r="D79" i="71"/>
  <c r="C78" i="71"/>
  <c r="D78" i="71" s="1"/>
  <c r="Q62" i="71"/>
  <c r="Q61" i="71"/>
  <c r="AZ23" i="3"/>
  <c r="BA5" i="3"/>
  <c r="E27" i="6" s="1"/>
  <c r="AA9" i="34"/>
  <c r="S9" i="34"/>
  <c r="F7" i="36"/>
  <c r="J7" i="34"/>
  <c r="F31" i="6"/>
  <c r="L107" i="43"/>
  <c r="E16" i="6"/>
  <c r="B15" i="71"/>
  <c r="B14" i="71" s="1"/>
  <c r="B13" i="71" s="1"/>
  <c r="B12" i="71" s="1"/>
  <c r="S16" i="71"/>
  <c r="O63" i="71"/>
  <c r="D63" i="71"/>
  <c r="C62" i="71"/>
  <c r="AZ317" i="3"/>
  <c r="AZ5" i="3" s="1"/>
  <c r="AZ487" i="3"/>
  <c r="AZ481" i="3"/>
  <c r="AZ454" i="3"/>
  <c r="AZ422" i="3"/>
  <c r="AZ550" i="3"/>
  <c r="AA44" i="39"/>
  <c r="S44" i="39"/>
  <c r="J7" i="37"/>
  <c r="W7" i="37" s="1"/>
  <c r="H7" i="36"/>
  <c r="H7" i="34"/>
  <c r="AB7" i="34" s="1"/>
  <c r="T49" i="34" s="1"/>
  <c r="G49" i="34" s="1"/>
  <c r="F7" i="34"/>
  <c r="T14" i="43"/>
  <c r="V14" i="43" s="1"/>
  <c r="M11" i="81"/>
  <c r="F11" i="81"/>
  <c r="C9" i="79"/>
  <c r="F45" i="79"/>
  <c r="C47" i="79"/>
  <c r="D45" i="79" s="1"/>
  <c r="C29" i="79"/>
  <c r="D27" i="79" s="1"/>
  <c r="D102" i="43"/>
  <c r="D106" i="43"/>
  <c r="G5" i="3"/>
  <c r="B3" i="3" s="1"/>
  <c r="E14" i="3" s="1"/>
  <c r="D22" i="43"/>
  <c r="J106" i="43"/>
  <c r="T8" i="43"/>
  <c r="V8" i="43" s="1"/>
  <c r="C36" i="43"/>
  <c r="N106" i="43"/>
  <c r="J109" i="43"/>
  <c r="E60" i="40"/>
  <c r="E65" i="39"/>
  <c r="E58" i="40"/>
  <c r="E63" i="39"/>
  <c r="D105" i="43"/>
  <c r="J105" i="43"/>
  <c r="N103" i="43"/>
  <c r="E57" i="40"/>
  <c r="E62" i="39"/>
  <c r="O6" i="1"/>
  <c r="J104" i="43"/>
  <c r="J107" i="43"/>
  <c r="J102" i="43"/>
  <c r="C38" i="43"/>
  <c r="E38" i="43" s="1"/>
  <c r="C34" i="43"/>
  <c r="G34" i="43" s="1"/>
  <c r="I34" i="43" s="1"/>
  <c r="C9" i="68"/>
  <c r="T16" i="43"/>
  <c r="V16" i="43" s="1"/>
  <c r="T15" i="43"/>
  <c r="V15" i="43" s="1"/>
  <c r="T12" i="43"/>
  <c r="V12" i="43" s="1"/>
  <c r="F48" i="68"/>
  <c r="C30" i="68"/>
  <c r="N102" i="43"/>
  <c r="N105" i="43"/>
  <c r="N104" i="43"/>
  <c r="N109" i="43"/>
  <c r="C38" i="69"/>
  <c r="K103" i="43"/>
  <c r="K107" i="43"/>
  <c r="K104" i="43"/>
  <c r="K106" i="43"/>
  <c r="K109" i="43"/>
  <c r="K102" i="43"/>
  <c r="K105" i="43"/>
  <c r="L109" i="43"/>
  <c r="L102" i="43"/>
  <c r="L104" i="43"/>
  <c r="I109" i="43"/>
  <c r="I102" i="43"/>
  <c r="I103" i="43"/>
  <c r="I106" i="43"/>
  <c r="G105" i="43"/>
  <c r="G103" i="43"/>
  <c r="G109" i="43"/>
  <c r="G102" i="43"/>
  <c r="G107" i="43"/>
  <c r="G104" i="43"/>
  <c r="G106" i="43"/>
  <c r="D109" i="43"/>
  <c r="D104" i="43"/>
  <c r="D103" i="43"/>
  <c r="D107" i="43"/>
  <c r="H10" i="39"/>
  <c r="U10" i="39" s="1"/>
  <c r="F104" i="43"/>
  <c r="F102" i="43"/>
  <c r="F105" i="43"/>
  <c r="F109" i="43"/>
  <c r="F107" i="43"/>
  <c r="F106" i="43"/>
  <c r="F103" i="43"/>
  <c r="C104" i="43"/>
  <c r="C107" i="43"/>
  <c r="C103" i="43"/>
  <c r="C106" i="43"/>
  <c r="C105" i="43"/>
  <c r="C102" i="43"/>
  <c r="C109" i="43"/>
  <c r="J10" i="40"/>
  <c r="W10" i="40" s="1"/>
  <c r="T13" i="43"/>
  <c r="V13" i="43" s="1"/>
  <c r="C33" i="43"/>
  <c r="G33" i="43" s="1"/>
  <c r="I33" i="43" s="1"/>
  <c r="T10" i="43"/>
  <c r="V10" i="43" s="1"/>
  <c r="C37" i="43"/>
  <c r="E37" i="43" s="1"/>
  <c r="T9" i="43"/>
  <c r="V9" i="43" s="1"/>
  <c r="C35" i="43"/>
  <c r="E35" i="43" s="1"/>
  <c r="T11" i="43"/>
  <c r="V11" i="43" s="1"/>
  <c r="F10" i="40"/>
  <c r="S10" i="40" s="1"/>
  <c r="J10" i="39"/>
  <c r="W10" i="39" s="1"/>
  <c r="H10" i="40"/>
  <c r="U10" i="40" s="1"/>
  <c r="F68" i="39"/>
  <c r="E70" i="39"/>
  <c r="AB34" i="35"/>
  <c r="U34" i="35"/>
  <c r="U9" i="34"/>
  <c r="AB9" i="34"/>
  <c r="F28" i="12"/>
  <c r="C29" i="12" s="1"/>
  <c r="D28" i="12" s="1"/>
  <c r="F27" i="11"/>
  <c r="F27" i="69"/>
  <c r="B11" i="71"/>
  <c r="B10" i="71" s="1"/>
  <c r="B9" i="71" s="1"/>
  <c r="B8" i="71" s="1"/>
  <c r="S12" i="71"/>
  <c r="B62" i="71"/>
  <c r="N63" i="71"/>
  <c r="C60" i="71"/>
  <c r="D59" i="71"/>
  <c r="D51" i="71"/>
  <c r="C52" i="71"/>
  <c r="C22" i="71"/>
  <c r="D22" i="71" s="1"/>
  <c r="D23" i="71"/>
  <c r="AC36" i="35"/>
  <c r="W36" i="35"/>
  <c r="AA34" i="35"/>
  <c r="S34" i="35"/>
  <c r="K15" i="1"/>
  <c r="K16" i="1" s="1"/>
  <c r="E30" i="6"/>
  <c r="O7" i="1"/>
  <c r="M16" i="1"/>
  <c r="P7" i="1"/>
  <c r="P16" i="1" s="1"/>
  <c r="C11" i="12" s="1"/>
  <c r="C11" i="71"/>
  <c r="T12" i="71"/>
  <c r="E11" i="71"/>
  <c r="E10" i="71" s="1"/>
  <c r="E9" i="71" s="1"/>
  <c r="E8" i="71" s="1"/>
  <c r="V12" i="71"/>
  <c r="F59" i="67"/>
  <c r="H7" i="37"/>
  <c r="AB7" i="37" s="1"/>
  <c r="T42" i="37" s="1"/>
  <c r="G42" i="37" s="1"/>
  <c r="B40" i="1"/>
  <c r="S10" i="39"/>
  <c r="AA10" i="39"/>
  <c r="H7" i="33"/>
  <c r="J7" i="33"/>
  <c r="D65" i="40"/>
  <c r="E63" i="40"/>
  <c r="F48" i="35"/>
  <c r="S7" i="36"/>
  <c r="AA7" i="36"/>
  <c r="R36" i="36" s="1"/>
  <c r="AC7" i="37"/>
  <c r="V42" i="37" s="1"/>
  <c r="I42" i="37" s="1"/>
  <c r="U7" i="37"/>
  <c r="AB7" i="36"/>
  <c r="T36" i="36" s="1"/>
  <c r="G36" i="36" s="1"/>
  <c r="U7" i="36"/>
  <c r="U7" i="34"/>
  <c r="AA7" i="34"/>
  <c r="R49" i="34" s="1"/>
  <c r="S7" i="34"/>
  <c r="AC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G38" i="43"/>
  <c r="I38" i="43" s="1"/>
  <c r="E34" i="43"/>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9" i="81"/>
  <c r="M22" i="81"/>
  <c r="F7" i="81"/>
  <c r="M24" i="81"/>
  <c r="F8" i="81"/>
  <c r="F26" i="81"/>
  <c r="M9" i="81"/>
  <c r="M26" i="81"/>
  <c r="M23" i="81"/>
  <c r="F13" i="81"/>
  <c r="F38" i="81"/>
  <c r="M27" i="81"/>
  <c r="L47" i="81"/>
  <c r="AE6" i="1"/>
  <c r="F27" i="68"/>
  <c r="F42" i="81"/>
  <c r="M28" i="81"/>
  <c r="F43" i="81"/>
  <c r="C76" i="81"/>
  <c r="F40" i="81"/>
  <c r="M29" i="81"/>
  <c r="M6" i="81"/>
  <c r="F6" i="81"/>
  <c r="J15" i="81"/>
  <c r="F37" i="81"/>
  <c r="F16" i="81"/>
  <c r="F36" i="81"/>
  <c r="M8" i="81"/>
  <c r="L48" i="81"/>
  <c r="L56" i="81" l="1"/>
  <c r="L57" i="81"/>
  <c r="L60" i="81"/>
  <c r="J59" i="81"/>
  <c r="J57" i="81"/>
  <c r="J55" i="81" s="1"/>
  <c r="J58" i="81" s="1"/>
  <c r="Q50" i="81" s="1"/>
  <c r="I54" i="81"/>
  <c r="J53" i="81"/>
  <c r="J60" i="81"/>
  <c r="Q48" i="81" s="1"/>
  <c r="F64" i="81"/>
  <c r="F65" i="81"/>
  <c r="C6" i="81"/>
  <c r="C10" i="81" s="1"/>
  <c r="C5" i="81" s="1"/>
  <c r="F68" i="81"/>
  <c r="Q71" i="81"/>
  <c r="F71" i="81"/>
  <c r="L59" i="81"/>
  <c r="L58" i="81"/>
  <c r="N59" i="81"/>
  <c r="M59" i="81"/>
  <c r="F66" i="81"/>
  <c r="C27" i="81"/>
  <c r="F51" i="81"/>
  <c r="F50" i="81"/>
  <c r="M7" i="81"/>
  <c r="J6" i="81" s="1"/>
  <c r="K20" i="6"/>
  <c r="K21" i="6"/>
  <c r="M21" i="6" s="1"/>
  <c r="I21" i="6" s="1"/>
  <c r="S21" i="6" s="1"/>
  <c r="K22" i="6"/>
  <c r="M22" i="6" s="1"/>
  <c r="I22" i="6" s="1"/>
  <c r="S22" i="6" s="1"/>
  <c r="K26" i="6"/>
  <c r="M26" i="6" s="1"/>
  <c r="I26" i="6" s="1"/>
  <c r="S26" i="6" s="1"/>
  <c r="K25" i="6"/>
  <c r="M25" i="6" s="1"/>
  <c r="I25" i="6" s="1"/>
  <c r="S25" i="6" s="1"/>
  <c r="K23" i="6"/>
  <c r="M23" i="6" s="1"/>
  <c r="I23" i="6" s="1"/>
  <c r="S23" i="6" s="1"/>
  <c r="K24" i="6"/>
  <c r="M24" i="6" s="1"/>
  <c r="I24" i="6" s="1"/>
  <c r="S24" i="6" s="1"/>
  <c r="K19" i="6"/>
  <c r="S6" i="1" s="1"/>
  <c r="AY6" i="3"/>
  <c r="E3" i="6"/>
  <c r="E31" i="6"/>
  <c r="D62" i="71"/>
  <c r="O62" i="71"/>
  <c r="O61" i="71"/>
  <c r="C32" i="71"/>
  <c r="D31" i="71"/>
  <c r="P61" i="71"/>
  <c r="P62" i="71"/>
  <c r="L46" i="81"/>
  <c r="C53" i="81"/>
  <c r="F22" i="79"/>
  <c r="C24" i="79" s="1"/>
  <c r="F24" i="81"/>
  <c r="AC10" i="39"/>
  <c r="O16" i="1"/>
  <c r="AB10" i="39"/>
  <c r="E125" i="3"/>
  <c r="E175" i="3"/>
  <c r="E530" i="3"/>
  <c r="E343" i="3"/>
  <c r="E305" i="3"/>
  <c r="E508" i="3"/>
  <c r="E347" i="3"/>
  <c r="AA6" i="3"/>
  <c r="E399" i="3"/>
  <c r="E280" i="3"/>
  <c r="E124" i="3"/>
  <c r="E358" i="3"/>
  <c r="E559" i="3"/>
  <c r="E551" i="3"/>
  <c r="V6" i="3"/>
  <c r="E407" i="3"/>
  <c r="E338" i="3"/>
  <c r="E380" i="3"/>
  <c r="E321" i="3"/>
  <c r="E231" i="3"/>
  <c r="E298" i="3"/>
  <c r="E216" i="3"/>
  <c r="E169" i="3"/>
  <c r="E185" i="3"/>
  <c r="E61" i="3"/>
  <c r="E135" i="3"/>
  <c r="E290" i="3"/>
  <c r="E161" i="3"/>
  <c r="E117"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319" i="3"/>
  <c r="E153" i="3"/>
  <c r="E328" i="3"/>
  <c r="X6" i="3"/>
  <c r="E246" i="3"/>
  <c r="E514" i="3"/>
  <c r="M6" i="3"/>
  <c r="E387" i="3"/>
  <c r="E335" i="3"/>
  <c r="E215" i="3"/>
  <c r="E189" i="3"/>
  <c r="E134" i="3"/>
  <c r="E91" i="3"/>
  <c r="E180" i="3"/>
  <c r="E207" i="3"/>
  <c r="E271" i="3"/>
  <c r="E145" i="3"/>
  <c r="E107" i="3"/>
  <c r="E393" i="3"/>
  <c r="E493" i="3"/>
  <c r="E564" i="3"/>
  <c r="E543" i="3"/>
  <c r="E427" i="3"/>
  <c r="E486" i="3"/>
  <c r="E507" i="3"/>
  <c r="E422" i="3"/>
  <c r="E440" i="3"/>
  <c r="E490" i="3"/>
  <c r="E376" i="3"/>
  <c r="AH6" i="3"/>
  <c r="J6" i="3"/>
  <c r="E498" i="3"/>
  <c r="E419" i="3"/>
  <c r="E483" i="3"/>
  <c r="E401" i="3"/>
  <c r="E463" i="3"/>
  <c r="E40" i="3"/>
  <c r="E25" i="3"/>
  <c r="E108" i="3"/>
  <c r="E178" i="3"/>
  <c r="E119" i="3"/>
  <c r="E202"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501" i="3"/>
  <c r="E583" i="3"/>
  <c r="E293" i="3"/>
  <c r="E311" i="3"/>
  <c r="AB6" i="3"/>
  <c r="E294" i="3"/>
  <c r="E130" i="3"/>
  <c r="E221" i="3"/>
  <c r="E252" i="3"/>
  <c r="E164" i="3"/>
  <c r="E525" i="3"/>
  <c r="T6" i="3"/>
  <c r="E456" i="3"/>
  <c r="E512" i="3"/>
  <c r="E451" i="3"/>
  <c r="E556" i="3"/>
  <c r="E13" i="3"/>
  <c r="E452" i="3"/>
  <c r="E420" i="3"/>
  <c r="E104" i="3"/>
  <c r="E115" i="3"/>
  <c r="E139" i="3"/>
  <c r="E279" i="3"/>
  <c r="E257" i="3"/>
  <c r="E351" i="3"/>
  <c r="E357" i="3"/>
  <c r="E318" i="3"/>
  <c r="E31" i="3"/>
  <c r="E93" i="3"/>
  <c r="E75" i="3"/>
  <c r="E473" i="3"/>
  <c r="E455" i="3"/>
  <c r="E38" i="3"/>
  <c r="E170" i="3"/>
  <c r="E194" i="3"/>
  <c r="E219" i="3"/>
  <c r="E339" i="3"/>
  <c r="E392" i="3"/>
  <c r="E52" i="3"/>
  <c r="E112" i="3"/>
  <c r="E147" i="3"/>
  <c r="E340" i="3"/>
  <c r="E50" i="3"/>
  <c r="E20" i="3"/>
  <c r="E62" i="3"/>
  <c r="E176" i="3"/>
  <c r="E218" i="3"/>
  <c r="E265" i="3"/>
  <c r="E365" i="3"/>
  <c r="E524" i="3"/>
  <c r="E101" i="3"/>
  <c r="E53" i="3"/>
  <c r="E426" i="3"/>
  <c r="E336" i="3"/>
  <c r="E570" i="3"/>
  <c r="E320" i="3"/>
  <c r="E230" i="3"/>
  <c r="E254" i="3"/>
  <c r="E204" i="3"/>
  <c r="E369" i="3"/>
  <c r="E534" i="3"/>
  <c r="E405" i="3"/>
  <c r="E469" i="3"/>
  <c r="E408" i="3"/>
  <c r="E360" i="3"/>
  <c r="E497" i="3"/>
  <c r="E494" i="3"/>
  <c r="E470" i="3"/>
  <c r="E26" i="3"/>
  <c r="E41" i="3"/>
  <c r="E198" i="3"/>
  <c r="E225" i="3"/>
  <c r="E214" i="3"/>
  <c r="E274" i="3"/>
  <c r="E315" i="3"/>
  <c r="E394" i="3"/>
  <c r="E362" i="3"/>
  <c r="E580" i="3"/>
  <c r="E74" i="3"/>
  <c r="E32" i="3"/>
  <c r="E409" i="3"/>
  <c r="E15" i="3"/>
  <c r="E79" i="3"/>
  <c r="E100" i="3"/>
  <c r="E137" i="3"/>
  <c r="E234" i="3"/>
  <c r="E299" i="3"/>
  <c r="E325" i="3"/>
  <c r="AQ6" i="3"/>
  <c r="E36" i="3"/>
  <c r="E123" i="3"/>
  <c r="E289" i="3"/>
  <c r="E364" i="3"/>
  <c r="E102" i="3"/>
  <c r="E80" i="3"/>
  <c r="E113" i="3"/>
  <c r="E158" i="3"/>
  <c r="E287" i="3"/>
  <c r="E308" i="3"/>
  <c r="E326" i="3"/>
  <c r="E22" i="3"/>
  <c r="E83" i="3"/>
  <c r="E439" i="3"/>
  <c r="E538" i="3"/>
  <c r="E561" i="3"/>
  <c r="AR6" i="3"/>
  <c r="E533" i="3"/>
  <c r="E270" i="3"/>
  <c r="E165" i="3"/>
  <c r="E227" i="3"/>
  <c r="E461" i="3"/>
  <c r="E567" i="3"/>
  <c r="E539" i="3"/>
  <c r="AJ6" i="3"/>
  <c r="E322" i="3"/>
  <c r="E268" i="3"/>
  <c r="E526" i="3"/>
  <c r="E217"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418" i="3"/>
  <c r="E523" i="3"/>
  <c r="E390" i="3"/>
  <c r="E205" i="3"/>
  <c r="E510" i="3"/>
  <c r="E329" i="3"/>
  <c r="E282" i="3"/>
  <c r="E366" i="3"/>
  <c r="E237" i="3"/>
  <c r="E304" i="3"/>
  <c r="E565" i="3"/>
  <c r="E213" i="3"/>
  <c r="E17" i="3"/>
  <c r="E302" i="3"/>
  <c r="O6" i="3"/>
  <c r="E574" i="3"/>
  <c r="E359" i="3"/>
  <c r="E285" i="3"/>
  <c r="E97" i="3"/>
  <c r="E314" i="3"/>
  <c r="E511" i="3"/>
  <c r="E16" i="3"/>
  <c r="AK6" i="3"/>
  <c r="E434" i="3"/>
  <c r="E306" i="3"/>
  <c r="E296" i="3"/>
  <c r="E262" i="3"/>
  <c r="E136" i="3"/>
  <c r="E236" i="3"/>
  <c r="E269" i="3"/>
  <c r="E89" i="3"/>
  <c r="E45" i="3"/>
  <c r="E224" i="3"/>
  <c r="E193"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E373" i="3"/>
  <c r="E82" i="3"/>
  <c r="E506" i="3"/>
  <c r="S6" i="3"/>
  <c r="E128" i="3"/>
  <c r="E352" i="3"/>
  <c r="E545" i="3"/>
  <c r="N6" i="3"/>
  <c r="E553" i="3"/>
  <c r="E261" i="3"/>
  <c r="E528" i="3"/>
  <c r="E183" i="3"/>
  <c r="E361" i="3"/>
  <c r="E503" i="3"/>
  <c r="E388" i="3"/>
  <c r="E555" i="3"/>
  <c r="E410" i="3"/>
  <c r="E337" i="3"/>
  <c r="E143" i="3"/>
  <c r="E397" i="3"/>
  <c r="E568" i="3"/>
  <c r="I6" i="3"/>
  <c r="H6" i="3" s="1"/>
  <c r="E536" i="3"/>
  <c r="E549" i="3"/>
  <c r="E453" i="3"/>
  <c r="E368" i="3"/>
  <c r="E244" i="3"/>
  <c r="E196" i="3"/>
  <c r="E156" i="3"/>
  <c r="E148" i="3"/>
  <c r="E122" i="3"/>
  <c r="E120" i="3"/>
  <c r="E277" i="3"/>
  <c r="E177" i="3"/>
  <c r="E133" i="3"/>
  <c r="E312" i="3"/>
  <c r="AD6" i="3"/>
  <c r="AC6" i="3" s="1"/>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09" i="3"/>
  <c r="E513" i="3"/>
  <c r="E21" i="3"/>
  <c r="E36" i="43"/>
  <c r="G36" i="43"/>
  <c r="I36" i="43" s="1"/>
  <c r="M20" i="6"/>
  <c r="I20" i="6" s="1"/>
  <c r="S20" i="6" s="1"/>
  <c r="S7" i="1"/>
  <c r="E7" i="70" s="1"/>
  <c r="M18" i="80"/>
  <c r="B118" i="80" s="1"/>
  <c r="L18" i="80"/>
  <c r="E6" i="70"/>
  <c r="E2" i="70" s="1"/>
  <c r="E6" i="3"/>
  <c r="F41" i="79"/>
  <c r="G35" i="43"/>
  <c r="I35" i="43" s="1"/>
  <c r="AQ6" i="1"/>
  <c r="AR6" i="1"/>
  <c r="T6" i="1"/>
  <c r="S2" i="43"/>
  <c r="T2" i="43" s="1"/>
  <c r="V2" i="43" s="1"/>
  <c r="C26" i="43" s="1"/>
  <c r="S5" i="43"/>
  <c r="T5" i="43" s="1"/>
  <c r="V5" i="43" s="1"/>
  <c r="S6" i="43"/>
  <c r="T6" i="43" s="1"/>
  <c r="V6" i="43" s="1"/>
  <c r="S4" i="43"/>
  <c r="T4" i="43" s="1"/>
  <c r="V4" i="43" s="1"/>
  <c r="S7" i="43"/>
  <c r="T7" i="43" s="1"/>
  <c r="V7" i="43" s="1"/>
  <c r="C23" i="43"/>
  <c r="C21" i="43" s="1"/>
  <c r="C29" i="43" s="1"/>
  <c r="S3" i="43"/>
  <c r="T3" i="43" s="1"/>
  <c r="V3" i="43" s="1"/>
  <c r="AA10" i="40"/>
  <c r="AB10" i="40"/>
  <c r="K27" i="6"/>
  <c r="M19" i="6"/>
  <c r="F70" i="39"/>
  <c r="G68" i="39"/>
  <c r="T52" i="71"/>
  <c r="D52" i="71"/>
  <c r="F45" i="68"/>
  <c r="C47" i="68"/>
  <c r="D45" i="68" s="1"/>
  <c r="C29" i="68"/>
  <c r="D27" i="68" s="1"/>
  <c r="C47" i="11"/>
  <c r="D45" i="11" s="1"/>
  <c r="C29" i="11"/>
  <c r="D27" i="1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7" i="71"/>
  <c r="E6" i="71" s="1"/>
  <c r="E5" i="71" s="1"/>
  <c r="V8" i="71"/>
  <c r="D11" i="71"/>
  <c r="C10" i="71"/>
  <c r="L16" i="1"/>
  <c r="N16" i="1"/>
  <c r="F50" i="79" s="1"/>
  <c r="C34" i="11"/>
  <c r="C15" i="12"/>
  <c r="C12" i="12"/>
  <c r="T60" i="71"/>
  <c r="D60" i="71"/>
  <c r="N61" i="71"/>
  <c r="N62" i="71"/>
  <c r="B7" i="71"/>
  <c r="B6" i="71" s="1"/>
  <c r="B5" i="71" s="1"/>
  <c r="S8" i="71"/>
  <c r="F45" i="69"/>
  <c r="C29" i="69"/>
  <c r="D27" i="69" s="1"/>
  <c r="C47" i="69"/>
  <c r="D45" i="69" s="1"/>
  <c r="D3" i="21"/>
  <c r="D19" i="11"/>
  <c r="C19" i="11" s="1"/>
  <c r="C17" i="4"/>
  <c r="B4" i="52" s="1"/>
  <c r="B43" i="72" s="1"/>
  <c r="D3" i="37"/>
  <c r="D3" i="34"/>
  <c r="D37" i="11"/>
  <c r="C37" i="11" s="1"/>
  <c r="M18" i="9"/>
  <c r="B118" i="9" s="1"/>
  <c r="B14" i="74" s="1"/>
  <c r="B1" i="74" s="1"/>
  <c r="D3" i="33"/>
  <c r="E6" i="6"/>
  <c r="D14" i="12"/>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D10" i="79"/>
  <c r="C16" i="81"/>
  <c r="C17" i="81"/>
  <c r="C17" i="15"/>
  <c r="F41" i="15"/>
  <c r="C34" i="68"/>
  <c r="J18" i="81" l="1"/>
  <c r="J10" i="81"/>
  <c r="J5" i="81" s="1"/>
  <c r="D32" i="71"/>
  <c r="T32" i="71"/>
  <c r="C49" i="81"/>
  <c r="C48" i="81" s="1"/>
  <c r="Q61" i="81"/>
  <c r="Q74" i="81"/>
  <c r="C33" i="81"/>
  <c r="C32" i="81"/>
  <c r="Q60" i="81"/>
  <c r="Q73" i="81"/>
  <c r="F1" i="81"/>
  <c r="Q52" i="81"/>
  <c r="Q66" i="81"/>
  <c r="Q57" i="81"/>
  <c r="C26" i="79"/>
  <c r="D22" i="79" s="1"/>
  <c r="C44" i="79"/>
  <c r="D41" i="79" s="1"/>
  <c r="C24" i="81"/>
  <c r="C38" i="81"/>
  <c r="C10" i="79"/>
  <c r="H9" i="79" s="1"/>
  <c r="C8" i="79" s="1"/>
  <c r="D19" i="79"/>
  <c r="D37" i="79" s="1"/>
  <c r="C37" i="79" s="1"/>
  <c r="S16" i="1"/>
  <c r="F69" i="15"/>
  <c r="J29" i="15"/>
  <c r="AQ7" i="1"/>
  <c r="T7" i="1"/>
  <c r="AR7" i="1"/>
  <c r="C15" i="15"/>
  <c r="C18" i="15"/>
  <c r="T16" i="1"/>
  <c r="E66" i="39"/>
  <c r="C30" i="43"/>
  <c r="E30" i="43" s="1"/>
  <c r="C27" i="43" s="1"/>
  <c r="E29" i="43"/>
  <c r="M27" i="6"/>
  <c r="I19" i="6"/>
  <c r="H68" i="39"/>
  <c r="G70" i="39"/>
  <c r="D10" i="69"/>
  <c r="D10" i="11"/>
  <c r="C10" i="11" s="1"/>
  <c r="D20" i="12"/>
  <c r="C20" i="12" s="1"/>
  <c r="C18" i="12" s="1"/>
  <c r="C35" i="68"/>
  <c r="C38" i="68"/>
  <c r="F50" i="11"/>
  <c r="F50" i="68"/>
  <c r="F50" i="69"/>
  <c r="C9" i="71"/>
  <c r="D10" i="71"/>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D29" i="6"/>
  <c r="H25" i="6"/>
  <c r="H22" i="6"/>
  <c r="H21" i="6"/>
  <c r="H24" i="6"/>
  <c r="D17" i="12"/>
  <c r="C17" i="12" s="1"/>
  <c r="C14" i="12"/>
  <c r="C16" i="12" s="1"/>
  <c r="C8" i="74"/>
  <c r="C7" i="74"/>
  <c r="C20" i="11"/>
  <c r="C28" i="11" s="1"/>
  <c r="C27" i="11" s="1"/>
  <c r="C38" i="11"/>
  <c r="C35" i="1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AE7" i="1"/>
  <c r="F41" i="81" s="1"/>
  <c r="D10" i="68"/>
  <c r="C14" i="81"/>
  <c r="E6" i="76"/>
  <c r="B6" i="76"/>
  <c r="C34" i="79"/>
  <c r="J24" i="81" l="1"/>
  <c r="J26" i="81"/>
  <c r="C15" i="81"/>
  <c r="C18" i="81"/>
  <c r="F69" i="81"/>
  <c r="J29" i="81"/>
  <c r="C66" i="81"/>
  <c r="C60" i="81"/>
  <c r="M19" i="80"/>
  <c r="C118" i="80" s="1"/>
  <c r="H19" i="6"/>
  <c r="L19" i="9" s="1"/>
  <c r="L18" i="9"/>
  <c r="L19" i="80"/>
  <c r="C25" i="11"/>
  <c r="C22" i="11" s="1"/>
  <c r="C31" i="11" s="1"/>
  <c r="C35" i="79"/>
  <c r="C38" i="79"/>
  <c r="C19" i="15"/>
  <c r="C20" i="15" s="1"/>
  <c r="C26" i="15" s="1"/>
  <c r="H27" i="6"/>
  <c r="E2" i="76"/>
  <c r="D16" i="6"/>
  <c r="I27" i="6"/>
  <c r="S19" i="6"/>
  <c r="S27" i="6" s="1"/>
  <c r="D30" i="6"/>
  <c r="C33" i="11"/>
  <c r="H70" i="39"/>
  <c r="I68" i="39"/>
  <c r="C21" i="12"/>
  <c r="C22" i="12" s="1"/>
  <c r="R24" i="6"/>
  <c r="R22" i="6"/>
  <c r="R25" i="6"/>
  <c r="R23" i="6"/>
  <c r="A7" i="51"/>
  <c r="B7" i="72" s="1"/>
  <c r="C4" i="52"/>
  <c r="B45" i="72" s="1"/>
  <c r="A10" i="51"/>
  <c r="B9" i="72" s="1"/>
  <c r="D27" i="6"/>
  <c r="D31" i="6" s="1"/>
  <c r="R19" i="6"/>
  <c r="C10" i="69"/>
  <c r="C8" i="69" s="1"/>
  <c r="C5" i="69" s="1"/>
  <c r="D19" i="69"/>
  <c r="R21" i="6"/>
  <c r="R26" i="6"/>
  <c r="D8" i="74"/>
  <c r="D7" i="74"/>
  <c r="D9" i="71"/>
  <c r="C8" i="71"/>
  <c r="C10" i="68"/>
  <c r="H9" i="68" s="1"/>
  <c r="C8" i="68" s="1"/>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19" i="81" l="1"/>
  <c r="C20" i="81" s="1"/>
  <c r="C26" i="81" s="1"/>
  <c r="B3" i="76"/>
  <c r="C33" i="79"/>
  <c r="C42" i="79" s="1"/>
  <c r="C23" i="15"/>
  <c r="C29" i="15" s="1"/>
  <c r="R27" i="6"/>
  <c r="R6" i="1"/>
  <c r="C39" i="11"/>
  <c r="C42" i="11"/>
  <c r="I70" i="39"/>
  <c r="J68" i="39"/>
  <c r="C30" i="12"/>
  <c r="C28" i="12" s="1"/>
  <c r="C27" i="12"/>
  <c r="C25" i="12" s="1"/>
  <c r="C19" i="69"/>
  <c r="C24" i="69" s="1"/>
  <c r="D37" i="69"/>
  <c r="C37" i="69" s="1"/>
  <c r="C33" i="69" s="1"/>
  <c r="C19" i="68"/>
  <c r="D37" i="68"/>
  <c r="C37" i="68" s="1"/>
  <c r="C33" i="68" s="1"/>
  <c r="C7" i="71"/>
  <c r="T8" i="71"/>
  <c r="D8" i="71"/>
  <c r="U8" i="71" s="1"/>
  <c r="C23" i="69"/>
  <c r="I6" i="6"/>
  <c r="I5" i="6"/>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M21" i="15"/>
  <c r="F35" i="15"/>
  <c r="M21" i="81"/>
  <c r="F35" i="81"/>
  <c r="L51" i="67"/>
  <c r="C23" i="81" l="1"/>
  <c r="C29" i="81" s="1"/>
  <c r="J7" i="21"/>
  <c r="J20" i="81"/>
  <c r="F63" i="81"/>
  <c r="C62" i="81" s="1"/>
  <c r="C34" i="81"/>
  <c r="C31" i="81" s="1"/>
  <c r="C39" i="79"/>
  <c r="Q49" i="15"/>
  <c r="J14" i="15"/>
  <c r="C36" i="15"/>
  <c r="C13" i="15"/>
  <c r="J19" i="15"/>
  <c r="C57" i="15"/>
  <c r="J20" i="15"/>
  <c r="C34" i="15"/>
  <c r="C31" i="15" s="1"/>
  <c r="F63" i="15"/>
  <c r="C62" i="15" s="1"/>
  <c r="R16" i="1"/>
  <c r="C46" i="11"/>
  <c r="C45" i="11" s="1"/>
  <c r="C43" i="11"/>
  <c r="C41" i="11" s="1"/>
  <c r="J11" i="39"/>
  <c r="H11" i="39"/>
  <c r="F11" i="39"/>
  <c r="J70" i="39"/>
  <c r="K68" i="39"/>
  <c r="C20" i="69"/>
  <c r="C25" i="69" s="1"/>
  <c r="C22" i="69" s="1"/>
  <c r="C32" i="12"/>
  <c r="B2" i="12" s="1"/>
  <c r="B3" i="12" s="1"/>
  <c r="C39" i="68"/>
  <c r="C42" i="68"/>
  <c r="C39" i="69"/>
  <c r="C43" i="69" s="1"/>
  <c r="C42" i="69"/>
  <c r="C6" i="71"/>
  <c r="D7" i="71"/>
  <c r="C24" i="68"/>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Q49" i="81" l="1"/>
  <c r="J19" i="81"/>
  <c r="J17" i="81" s="1"/>
  <c r="C57" i="81"/>
  <c r="C36" i="81"/>
  <c r="C13" i="81"/>
  <c r="J14" i="81"/>
  <c r="C43" i="79"/>
  <c r="C41" i="79" s="1"/>
  <c r="C46" i="79"/>
  <c r="C45" i="79" s="1"/>
  <c r="J17" i="15"/>
  <c r="C61" i="15"/>
  <c r="C59" i="15" s="1"/>
  <c r="C64" i="15"/>
  <c r="Q70" i="15"/>
  <c r="C56" i="15"/>
  <c r="C65" i="15" s="1"/>
  <c r="C37" i="15"/>
  <c r="C30" i="15" s="1"/>
  <c r="C39" i="15" s="1"/>
  <c r="C75" i="15"/>
  <c r="J22" i="15"/>
  <c r="J13" i="15"/>
  <c r="J23" i="15" s="1"/>
  <c r="C49" i="11"/>
  <c r="C51" i="11" s="1"/>
  <c r="C52" i="11" s="1"/>
  <c r="B2" i="11" s="1"/>
  <c r="B3" i="11" s="1"/>
  <c r="AA11" i="39"/>
  <c r="S11" i="39"/>
  <c r="W11" i="39"/>
  <c r="AC11" i="39"/>
  <c r="AB11" i="39"/>
  <c r="U11" i="39"/>
  <c r="K70" i="39"/>
  <c r="L68" i="39"/>
  <c r="C28" i="69"/>
  <c r="C27" i="69" s="1"/>
  <c r="C31" i="69" s="1"/>
  <c r="C41" i="69"/>
  <c r="C46" i="69"/>
  <c r="C45" i="69" s="1"/>
  <c r="C5" i="71"/>
  <c r="D6" i="71"/>
  <c r="C46" i="68"/>
  <c r="C45" i="68" s="1"/>
  <c r="C43" i="68"/>
  <c r="C41" i="68" s="1"/>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L51" i="15"/>
  <c r="J13" i="81" l="1"/>
  <c r="J23" i="81" s="1"/>
  <c r="J22" i="81"/>
  <c r="Q70" i="81"/>
  <c r="C56" i="81"/>
  <c r="C65" i="81" s="1"/>
  <c r="C37" i="81"/>
  <c r="C30" i="81" s="1"/>
  <c r="C39" i="81" s="1"/>
  <c r="C75" i="81"/>
  <c r="C61" i="81"/>
  <c r="C59" i="81" s="1"/>
  <c r="C64" i="81"/>
  <c r="C49" i="79"/>
  <c r="C51" i="79" s="1"/>
  <c r="J16" i="15"/>
  <c r="J25" i="15" s="1"/>
  <c r="C58" i="15"/>
  <c r="C67" i="15" s="1"/>
  <c r="C68" i="15" s="1"/>
  <c r="C71" i="15" s="1"/>
  <c r="Q67" i="15"/>
  <c r="C40" i="15"/>
  <c r="B2" i="15" s="1"/>
  <c r="Q69" i="15"/>
  <c r="Q68" i="15" s="1"/>
  <c r="C80" i="15"/>
  <c r="C79" i="15" s="1"/>
  <c r="C56" i="11"/>
  <c r="C57" i="11" s="1"/>
  <c r="L70" i="39"/>
  <c r="M68" i="39"/>
  <c r="C49" i="68"/>
  <c r="C51" i="68" s="1"/>
  <c r="C49" i="69"/>
  <c r="C51" i="69" s="1"/>
  <c r="C52" i="69" s="1"/>
  <c r="B2" i="69" s="1"/>
  <c r="B3" i="69" s="1"/>
  <c r="M20" i="43"/>
  <c r="D5"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AO6" i="1"/>
  <c r="D19" i="9"/>
  <c r="J16" i="81" l="1"/>
  <c r="J25" i="81" s="1"/>
  <c r="C58" i="81"/>
  <c r="C67" i="81" s="1"/>
  <c r="C68" i="81" s="1"/>
  <c r="C71" i="81" s="1"/>
  <c r="C80" i="81"/>
  <c r="C79" i="81" s="1"/>
  <c r="Q69" i="81"/>
  <c r="Q68" i="81" s="1"/>
  <c r="C40" i="81"/>
  <c r="Q65" i="81" s="1"/>
  <c r="Q75" i="81" s="1"/>
  <c r="D102" i="9"/>
  <c r="D21" i="9"/>
  <c r="B3" i="15"/>
  <c r="C83" i="81"/>
  <c r="C82" i="81" s="1"/>
  <c r="C46" i="15"/>
  <c r="B6" i="70"/>
  <c r="Q56" i="15"/>
  <c r="Q62" i="15" s="1"/>
  <c r="C43" i="15"/>
  <c r="C83" i="15"/>
  <c r="C82" i="15" s="1"/>
  <c r="Q65" i="15"/>
  <c r="Q75" i="15" s="1"/>
  <c r="Q47" i="15"/>
  <c r="Q53" i="15" s="1"/>
  <c r="N68" i="39"/>
  <c r="M70" i="39"/>
  <c r="C57" i="69"/>
  <c r="C56" i="69" s="1"/>
  <c r="R39" i="35"/>
  <c r="E38" i="35"/>
  <c r="M63" i="40"/>
  <c r="L65" i="40"/>
  <c r="D20" i="9"/>
  <c r="L51" i="81"/>
  <c r="C46" i="81" l="1"/>
  <c r="Q67" i="81"/>
  <c r="C43" i="81"/>
  <c r="Q56" i="81"/>
  <c r="Q62" i="81" s="1"/>
  <c r="B2" i="81"/>
  <c r="Q47" i="81"/>
  <c r="Q53" i="81" s="1"/>
  <c r="D103" i="9"/>
  <c r="F7" i="39"/>
  <c r="N70" i="39"/>
  <c r="O68" i="39"/>
  <c r="O70" i="39" s="1"/>
  <c r="C39" i="35"/>
  <c r="B2" i="35" s="1"/>
  <c r="B3" i="35" s="1"/>
  <c r="C38" i="35"/>
  <c r="N63" i="40"/>
  <c r="M65" i="40"/>
  <c r="E43" i="35"/>
  <c r="F43" i="35" s="1"/>
  <c r="E42" i="35"/>
  <c r="F42" i="35" s="1"/>
  <c r="I43" i="35"/>
  <c r="J43" i="35" s="1"/>
  <c r="AO7" i="1"/>
  <c r="D19" i="80"/>
  <c r="D21" i="80" l="1"/>
  <c r="D102" i="80"/>
  <c r="B7" i="70"/>
  <c r="B2" i="70" s="1"/>
  <c r="B3" i="70" s="1"/>
  <c r="B3" i="81"/>
  <c r="H7" i="39"/>
  <c r="J7" i="39"/>
  <c r="AA7" i="39"/>
  <c r="R47" i="39" s="1"/>
  <c r="S7" i="39"/>
  <c r="O63" i="40"/>
  <c r="O65" i="40" s="1"/>
  <c r="N65" i="40"/>
  <c r="D20" i="80"/>
  <c r="D103" i="80" l="1"/>
  <c r="E47" i="39"/>
  <c r="AC7" i="39"/>
  <c r="V47" i="39" s="1"/>
  <c r="I47" i="39" s="1"/>
  <c r="W7" i="39"/>
  <c r="AB7" i="39"/>
  <c r="T47" i="39" s="1"/>
  <c r="G47" i="39" s="1"/>
  <c r="U7" i="39"/>
  <c r="J7" i="40"/>
  <c r="F7" i="40"/>
  <c r="H7" i="40"/>
  <c r="R48" i="39" l="1"/>
  <c r="C47" i="39" s="1"/>
  <c r="E51" i="39"/>
  <c r="F51" i="39" s="1"/>
  <c r="E52" i="39"/>
  <c r="F52" i="39" s="1"/>
  <c r="G52" i="39"/>
  <c r="H52" i="39" s="1"/>
  <c r="G51" i="39"/>
  <c r="H51" i="39" s="1"/>
  <c r="I52" i="39"/>
  <c r="J52" i="39" s="1"/>
  <c r="I51" i="39"/>
  <c r="J51" i="39" s="1"/>
  <c r="U7" i="40"/>
  <c r="AB7" i="40"/>
  <c r="T42" i="40" s="1"/>
  <c r="G42" i="40" s="1"/>
  <c r="AA7" i="40"/>
  <c r="R42" i="40" s="1"/>
  <c r="S7" i="40"/>
  <c r="AC7" i="40"/>
  <c r="V42" i="40" s="1"/>
  <c r="I42" i="40" s="1"/>
  <c r="W7" i="40"/>
  <c r="C48" i="39" l="1"/>
  <c r="I46" i="40"/>
  <c r="J46" i="40" s="1"/>
  <c r="R43" i="40"/>
  <c r="E42" i="40"/>
  <c r="G47" i="40"/>
  <c r="H47" i="40" s="1"/>
  <c r="G46" i="40"/>
  <c r="H46" i="40" s="1"/>
  <c r="B61" i="39" l="1"/>
  <c r="F61" i="39" s="1"/>
  <c r="C6" i="79"/>
  <c r="B63" i="39"/>
  <c r="F63" i="39" s="1"/>
  <c r="B56" i="39"/>
  <c r="F56" i="39" s="1"/>
  <c r="F66" i="39" s="1"/>
  <c r="B2" i="39" s="1"/>
  <c r="B3" i="39" s="1"/>
  <c r="C6" i="68"/>
  <c r="B62" i="39"/>
  <c r="F62" i="39" s="1"/>
  <c r="B57" i="39"/>
  <c r="F57" i="39" s="1"/>
  <c r="B64" i="39"/>
  <c r="F64" i="39" s="1"/>
  <c r="B59" i="39"/>
  <c r="F59" i="39" s="1"/>
  <c r="B58" i="39"/>
  <c r="F58" i="39" s="1"/>
  <c r="B60" i="39"/>
  <c r="F60" i="39" s="1"/>
  <c r="B65" i="39"/>
  <c r="F65" i="39" s="1"/>
  <c r="C42" i="40"/>
  <c r="C43" i="40"/>
  <c r="E47" i="40"/>
  <c r="F47" i="40" s="1"/>
  <c r="E46" i="40"/>
  <c r="F46" i="40" s="1"/>
  <c r="I47" i="40"/>
  <c r="J47" i="40" s="1"/>
  <c r="C7" i="79" l="1"/>
  <c r="C5" i="79" s="1"/>
  <c r="C7" i="68"/>
  <c r="C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5" i="68" s="1"/>
  <c r="C20" i="79"/>
  <c r="C25" i="79" s="1"/>
  <c r="C23" i="79"/>
  <c r="C28" i="68" l="1"/>
  <c r="C27" i="68" s="1"/>
  <c r="C28" i="79"/>
  <c r="C27" i="79" s="1"/>
  <c r="C22" i="79"/>
  <c r="C22" i="68"/>
  <c r="C31" i="68" l="1"/>
  <c r="C52" i="68" s="1"/>
  <c r="C57" i="68" s="1"/>
  <c r="C56" i="68" s="1"/>
  <c r="C31" i="79"/>
  <c r="B2" i="68" l="1"/>
  <c r="C52" i="79"/>
  <c r="B2" i="79" s="1"/>
  <c r="C19" i="9"/>
  <c r="B3" i="79"/>
  <c r="C19" i="80"/>
  <c r="B3" i="68"/>
  <c r="D34" i="9"/>
  <c r="D35" i="9"/>
  <c r="C20" i="9"/>
  <c r="D35" i="80"/>
  <c r="D34" i="80"/>
  <c r="G20" i="9" l="1"/>
  <c r="C103" i="9"/>
  <c r="G19" i="9"/>
  <c r="G21" i="9" s="1"/>
  <c r="D22" i="9"/>
  <c r="C102" i="9"/>
  <c r="C21" i="9"/>
  <c r="C102" i="80"/>
  <c r="D22" i="80"/>
  <c r="G19" i="80"/>
  <c r="G21" i="80" s="1"/>
  <c r="C21" i="80"/>
  <c r="C57" i="79"/>
  <c r="C56" i="79" s="1"/>
  <c r="C20" i="80"/>
  <c r="G20" i="80" l="1"/>
  <c r="C103" i="80"/>
  <c r="C32" i="80"/>
  <c r="C35" i="80" s="1"/>
  <c r="C34" i="80" s="1"/>
  <c r="C32" i="9"/>
  <c r="C35" i="9" s="1"/>
  <c r="C34" i="9" s="1"/>
  <c r="D118" i="80" l="1"/>
  <c r="F118" i="80"/>
  <c r="H118" i="80"/>
  <c r="H119" i="80" l="1"/>
  <c r="D119" i="80"/>
  <c r="G118" i="80"/>
  <c r="F119" i="80"/>
  <c r="H101" i="80"/>
  <c r="D45" i="80" s="1"/>
  <c r="D53" i="80" s="1"/>
  <c r="I118" i="80"/>
  <c r="C104" i="80"/>
  <c r="E118" i="80" l="1"/>
  <c r="C64" i="80"/>
  <c r="C63" i="80" s="1"/>
  <c r="C67" i="80" s="1"/>
  <c r="D59" i="80" s="1"/>
  <c r="M55" i="80" s="1"/>
  <c r="H107" i="80"/>
  <c r="M49" i="80" s="1"/>
  <c r="C72" i="80"/>
  <c r="C105" i="80"/>
  <c r="D52" i="80"/>
  <c r="C93" i="80"/>
  <c r="C86" i="80" s="1"/>
  <c r="M48" i="80"/>
  <c r="D55" i="80"/>
  <c r="M53" i="80" s="1"/>
  <c r="C85" i="80"/>
  <c r="C78" i="80"/>
  <c r="C73" i="80" s="1"/>
  <c r="H102" i="80"/>
  <c r="C68" i="80" l="1"/>
  <c r="D54" i="80" s="1"/>
  <c r="C79" i="80"/>
  <c r="C80" i="80" s="1"/>
  <c r="H108" i="80"/>
  <c r="D122" i="80"/>
  <c r="D123" i="80" s="1"/>
  <c r="C95" i="80"/>
  <c r="C96" i="80" s="1"/>
  <c r="E96" i="80" s="1"/>
  <c r="E97" i="80" s="1"/>
  <c r="E80" i="80"/>
  <c r="E81" i="80" s="1"/>
  <c r="L64" i="80"/>
  <c r="M64" i="80" s="1"/>
  <c r="L68" i="80"/>
  <c r="M68" i="80" s="1"/>
  <c r="L66" i="80"/>
  <c r="M66" i="80" s="1"/>
  <c r="L67" i="80"/>
  <c r="M67" i="80" s="1"/>
  <c r="L65" i="80"/>
  <c r="M65" i="80" s="1"/>
  <c r="L63" i="80"/>
  <c r="M63" i="80" s="1"/>
  <c r="C81" i="80" l="1"/>
  <c r="M69" i="80"/>
  <c r="N69" i="80" s="1"/>
  <c r="C97" i="80"/>
  <c r="D58" i="80" s="1"/>
  <c r="D56" i="80" s="1"/>
  <c r="M54" i="80" s="1"/>
  <c r="N57" i="80" s="1"/>
  <c r="P57" i="80" l="1"/>
  <c r="N58" i="80"/>
  <c r="N59" i="80"/>
  <c r="N60" i="80" l="1"/>
  <c r="N61" i="80"/>
  <c r="D118" i="9"/>
  <c r="F118" i="9"/>
  <c r="H118" i="9"/>
  <c r="H4" i="52" l="1"/>
  <c r="F4" i="52"/>
  <c r="B51" i="72" s="1"/>
  <c r="D4" i="52"/>
  <c r="B47" i="72" s="1"/>
  <c r="H101" i="9"/>
  <c r="I118" i="9"/>
  <c r="H119" i="9"/>
  <c r="H5" i="52" s="1"/>
  <c r="F119" i="9"/>
  <c r="F5" i="52" s="1"/>
  <c r="B53" i="72" s="1"/>
  <c r="G118" i="9"/>
  <c r="D119" i="9"/>
  <c r="D5" i="52" s="1"/>
  <c r="B49" i="72" s="1"/>
  <c r="D14" i="74"/>
  <c r="C104" i="9"/>
  <c r="G4" i="52" l="1"/>
  <c r="B52" i="72" s="1"/>
  <c r="E14" i="74"/>
  <c r="B5" i="74"/>
  <c r="F14" i="74"/>
  <c r="M48" i="9"/>
  <c r="D5" i="53"/>
  <c r="D45" i="9"/>
  <c r="H107" i="9"/>
  <c r="I4" i="52"/>
  <c r="C105" i="9"/>
  <c r="E118" i="9"/>
  <c r="H102" i="9"/>
  <c r="D7" i="53" s="1"/>
  <c r="B21" i="72" s="1"/>
  <c r="E4" i="52" l="1"/>
  <c r="B48" i="72" s="1"/>
  <c r="D13" i="53"/>
  <c r="M49" i="9"/>
  <c r="D122" i="9"/>
  <c r="H108" i="9"/>
  <c r="D15" i="53" s="1"/>
  <c r="B31" i="72" s="1"/>
  <c r="B20" i="72"/>
  <c r="D6" i="53"/>
  <c r="B22" i="72" s="1"/>
  <c r="D52" i="9"/>
  <c r="C85" i="9"/>
  <c r="D53" i="9"/>
  <c r="C93" i="9"/>
  <c r="C86" i="9" s="1"/>
  <c r="C78" i="9"/>
  <c r="C73" i="9" s="1"/>
  <c r="C64" i="9"/>
  <c r="C63" i="9" s="1"/>
  <c r="C67" i="9" s="1"/>
  <c r="D55" i="9"/>
  <c r="M53" i="9" s="1"/>
  <c r="C72" i="9"/>
  <c r="C5" i="74"/>
  <c r="D5" i="74"/>
  <c r="C79" i="9" l="1"/>
  <c r="C68" i="9"/>
  <c r="D54" i="9" s="1"/>
  <c r="D59" i="9"/>
  <c r="M55" i="9" s="1"/>
  <c r="C95" i="9"/>
  <c r="L64" i="9"/>
  <c r="M64" i="9" s="1"/>
  <c r="L67" i="9"/>
  <c r="M67" i="9" s="1"/>
  <c r="L65" i="9"/>
  <c r="M65" i="9" s="1"/>
  <c r="L66" i="9"/>
  <c r="M66" i="9" s="1"/>
  <c r="L68" i="9"/>
  <c r="M68" i="9" s="1"/>
  <c r="L63" i="9"/>
  <c r="M63" i="9" s="1"/>
  <c r="C80" i="9"/>
  <c r="E80" i="9" s="1"/>
  <c r="E81" i="9" s="1"/>
  <c r="G14" i="74"/>
  <c r="B6" i="74" s="1"/>
  <c r="D8" i="52"/>
  <c r="D123" i="9"/>
  <c r="D9" i="52" s="1"/>
  <c r="B30" i="72"/>
  <c r="D14" i="53"/>
  <c r="B32" i="72" s="1"/>
  <c r="D6" i="74" l="1"/>
  <c r="C6" i="74"/>
  <c r="C81" i="9"/>
  <c r="M69" i="9"/>
  <c r="N69" i="9" s="1"/>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6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D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D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D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D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E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在建项目均选择“是”</t>
        </r>
      </text>
    </comment>
    <comment ref="F59" authorId="1" shapeId="0" xr:uid="{00000000-0006-0000-2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F00-000006000000}">
      <text>
        <r>
          <rPr>
            <sz val="10"/>
            <color indexed="81"/>
            <rFont val="宋体"/>
            <family val="3"/>
            <charset val="134"/>
          </rPr>
          <t xml:space="preserve">在建
</t>
        </r>
      </text>
    </comment>
    <comment ref="N59" authorId="0" shapeId="0" xr:uid="{00000000-0006-0000-2F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<sst xmlns="http://schemas.openxmlformats.org/spreadsheetml/2006/main" count="8381" uniqueCount="3197">
  <si>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</si>
  <si>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</si>
  <si>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</si>
  <si>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</si>
  <si>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</si>
  <si>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</si>
  <si>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</si>
  <si>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</si>
  <si>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</si>
  <si>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</si>
  <si>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</si>
  <si>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</si>
  <si>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</si>
  <si>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</si>
  <si>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</si>
  <si>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</si>
  <si>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</si>
  <si>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</si>
  <si>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</si>
  <si>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</si>
  <si>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</si>
  <si>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</si>
  <si>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</si>
  <si>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</si>
  <si>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</si>
  <si>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</si>
  <si>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</si>
  <si>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</si>
  <si>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</si>
  <si>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</si>
  <si>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</si>
  <si>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</si>
  <si>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</si>
  <si>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</si>
  <si>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</si>
  <si>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</si>
  <si>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</si>
  <si>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</si>
  <si>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</si>
  <si>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</si>
  <si>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</si>
  <si>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</si>
  <si>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</si>
  <si>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</si>
  <si>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</si>
  <si>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</si>
  <si>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</si>
  <si>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</si>
  <si>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</si>
  <si>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</si>
  <si>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</si>
  <si>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</si>
  <si>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</si>
  <si>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</si>
  <si>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</si>
  <si>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</si>
  <si>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</si>
  <si>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</si>
  <si>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</si>
  <si>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</si>
  <si>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</si>
  <si>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</si>
  <si>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</si>
  <si>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</si>
  <si>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</si>
  <si>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</si>
  <si>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</si>
  <si>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</si>
  <si>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</si>
  <si>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</si>
  <si>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</si>
  <si>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</si>
  <si>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</si>
  <si>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</si>
  <si>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</si>
  <si>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</si>
  <si>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</si>
  <si>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</si>
  <si>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</si>
  <si>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</si>
  <si>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</si>
  <si>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</si>
  <si>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</si>
  <si>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</si>
  <si>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</si>
  <si>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</si>
  <si>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</si>
  <si>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</si>
  <si>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</si>
  <si>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</si>
  <si>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</si>
  <si>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</si>
  <si>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</si>
  <si>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</si>
  <si>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</si>
  <si>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</si>
  <si>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</si>
  <si>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</si>
  <si>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</si>
  <si>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</si>
  <si>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</si>
  <si>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</si>
  <si>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</si>
  <si>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</si>
  <si>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</si>
  <si>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</si>
  <si>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</si>
  <si>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</si>
  <si>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</si>
  <si>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</si>
  <si>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</si>
  <si>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</si>
  <si>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</si>
  <si>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</si>
  <si>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</si>
  <si>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</si>
  <si>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</si>
  <si>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</si>
  <si>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</si>
  <si>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</si>
  <si>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</si>
  <si>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</si>
  <si>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</si>
  <si>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</si>
  <si>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</si>
  <si>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</si>
  <si>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</si>
  <si>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</si>
  <si>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</si>
  <si>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</si>
  <si>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</si>
  <si>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</si>
  <si>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</si>
  <si>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</si>
  <si>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</si>
  <si>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</si>
  <si>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</si>
  <si>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</si>
  <si>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</si>
  <si>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</si>
  <si>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</si>
  <si>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</si>
  <si>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</si>
  <si>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</si>
  <si>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</si>
  <si>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</si>
  <si>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</si>
  <si>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</si>
  <si>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</si>
  <si>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</si>
  <si>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</si>
  <si>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</si>
  <si>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</si>
  <si>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</si>
  <si>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</si>
  <si>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</si>
  <si>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</si>
  <si>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</si>
  <si>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</si>
  <si>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</si>
  <si>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</si>
  <si>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</si>
  <si>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</si>
  <si>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</si>
  <si>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</si>
  <si>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</si>
  <si>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</si>
  <si>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</si>
  <si>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</si>
  <si>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</si>
  <si>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</si>
  <si>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</si>
  <si>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</si>
  <si>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</si>
  <si>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</si>
  <si>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</si>
  <si>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</si>
  <si>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</si>
  <si>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</si>
  <si>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</si>
  <si>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</si>
  <si>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</si>
  <si>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</si>
  <si>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</si>
  <si>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</si>
  <si>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</si>
  <si>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</si>
  <si>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</si>
  <si>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</si>
  <si>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</si>
  <si>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</si>
  <si>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</si>
  <si>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</si>
  <si>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</si>
  <si>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</si>
  <si>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</si>
  <si>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</si>
  <si>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</si>
  <si>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</si>
  <si>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</si>
  <si>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</si>
  <si>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</si>
  <si>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</si>
  <si>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</si>
  <si>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</si>
  <si>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</si>
  <si>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</si>
  <si>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</si>
  <si>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</si>
  <si>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</si>
  <si>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</si>
  <si>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</si>
  <si>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</si>
  <si>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</si>
  <si>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</si>
  <si>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</si>
  <si>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</si>
  <si>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</si>
  <si>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</si>
  <si>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</si>
  <si>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</si>
  <si>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</si>
  <si>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</si>
  <si>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</si>
  <si>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</si>
  <si>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</si>
  <si>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</si>
  <si>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</si>
  <si>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</si>
  <si>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</si>
  <si>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</si>
  <si>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</si>
  <si>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</si>
  <si>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</si>
  <si>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</si>
  <si>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</si>
  <si>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</si>
  <si>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</si>
  <si>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</si>
  <si>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</si>
  <si>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</si>
  <si>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</si>
  <si>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</si>
  <si>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</si>
  <si>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</si>
  <si>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</si>
  <si>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</si>
  <si>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</si>
  <si>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</si>
  <si>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</si>
  <si>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</si>
  <si>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</si>
  <si>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</si>
  <si>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</si>
  <si>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</si>
  <si>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</si>
  <si>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</si>
  <si>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</si>
  <si>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</si>
  <si>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</si>
  <si>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</si>
  <si>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</si>
  <si>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</si>
  <si>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</si>
  <si>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</si>
  <si>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</si>
  <si>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</si>
  <si>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</si>
  <si>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</si>
  <si>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</si>
  <si>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</si>
  <si>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</si>
  <si>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</si>
  <si>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</si>
  <si>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</si>
  <si>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</si>
  <si>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</si>
  <si>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</si>
  <si>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</si>
  <si>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</si>
  <si>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</si>
  <si>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</si>
  <si>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</si>
  <si>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</si>
  <si>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</si>
  <si>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</si>
  <si>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</si>
  <si>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</si>
  <si>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</si>
  <si>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</si>
  <si>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</si>
  <si>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</si>
  <si>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</si>
  <si>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</si>
  <si>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</si>
  <si>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</si>
  <si>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</si>
  <si>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</si>
  <si>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</si>
  <si>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</si>
  <si>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</si>
  <si>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</si>
  <si>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</si>
  <si>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</si>
  <si>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</si>
  <si>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</si>
  <si>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</si>
  <si>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</si>
  <si>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</si>
  <si>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</si>
  <si>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</si>
  <si>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</si>
  <si>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</si>
  <si>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</si>
  <si>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</si>
  <si>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</si>
  <si>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</si>
  <si>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</si>
  <si>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</si>
  <si>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</si>
  <si>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</si>
  <si>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</si>
  <si>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</si>
  <si>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</si>
  <si>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</si>
  <si>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</si>
  <si>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</si>
  <si>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</si>
  <si>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</si>
  <si>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</si>
  <si>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</si>
  <si>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</si>
  <si>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</si>
  <si>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</si>
  <si>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</si>
  <si>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</si>
  <si>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</si>
  <si>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</si>
  <si>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</si>
  <si>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</si>
  <si>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</si>
  <si>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</si>
  <si>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</si>
  <si>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</si>
  <si>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</si>
  <si>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</si>
  <si>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</si>
  <si>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</si>
  <si>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</si>
  <si>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</si>
  <si>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</si>
  <si>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</si>
  <si>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</si>
  <si>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</si>
  <si>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</si>
  <si>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</si>
  <si>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</si>
  <si>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</si>
  <si>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</si>
  <si>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</si>
  <si>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</si>
  <si>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</si>
  <si>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</si>
  <si>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</si>
  <si>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</si>
  <si>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</si>
  <si>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</si>
  <si>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</si>
  <si>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</si>
  <si>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</si>
  <si>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</si>
  <si>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</si>
  <si>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</si>
  <si>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</si>
  <si>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</si>
  <si>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</si>
  <si>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</si>
  <si>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</si>
  <si>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</si>
  <si>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</si>
  <si>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</si>
  <si>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</si>
  <si>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</si>
  <si>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</si>
  <si>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</si>
  <si>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</si>
  <si>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</si>
  <si>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</si>
  <si>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</si>
  <si>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</si>
  <si>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</si>
  <si>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</si>
  <si>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</si>
  <si>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</si>
  <si>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</si>
  <si>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</si>
  <si>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</si>
  <si>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</si>
  <si>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</si>
  <si>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</si>
  <si>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</si>
  <si>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</si>
  <si>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</si>
  <si>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</si>
  <si>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</si>
  <si>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</si>
  <si>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</si>
  <si>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</si>
  <si>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</si>
  <si>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</si>
  <si>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</si>
  <si>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</si>
  <si>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</si>
  <si>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</si>
  <si>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</si>
  <si>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</si>
  <si>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</si>
  <si>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</si>
  <si>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</si>
  <si>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</si>
  <si>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</si>
  <si>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</si>
  <si>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</si>
  <si>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</si>
  <si>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</si>
  <si>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</si>
  <si>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</si>
  <si>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</si>
  <si>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</si>
  <si>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</si>
  <si>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</si>
  <si>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</si>
  <si>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</si>
  <si>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</si>
  <si>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</si>
  <si>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</si>
  <si>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</si>
  <si>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</si>
  <si>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</si>
  <si>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</si>
  <si>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</si>
  <si>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</si>
  <si>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</si>
  <si>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</si>
  <si>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</si>
  <si>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</si>
  <si>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</si>
  <si>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</si>
  <si>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</si>
  <si>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</si>
  <si>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</si>
  <si>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</si>
  <si>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</si>
  <si>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</si>
  <si>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</si>
  <si>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</si>
  <si>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</si>
  <si>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</si>
  <si>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</si>
  <si>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</si>
  <si>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</si>
  <si>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</si>
  <si>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</si>
  <si>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</si>
  <si>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</si>
  <si>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</si>
  <si>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</si>
  <si>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</si>
  <si>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</si>
  <si>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</si>
  <si>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</si>
  <si>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</si>
  <si>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</si>
  <si>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</si>
  <si>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</si>
  <si>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</si>
  <si>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</si>
  <si>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</si>
  <si>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</si>
  <si>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</si>
  <si>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</si>
  <si>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</si>
  <si>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</si>
  <si>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</si>
  <si>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</si>
  <si>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</si>
  <si>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</si>
  <si>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</si>
  <si>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</si>
  <si>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</si>
  <si>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</si>
  <si>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</si>
  <si>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</si>
  <si>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</si>
  <si>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</si>
  <si>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</si>
  <si>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</si>
  <si>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</si>
  <si>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</si>
  <si>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</si>
  <si>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</si>
  <si>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</si>
  <si>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</si>
  <si>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</si>
  <si>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</si>
  <si>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</si>
  <si>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</si>
  <si>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</si>
  <si>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</si>
  <si>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</si>
  <si>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</si>
  <si>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</si>
  <si>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</si>
  <si>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</si>
  <si>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</si>
  <si>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</si>
  <si>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</si>
  <si>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</si>
  <si>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</si>
  <si>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</si>
  <si>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</si>
  <si>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</si>
  <si>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</si>
  <si>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</si>
  <si>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</si>
  <si>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</si>
  <si>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</si>
  <si>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</si>
  <si>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</si>
  <si>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</si>
  <si>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</si>
  <si>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</si>
  <si>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</si>
  <si>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</si>
  <si>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</si>
  <si>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</si>
  <si>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</si>
  <si>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</si>
  <si>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</si>
  <si>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</si>
  <si>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</si>
  <si>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</si>
  <si>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</si>
  <si>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</si>
  <si>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</si>
  <si>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</si>
  <si>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</si>
  <si>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</si>
  <si>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</si>
  <si>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</si>
  <si>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</si>
  <si>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</si>
  <si>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</si>
  <si>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</si>
  <si>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</si>
  <si>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</si>
  <si>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</si>
  <si>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</si>
  <si>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</si>
  <si>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</si>
  <si>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</si>
  <si>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</si>
  <si>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</si>
  <si>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</si>
  <si>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</si>
  <si>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</si>
  <si>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</si>
  <si>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</si>
  <si>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</si>
  <si>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</si>
  <si>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</si>
  <si>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</si>
  <si>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</si>
  <si>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</si>
  <si>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</si>
  <si>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</si>
  <si>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</si>
  <si>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</si>
  <si>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</si>
  <si>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</si>
  <si>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</si>
  <si>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</si>
  <si>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</si>
  <si>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</si>
  <si>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</si>
  <si>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</si>
  <si>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</si>
  <si>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</si>
  <si>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</si>
  <si>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</si>
  <si>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</si>
  <si>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</si>
  <si>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</si>
  <si>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</si>
  <si>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</si>
  <si>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</si>
  <si>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</si>
  <si>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</si>
  <si>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</si>
  <si>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</si>
  <si>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</si>
  <si>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</si>
  <si>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</si>
  <si>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</si>
  <si>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</si>
  <si>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</si>
  <si>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</si>
  <si>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</si>
  <si>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</si>
  <si>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</si>
  <si>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</si>
  <si>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</si>
  <si>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</si>
  <si>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</si>
  <si>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</si>
  <si>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</si>
  <si>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</si>
  <si>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</si>
  <si>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</si>
  <si>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</si>
  <si>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</si>
  <si>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</si>
  <si>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</si>
  <si>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</si>
  <si>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</si>
  <si>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</si>
  <si>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</si>
  <si>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</si>
  <si>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</si>
  <si>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</si>
  <si>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</si>
  <si>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</si>
  <si>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</si>
  <si>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</si>
  <si>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</si>
  <si>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</si>
  <si>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</si>
  <si>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</si>
  <si>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</si>
  <si>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</si>
  <si>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</si>
  <si>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</si>
  <si>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</si>
  <si>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</si>
  <si>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</si>
  <si>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</si>
  <si>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</si>
  <si>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</si>
  <si>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</si>
  <si>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</si>
  <si>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</si>
  <si>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</si>
  <si>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</si>
  <si>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</si>
  <si>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</si>
  <si>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</si>
  <si>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</si>
  <si>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</si>
  <si>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</si>
  <si>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</si>
  <si>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</si>
  <si>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</si>
  <si>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</si>
  <si>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</si>
  <si>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</si>
  <si>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</si>
  <si>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</si>
  <si>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</si>
  <si>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</si>
  <si>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</si>
  <si>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</si>
  <si>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</si>
  <si>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</si>
  <si>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</si>
  <si>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</si>
  <si>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</si>
  <si>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</si>
  <si>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</si>
  <si>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</si>
  <si>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</si>
  <si>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</si>
  <si>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</si>
  <si>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</si>
  <si>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</si>
  <si>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</si>
  <si>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</si>
  <si>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</si>
  <si>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</si>
  <si>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</si>
  <si>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</si>
  <si>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</si>
  <si>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</si>
  <si>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</si>
  <si>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</si>
  <si>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</si>
  <si>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</si>
  <si>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</si>
  <si>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</si>
  <si>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</si>
  <si>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</si>
  <si>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</si>
  <si>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</si>
  <si>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</si>
  <si>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</si>
  <si>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</si>
  <si>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</si>
  <si>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</si>
  <si>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</si>
  <si>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</si>
  <si>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</si>
  <si>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</si>
  <si>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</si>
  <si>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</si>
  <si>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</si>
  <si>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</si>
  <si>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</si>
  <si>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</si>
  <si>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</si>
  <si>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</si>
  <si>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</si>
  <si>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</si>
  <si>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</si>
  <si>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</si>
  <si>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</si>
  <si>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</si>
  <si>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</si>
  <si>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</si>
  <si>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</si>
  <si>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</si>
  <si>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</si>
  <si>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</si>
  <si>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</si>
  <si>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</si>
  <si>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</si>
  <si>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</si>
  <si>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</si>
  <si>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</si>
  <si>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</si>
  <si>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</si>
  <si>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</si>
  <si>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</si>
  <si>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</si>
  <si>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</si>
  <si>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</si>
  <si>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</si>
  <si>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</si>
  <si>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</si>
  <si>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</si>
  <si>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</si>
  <si>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</si>
  <si>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</si>
  <si>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</si>
  <si>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</si>
  <si>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</si>
  <si>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</si>
  <si>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</si>
  <si>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</si>
  <si>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</si>
  <si>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</si>
  <si>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</si>
  <si>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</si>
  <si>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</si>
  <si>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</si>
  <si>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</si>
  <si>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</si>
  <si>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</si>
  <si>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</si>
  <si>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</si>
  <si>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</si>
  <si>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</si>
  <si>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</si>
  <si>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</si>
  <si>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</si>
  <si>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</si>
  <si>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</si>
  <si>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</si>
  <si>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</si>
  <si>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</si>
  <si>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</si>
  <si>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</si>
  <si>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</si>
  <si>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</si>
  <si>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</si>
  <si>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</si>
  <si>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</si>
  <si>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</si>
  <si>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</si>
  <si>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</si>
  <si>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</si>
  <si>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</si>
  <si>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</si>
  <si>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</si>
  <si>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</si>
  <si>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</si>
  <si>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</si>
  <si>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</si>
  <si>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</si>
  <si>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</si>
  <si>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</si>
  <si>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</si>
  <si>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</si>
  <si>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</si>
  <si>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</si>
  <si>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</si>
  <si>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</si>
  <si>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</si>
  <si>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</si>
  <si>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</si>
  <si>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</si>
  <si>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</si>
  <si>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</si>
  <si>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</si>
  <si>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</si>
  <si>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</si>
  <si>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</si>
  <si>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</si>
  <si>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</si>
  <si>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</si>
  <si>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</si>
  <si>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</si>
  <si>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</si>
  <si>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</si>
  <si>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</si>
  <si>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</si>
  <si>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</si>
  <si>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</si>
  <si>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</si>
  <si>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</si>
  <si>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</si>
  <si>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</si>
  <si>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</si>
  <si>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</si>
  <si>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</si>
  <si>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</si>
  <si>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</si>
  <si>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</si>
  <si>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</si>
  <si>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</si>
  <si>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</si>
  <si>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</si>
  <si>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</si>
  <si>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</si>
  <si>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</si>
  <si>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</si>
  <si>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</si>
  <si>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</si>
  <si>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</si>
  <si>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</si>
  <si>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</si>
  <si>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</si>
  <si>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</si>
  <si>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</si>
  <si>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</si>
  <si>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</si>
  <si>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</si>
  <si>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</si>
  <si>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</si>
  <si>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</si>
  <si>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</si>
  <si>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</si>
  <si>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</si>
  <si>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</si>
  <si>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</si>
  <si>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</si>
  <si>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</si>
  <si>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</si>
  <si>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</si>
  <si>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</si>
  <si>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</si>
  <si>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</si>
  <si>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</si>
  <si>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</si>
  <si>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</si>
  <si>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</si>
  <si>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</si>
  <si>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</si>
  <si>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</si>
  <si>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</si>
  <si>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</si>
  <si>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</si>
  <si>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</si>
  <si>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</si>
  <si>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</si>
  <si>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</si>
  <si>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</si>
  <si>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</si>
  <si>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</si>
  <si>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</si>
  <si>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</si>
  <si>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</si>
  <si>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</si>
  <si>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</si>
  <si>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</si>
  <si>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</si>
  <si>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</si>
  <si>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</si>
  <si>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</si>
  <si>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</si>
  <si>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</si>
  <si>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</si>
  <si>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</si>
  <si>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</si>
  <si>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</si>
  <si>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</si>
  <si>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</si>
  <si>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</si>
  <si>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</si>
  <si>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</si>
  <si>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</si>
  <si>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</si>
  <si>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</si>
  <si>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</si>
  <si>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</si>
  <si>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</si>
  <si>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</si>
  <si>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</si>
  <si>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</si>
  <si>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</si>
  <si>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</si>
  <si>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</si>
  <si>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</si>
  <si>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</si>
  <si>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</si>
  <si>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</si>
  <si>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</si>
  <si>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</si>
  <si>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</si>
  <si>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</si>
  <si>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</si>
  <si>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</si>
  <si>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</si>
  <si>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</si>
  <si>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</si>
  <si>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</si>
  <si>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</si>
  <si>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</si>
  <si>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</si>
  <si>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</si>
  <si>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</si>
  <si>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</si>
  <si>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</si>
  <si>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</si>
  <si>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</si>
  <si>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</si>
  <si>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</si>
  <si>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</si>
  <si>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</si>
  <si>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</si>
  <si>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</si>
  <si>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</si>
  <si>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</si>
  <si>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</si>
  <si>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</si>
  <si>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</si>
  <si>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</si>
  <si>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</si>
  <si>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</si>
  <si>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</si>
  <si>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</si>
  <si>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</si>
  <si>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</si>
  <si>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</si>
  <si>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</si>
  <si>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</si>
  <si>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</si>
  <si>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</si>
  <si>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</si>
  <si>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</si>
  <si>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</si>
  <si>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</si>
  <si>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</si>
  <si>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</si>
  <si>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</si>
  <si>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</si>
  <si>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</si>
  <si>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</si>
  <si>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</si>
  <si>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</si>
  <si>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</si>
  <si>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</si>
  <si>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</si>
  <si>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</si>
  <si>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</si>
  <si>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</si>
  <si>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</si>
  <si>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</si>
  <si>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</si>
  <si>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</si>
  <si>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</si>
  <si>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</si>
  <si>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</si>
  <si>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</si>
  <si>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</si>
  <si>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</si>
  <si>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</si>
  <si>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</si>
  <si>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</si>
  <si>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</si>
  <si>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</si>
  <si>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</si>
  <si>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</si>
  <si>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</si>
  <si>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</si>
  <si>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</si>
  <si>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</si>
  <si>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</si>
  <si>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</si>
  <si>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</si>
  <si>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</si>
  <si>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</si>
  <si>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</si>
  <si>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</si>
  <si>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</si>
  <si>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</si>
  <si>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</si>
  <si>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</si>
  <si>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</si>
  <si>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</si>
  <si>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</si>
  <si>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</si>
  <si>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</si>
  <si>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</si>
  <si>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</si>
  <si>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</si>
  <si>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</si>
  <si>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</si>
  <si>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</si>
  <si>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</si>
  <si>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</si>
  <si>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</si>
  <si>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</si>
  <si>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</si>
  <si>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</si>
  <si>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</si>
  <si>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</si>
  <si>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</si>
  <si>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</si>
  <si>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</si>
  <si>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</si>
  <si>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</si>
  <si>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</si>
  <si>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</si>
  <si>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</si>
  <si>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</si>
  <si>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</si>
  <si>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</si>
  <si>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</si>
  <si>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</si>
  <si>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</si>
  <si>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</si>
  <si>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</si>
  <si>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</si>
  <si>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</si>
  <si>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</si>
  <si>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</si>
  <si>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</si>
  <si>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</si>
  <si>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</si>
  <si>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</si>
  <si>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</si>
  <si>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</si>
  <si>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</si>
  <si>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</si>
  <si>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</si>
  <si>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</si>
  <si>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</si>
  <si>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</si>
  <si>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</si>
  <si>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</si>
  <si>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</si>
  <si>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</si>
  <si>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</si>
  <si>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</si>
  <si>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</si>
  <si>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</si>
  <si>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</si>
  <si>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</si>
  <si>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</si>
  <si>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</si>
  <si>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</si>
  <si>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</si>
  <si>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</si>
  <si>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</si>
  <si>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</si>
  <si>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</si>
  <si>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</si>
  <si>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</si>
  <si>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</si>
  <si>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</si>
  <si>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</si>
  <si>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</si>
  <si>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</si>
  <si>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</si>
  <si>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</si>
  <si>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</si>
  <si>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</si>
  <si>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</si>
  <si>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</si>
  <si>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</si>
  <si>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</si>
  <si>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</si>
  <si>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</si>
  <si>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</si>
  <si>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</si>
  <si>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</si>
  <si>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</si>
  <si>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</si>
  <si>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</si>
  <si>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</si>
  <si>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</si>
  <si>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</si>
  <si>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</si>
  <si>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</si>
  <si>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</si>
  <si>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</si>
  <si>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</si>
  <si>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</si>
  <si>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</si>
  <si>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</si>
  <si>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</si>
  <si>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</si>
  <si>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</si>
  <si>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</si>
  <si>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</si>
  <si>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</si>
  <si>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</si>
  <si>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</si>
  <si>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</si>
  <si>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</si>
  <si>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</si>
  <si>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</si>
  <si>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</si>
  <si>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</si>
  <si>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</si>
  <si>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</si>
  <si>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</si>
  <si>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</si>
  <si>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</si>
  <si>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</si>
  <si>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</si>
  <si>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</si>
  <si>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</si>
  <si>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</si>
  <si>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</si>
  <si>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</si>
  <si>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</si>
  <si>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</si>
  <si>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</si>
  <si>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</si>
  <si>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</si>
  <si>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</si>
  <si>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</si>
  <si>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</si>
  <si>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</si>
  <si>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</si>
  <si>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</si>
  <si>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</si>
  <si>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</si>
  <si>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</si>
  <si>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</si>
  <si>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</si>
  <si>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</si>
  <si>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</si>
  <si>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</si>
  <si>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</si>
  <si>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</si>
  <si>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</si>
  <si>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</si>
  <si>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</si>
  <si>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</si>
  <si>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</si>
  <si>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</si>
  <si>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</si>
  <si>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</si>
  <si>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</si>
  <si>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</si>
  <si>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</si>
  <si>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</si>
  <si>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</si>
  <si>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</si>
  <si>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</si>
  <si>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</si>
  <si>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</si>
  <si>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</si>
  <si>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</si>
  <si>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</si>
  <si>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</si>
  <si>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</si>
  <si>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</si>
  <si>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</si>
  <si>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</si>
  <si>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</si>
  <si>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</si>
  <si>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</si>
  <si>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</si>
  <si>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</si>
  <si>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</si>
  <si>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</si>
  <si>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</si>
  <si>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</si>
  <si>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</si>
  <si>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</si>
  <si>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</si>
  <si>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</si>
  <si>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</si>
  <si>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</si>
  <si>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</si>
  <si>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</si>
  <si>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</si>
  <si>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</si>
  <si>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</si>
  <si>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</si>
  <si>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</si>
  <si>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</si>
  <si>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</si>
  <si>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</si>
  <si>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</si>
  <si>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</si>
  <si>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</si>
  <si>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</si>
  <si>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</si>
  <si>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</si>
  <si>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</si>
  <si>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</si>
  <si>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</si>
  <si>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</si>
  <si>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</si>
  <si>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</si>
  <si>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</si>
  <si>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</si>
  <si>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</si>
  <si>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</si>
  <si>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</si>
  <si>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</si>
  <si>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</si>
  <si>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</si>
  <si>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</si>
  <si>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</si>
  <si>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</si>
  <si>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</si>
  <si>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</si>
  <si>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</si>
  <si>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</si>
  <si>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</si>
  <si>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</si>
  <si>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</si>
  <si>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</si>
  <si>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</si>
  <si>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</si>
  <si>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</si>
  <si>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</si>
  <si>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</si>
  <si>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</si>
  <si>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</si>
  <si>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</si>
  <si>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</si>
  <si>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</si>
  <si>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</si>
  <si>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</si>
  <si>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</si>
  <si>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</si>
  <si>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</si>
  <si>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</si>
  <si>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</si>
  <si>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</si>
  <si>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</si>
  <si>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</si>
  <si>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</si>
  <si>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</si>
  <si>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</si>
  <si>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</si>
  <si>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</si>
  <si>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</si>
  <si>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</si>
  <si>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</si>
  <si>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</si>
  <si>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</si>
  <si>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</si>
  <si>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</si>
  <si>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</si>
  <si>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</si>
  <si>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</si>
  <si>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</si>
  <si>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</si>
  <si>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</si>
  <si>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</si>
  <si>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</si>
  <si>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</si>
  <si>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</si>
  <si>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</si>
  <si>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</si>
  <si>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</si>
  <si>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</si>
  <si>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</si>
  <si>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</si>
  <si>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</si>
  <si>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</si>
  <si>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</si>
  <si>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</si>
  <si>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</si>
  <si>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</si>
  <si>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</si>
  <si>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</si>
  <si>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</si>
  <si>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</si>
  <si>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</si>
  <si>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</si>
  <si>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</si>
  <si>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</si>
  <si>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</si>
  <si>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</si>
  <si>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</si>
  <si>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</si>
  <si>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</si>
  <si>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</si>
  <si>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</si>
  <si>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</si>
  <si>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</si>
  <si>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</si>
  <si>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</si>
  <si>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</si>
  <si>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</si>
  <si>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</si>
  <si>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</si>
  <si>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</si>
  <si>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</si>
  <si>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</si>
  <si>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</si>
  <si>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</si>
  <si>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</si>
  <si>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</si>
  <si>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</si>
  <si>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</si>
  <si>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</si>
  <si>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</si>
  <si>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</si>
  <si>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</si>
  <si>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</si>
  <si>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</si>
  <si>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</si>
  <si>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</si>
  <si>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</si>
  <si>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</si>
  <si>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</si>
  <si>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</si>
  <si>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</si>
  <si>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</si>
  <si>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</si>
  <si>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</si>
  <si>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</si>
  <si>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</si>
  <si>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</si>
  <si>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</si>
  <si>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</si>
  <si>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</si>
  <si>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</si>
  <si>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</si>
  <si>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</si>
  <si>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</si>
  <si>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</si>
  <si>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</si>
  <si>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</si>
  <si>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</si>
  <si>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</si>
  <si>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</si>
  <si>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</si>
  <si>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</si>
  <si>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</si>
  <si>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</si>
  <si>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</si>
  <si>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</si>
  <si>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</si>
  <si>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</si>
  <si>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</si>
  <si>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</si>
  <si>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</si>
  <si>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</si>
  <si>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</si>
  <si>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</si>
  <si>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</si>
  <si>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</si>
  <si>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</si>
  <si>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</si>
  <si>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</si>
  <si>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</si>
  <si>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</si>
  <si>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</si>
  <si>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</si>
  <si>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</si>
  <si>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</si>
  <si>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</si>
  <si>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</si>
  <si>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</si>
  <si>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</si>
  <si>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</si>
  <si>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</si>
  <si>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</si>
  <si>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</si>
  <si>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</si>
  <si>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</si>
  <si>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</si>
  <si>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</si>
  <si>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</si>
  <si>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</si>
  <si>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</si>
  <si>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</si>
  <si>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</si>
  <si>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</si>
  <si>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</si>
  <si>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</si>
  <si>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</si>
  <si>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</si>
  <si>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</si>
  <si>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</si>
  <si>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</si>
  <si>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</si>
  <si>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</si>
  <si>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</si>
  <si>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</si>
  <si>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</si>
  <si>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</si>
  <si>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</si>
  <si>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</si>
  <si>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</si>
  <si>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</si>
  <si>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</si>
  <si>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</si>
  <si>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</si>
  <si>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</si>
  <si>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</si>
  <si>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</si>
  <si>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</si>
  <si>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</si>
  <si>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</si>
  <si>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</si>
  <si>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</si>
  <si>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</si>
  <si>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</si>
  <si>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</si>
  <si>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</si>
  <si>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</si>
  <si>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</si>
  <si>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</si>
  <si>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</si>
  <si>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</si>
  <si>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</si>
  <si>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</si>
  <si>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</si>
  <si>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</si>
  <si>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</si>
  <si>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</si>
  <si>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</si>
  <si>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</si>
  <si>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</si>
  <si>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</si>
  <si>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</si>
  <si>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</si>
  <si>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</si>
  <si>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</si>
  <si>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</si>
  <si>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</si>
  <si>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</si>
  <si>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</si>
  <si>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</si>
  <si>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</si>
  <si>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</si>
  <si>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</si>
  <si>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</si>
  <si>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</si>
  <si>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</si>
  <si>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</si>
  <si>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</si>
  <si>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</si>
  <si>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</si>
  <si>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</si>
  <si>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</si>
  <si>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</si>
  <si>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</si>
  <si>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</si>
  <si>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</si>
  <si>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</si>
  <si>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</si>
  <si>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</si>
  <si>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</si>
  <si>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</si>
  <si>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</si>
  <si>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</si>
  <si>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</si>
  <si>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</si>
  <si>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</si>
  <si>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</si>
  <si>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</si>
  <si>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</si>
  <si>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</si>
  <si>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</si>
  <si>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</si>
  <si>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</si>
  <si>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</si>
  <si>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</si>
  <si>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</si>
  <si>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</si>
  <si>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</si>
  <si>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</si>
  <si>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</si>
  <si>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</si>
  <si>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</si>
  <si>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</si>
  <si>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</si>
  <si>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</si>
  <si>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</si>
  <si>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</si>
  <si>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</si>
  <si>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</si>
  <si>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</si>
  <si>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</si>
  <si>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</si>
  <si>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</si>
  <si>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</si>
  <si>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</si>
  <si>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</si>
  <si>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</si>
  <si>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</si>
  <si>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</si>
  <si>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</si>
  <si>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</si>
  <si>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</si>
  <si>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</si>
  <si>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</si>
  <si>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</si>
  <si>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</si>
  <si>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</si>
  <si>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</si>
  <si>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</si>
  <si>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</si>
  <si>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</si>
  <si>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</si>
  <si>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</si>
  <si>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</si>
  <si>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</si>
  <si>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</si>
  <si>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</si>
  <si>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</si>
  <si>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</si>
  <si>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</si>
  <si>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</si>
  <si>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</si>
  <si>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</si>
  <si>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</si>
  <si>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</si>
  <si>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</si>
  <si>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</si>
  <si>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</si>
  <si>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</si>
  <si>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</si>
  <si>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</si>
  <si>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</si>
  <si>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</si>
  <si>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</si>
  <si>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</si>
  <si>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</si>
  <si>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</si>
  <si>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</si>
  <si>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</si>
  <si>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</si>
  <si>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</si>
  <si>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</si>
  <si>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</si>
  <si>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</si>
  <si>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</si>
  <si>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</si>
  <si>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</si>
  <si>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</si>
  <si>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</si>
  <si>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</si>
  <si>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</si>
  <si>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</si>
  <si>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</si>
  <si>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</si>
  <si>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</si>
  <si>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</si>
  <si>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</si>
  <si>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</si>
  <si>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</si>
  <si>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</si>
  <si>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</si>
  <si>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</si>
  <si>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</si>
  <si>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</si>
  <si>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</si>
  <si>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</si>
  <si>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</si>
  <si>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</si>
  <si>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</si>
  <si>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</si>
  <si>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</si>
  <si>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</si>
  <si>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</si>
  <si>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</si>
  <si>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</si>
  <si>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</si>
  <si>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</si>
  <si>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</si>
  <si>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</si>
  <si>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</si>
  <si>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</si>
  <si>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</si>
  <si>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</si>
  <si>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</si>
  <si>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</si>
  <si>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</si>
  <si>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</si>
  <si>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</si>
  <si>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</si>
  <si>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</si>
  <si>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</si>
  <si>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</si>
  <si>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</si>
  <si>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</si>
  <si>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</si>
  <si>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</si>
  <si>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</si>
  <si>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</si>
  <si>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</si>
  <si>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</si>
  <si>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</si>
  <si>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</si>
  <si>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</si>
  <si>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</si>
  <si>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</si>
  <si>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</si>
  <si>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</si>
  <si>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</si>
  <si>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</si>
  <si>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</si>
  <si>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</si>
  <si>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</si>
  <si>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</si>
  <si>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</si>
  <si>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</si>
  <si>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</si>
  <si>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</si>
  <si>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</si>
  <si>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</si>
  <si>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</si>
  <si>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</si>
  <si>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</si>
  <si>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</si>
  <si>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</si>
  <si>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</si>
  <si>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</si>
  <si>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</si>
  <si>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</si>
  <si>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</si>
  <si>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</si>
  <si>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</si>
  <si>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</si>
  <si>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</si>
  <si>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</si>
  <si>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</si>
  <si>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</si>
  <si>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</si>
  <si>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</si>
  <si>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</si>
  <si>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</si>
  <si>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</si>
  <si>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</si>
  <si>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</si>
  <si>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</si>
  <si>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</si>
  <si>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</si>
  <si>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</si>
  <si>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</si>
  <si>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</si>
  <si>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</si>
  <si>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</si>
  <si>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</si>
  <si>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</si>
  <si>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</si>
  <si>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</si>
  <si>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</si>
  <si>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</si>
  <si>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</si>
  <si>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</si>
  <si>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</si>
  <si>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</si>
  <si>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</si>
  <si>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</si>
  <si>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</si>
  <si>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</si>
  <si>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</si>
  <si>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</si>
  <si>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</si>
  <si>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</si>
  <si>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</si>
  <si>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</si>
  <si>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</si>
  <si>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</si>
  <si>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</si>
  <si>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</si>
  <si>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</si>
  <si>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</si>
  <si>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</si>
  <si>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</si>
  <si>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</si>
  <si>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</si>
  <si>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</si>
  <si>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</si>
  <si>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</si>
  <si>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</si>
  <si>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</si>
  <si>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</si>
  <si>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</si>
  <si>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</si>
  <si>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</si>
  <si>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</si>
  <si>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</si>
  <si>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</si>
  <si>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</si>
  <si>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</si>
  <si>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</si>
  <si>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</si>
  <si>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</si>
  <si>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</si>
  <si>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</si>
  <si>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</si>
  <si>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</si>
  <si>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</si>
  <si>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</si>
  <si>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</si>
  <si>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</si>
  <si>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</si>
  <si>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</si>
  <si>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</si>
  <si>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</si>
  <si>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</si>
  <si>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</si>
  <si>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</si>
  <si>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</si>
  <si>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</si>
  <si>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</si>
  <si>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</si>
  <si>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</si>
  <si>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</si>
  <si>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</si>
  <si>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</si>
  <si>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</si>
  <si>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</si>
  <si>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</si>
  <si>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</si>
  <si>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</si>
  <si>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</si>
  <si>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</si>
  <si>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</si>
  <si>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</si>
  <si>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</si>
  <si>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</si>
  <si>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</si>
  <si>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</si>
  <si>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</si>
  <si>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</si>
  <si>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</si>
  <si>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</si>
  <si>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</si>
  <si>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</si>
  <si>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</si>
  <si>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</si>
  <si>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</si>
  <si>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</si>
  <si>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</si>
  <si>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</si>
  <si>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</si>
  <si>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</si>
  <si>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</si>
  <si>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</si>
  <si>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</si>
  <si>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</si>
  <si>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</si>
  <si>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</si>
  <si>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</si>
  <si>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</si>
  <si>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</si>
  <si>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</si>
  <si>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</si>
  <si>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</si>
  <si>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</si>
  <si>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</si>
  <si>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</si>
  <si>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</si>
  <si>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</si>
  <si>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</si>
  <si>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</si>
  <si>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</si>
  <si>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</si>
  <si>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</si>
  <si>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</si>
  <si>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</si>
  <si>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</si>
  <si>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</si>
  <si>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</si>
  <si>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</si>
  <si>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</si>
  <si>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</si>
  <si>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</si>
  <si>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</si>
  <si>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</si>
  <si>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</si>
  <si>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</si>
  <si>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</si>
  <si>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</si>
  <si>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</si>
  <si>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</si>
  <si>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</si>
  <si>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</si>
  <si>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</si>
  <si>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</si>
  <si>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</si>
  <si>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</si>
  <si>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</si>
  <si>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</si>
  <si>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</si>
  <si>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</si>
  <si>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</si>
  <si>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</si>
  <si>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</si>
  <si>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</si>
  <si>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</si>
  <si>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</si>
  <si>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</si>
  <si>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</si>
  <si>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</si>
  <si>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</si>
  <si>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</si>
  <si>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</si>
  <si>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</si>
  <si>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</si>
  <si>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</si>
  <si>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</si>
  <si>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</si>
  <si>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</si>
  <si>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</si>
  <si>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</si>
  <si>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</si>
  <si>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</si>
  <si>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</si>
  <si>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</si>
  <si>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</si>
  <si>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</si>
  <si>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</si>
  <si>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</si>
  <si>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</si>
  <si>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</si>
  <si>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</si>
  <si>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</si>
  <si>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</si>
  <si>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</si>
  <si>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</si>
  <si>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</si>
  <si>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</si>
  <si>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</si>
  <si>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</si>
  <si>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</si>
  <si>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</si>
  <si>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</si>
  <si>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</si>
  <si>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</si>
  <si>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</si>
  <si>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</si>
  <si>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</si>
  <si>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</si>
  <si>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</si>
  <si>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</si>
  <si>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</si>
  <si>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</si>
  <si>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</si>
  <si>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</si>
  <si>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</si>
  <si>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</si>
  <si>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</si>
  <si>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</si>
  <si>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</si>
  <si>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</si>
  <si>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</si>
  <si>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</si>
  <si>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</si>
  <si>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</si>
  <si>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</si>
  <si>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</si>
  <si>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</si>
  <si>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</si>
  <si>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</si>
  <si>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</si>
  <si>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</si>
  <si>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</si>
  <si>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</si>
  <si>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</si>
  <si>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</si>
  <si>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</si>
  <si>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</si>
  <si>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</si>
  <si>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</si>
  <si>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</si>
  <si>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</si>
  <si>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</si>
  <si>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</si>
  <si>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</si>
  <si>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</si>
  <si>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</si>
  <si>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</si>
  <si>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</si>
  <si>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</si>
  <si>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</si>
  <si>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</si>
  <si>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</si>
  <si>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</si>
  <si>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</si>
  <si>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</si>
  <si>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</si>
  <si>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</si>
  <si>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</si>
  <si>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</si>
  <si>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</si>
  <si>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</si>
  <si>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</si>
  <si>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</si>
  <si>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</si>
  <si>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</si>
  <si>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</si>
  <si>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</si>
  <si>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</si>
  <si>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</si>
  <si>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</si>
  <si>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</si>
  <si>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</si>
  <si>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</si>
  <si>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</si>
  <si>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</si>
  <si>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</si>
  <si>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</si>
  <si>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</si>
  <si>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</si>
  <si>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</si>
  <si>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</si>
  <si>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</si>
  <si>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</si>
  <si>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</si>
  <si>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</si>
  <si>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</si>
  <si>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</si>
  <si>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</si>
  <si>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</si>
  <si>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</si>
  <si>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</si>
  <si>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</si>
  <si>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</si>
  <si>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</si>
  <si>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</si>
  <si>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</si>
  <si>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</si>
  <si>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</si>
  <si>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</si>
  <si>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</si>
  <si>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</si>
  <si>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</si>
  <si>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</si>
  <si>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</si>
  <si>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</si>
  <si>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</si>
  <si>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</si>
  <si>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</si>
  <si>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</si>
  <si>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</si>
  <si>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</si>
  <si>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</si>
  <si>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</si>
  <si>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</si>
  <si>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</si>
  <si>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</si>
  <si>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</si>
  <si>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</si>
  <si>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</si>
  <si>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</si>
  <si>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</si>
  <si>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</si>
  <si>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</si>
  <si>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</si>
  <si>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</si>
  <si>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</si>
  <si>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</si>
  <si>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</si>
  <si>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</si>
  <si>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</si>
  <si>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</si>
  <si>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</si>
  <si>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</si>
  <si>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</si>
  <si>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</si>
  <si>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</si>
  <si>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</si>
  <si>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</si>
  <si>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</si>
  <si>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</si>
  <si>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</si>
  <si>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</si>
  <si>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</si>
  <si>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</si>
  <si>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</si>
  <si>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</si>
  <si>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</si>
  <si>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</si>
  <si>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</si>
  <si>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</si>
  <si>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</si>
  <si>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</si>
  <si>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</si>
  <si>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</si>
  <si>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</si>
  <si>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</si>
  <si>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</si>
  <si>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</si>
  <si>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</si>
  <si>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</si>
  <si>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</si>
  <si>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</si>
  <si>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</si>
  <si>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</si>
  <si>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</si>
  <si>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</si>
  <si>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</si>
  <si>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</si>
  <si>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</si>
  <si>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</si>
  <si>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</si>
  <si>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</si>
  <si>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</si>
  <si>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</si>
  <si>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</si>
  <si>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</si>
  <si>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</si>
  <si>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</si>
  <si>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</si>
  <si>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</si>
  <si>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</si>
  <si>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</si>
  <si>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</si>
  <si>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</si>
  <si>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</si>
  <si>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</si>
  <si>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</si>
  <si>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</si>
  <si>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</si>
  <si>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</si>
  <si>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</si>
  <si>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</si>
  <si>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</si>
  <si>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</si>
  <si>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</si>
  <si>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</si>
  <si>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</si>
  <si>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</si>
  <si>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</si>
  <si>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</si>
  <si>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</si>
  <si>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</si>
  <si>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</si>
  <si>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</si>
  <si>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</si>
  <si>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</si>
  <si>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</si>
  <si>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</si>
  <si>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</si>
  <si>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</si>
  <si>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</si>
  <si>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</si>
  <si>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</si>
  <si>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</si>
  <si>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</si>
  <si>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</si>
  <si>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</si>
  <si>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</si>
  <si>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</si>
  <si>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</si>
  <si>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</si>
  <si>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</si>
  <si>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</si>
  <si>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</si>
  <si>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</si>
  <si>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</si>
  <si>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</si>
  <si>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</si>
  <si>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</si>
  <si>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</si>
  <si>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</si>
  <si>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</si>
  <si>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</si>
  <si>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</si>
  <si>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</si>
  <si>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</si>
  <si>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</si>
  <si>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</si>
  <si>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</si>
  <si>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</si>
  <si>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</si>
  <si>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</si>
  <si>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</si>
  <si>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</si>
  <si>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</si>
  <si>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</si>
  <si>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</si>
  <si>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</si>
  <si>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</si>
  <si>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</si>
  <si>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</si>
  <si>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</si>
  <si>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</si>
  <si>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</si>
  <si>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</si>
  <si>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</si>
  <si>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</si>
  <si>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</si>
  <si>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</si>
  <si>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</si>
  <si>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</si>
  <si>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</si>
  <si>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</si>
  <si>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</si>
  <si>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</si>
  <si>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</si>
  <si>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</si>
  <si>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</si>
  <si>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</si>
  <si>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</si>
  <si>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</si>
  <si>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</si>
  <si>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</si>
  <si>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</si>
  <si>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</si>
  <si>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</si>
  <si>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</si>
  <si>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</si>
  <si>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</si>
  <si>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</si>
  <si>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</si>
  <si>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</si>
  <si>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</si>
  <si>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</si>
  <si>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</si>
  <si>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</si>
  <si>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</si>
  <si>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</si>
  <si>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</si>
  <si>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</si>
  <si>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</si>
  <si>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</si>
  <si>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</si>
  <si>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</si>
  <si>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</si>
  <si>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</si>
  <si>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</si>
  <si>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</si>
  <si>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</si>
  <si>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</si>
  <si>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</si>
  <si>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</si>
  <si>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</si>
  <si>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</si>
  <si>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</si>
  <si>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</si>
  <si>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</si>
  <si>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</si>
  <si>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</si>
  <si>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</si>
  <si>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</si>
  <si>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</si>
  <si>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</si>
  <si>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</si>
  <si>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</si>
  <si>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</si>
  <si>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</si>
  <si>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</si>
  <si>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</si>
  <si>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</si>
  <si>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</si>
  <si>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</si>
  <si>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</si>
  <si>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</si>
  <si>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</si>
  <si>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</si>
  <si>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</si>
  <si>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</si>
  <si>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</si>
  <si>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</si>
  <si>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</si>
  <si>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</si>
  <si>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</si>
  <si>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</si>
  <si>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</si>
  <si>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</si>
  <si>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</si>
  <si>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</si>
  <si>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</si>
  <si>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</si>
  <si>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</si>
  <si>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</si>
  <si>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</si>
  <si>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</si>
  <si>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</si>
  <si>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</si>
  <si>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</si>
  <si>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</si>
  <si>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</si>
  <si>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</si>
  <si>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</si>
  <si>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</si>
  <si>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</si>
  <si>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</si>
  <si>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</si>
  <si>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</si>
  <si>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</si>
  <si>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</si>
  <si>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</si>
  <si>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</si>
  <si>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</si>
  <si>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</si>
  <si>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</si>
  <si>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</si>
  <si>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</si>
  <si>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</si>
  <si>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</si>
  <si>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</si>
  <si>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</si>
  <si>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</si>
  <si>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</si>
  <si>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</si>
  <si>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</si>
  <si>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</si>
  <si>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</si>
  <si>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</si>
  <si>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</si>
  <si>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</si>
  <si>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</si>
  <si>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</si>
  <si>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</si>
  <si>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</si>
  <si>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</si>
  <si>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</si>
  <si>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</si>
  <si>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</si>
  <si>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</si>
  <si>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</si>
  <si>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</si>
  <si>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</si>
  <si>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</si>
  <si>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</si>
  <si>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</si>
  <si>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</si>
  <si>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</si>
  <si>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</si>
  <si>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</si>
  <si>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</si>
  <si>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</si>
  <si>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</si>
  <si>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</si>
  <si>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</si>
  <si>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</si>
  <si>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</si>
  <si>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</si>
  <si>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</si>
  <si>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</si>
  <si>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</si>
  <si>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</si>
  <si>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</si>
  <si>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</si>
  <si>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</si>
  <si>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</si>
  <si>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</si>
  <si>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</si>
  <si>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</si>
  <si>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</si>
  <si>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</si>
  <si>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</si>
  <si>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</si>
  <si>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</si>
  <si>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</si>
  <si>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</si>
  <si>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</si>
  <si>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</si>
  <si>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</si>
  <si>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</si>
  <si>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</si>
  <si>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</si>
  <si>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</si>
  <si>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</si>
  <si>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</si>
  <si>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</si>
  <si>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</si>
  <si>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</si>
  <si>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</si>
  <si>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</si>
  <si>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</si>
  <si>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</si>
  <si>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</si>
  <si>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</si>
  <si>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</si>
  <si>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</si>
  <si>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</si>
  <si>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</si>
  <si>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</si>
  <si>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</si>
  <si>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</si>
  <si>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</si>
  <si>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</si>
  <si>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</si>
  <si>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</si>
  <si>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</si>
  <si>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</si>
  <si>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</si>
  <si>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</si>
  <si>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</si>
  <si>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</si>
  <si>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</si>
  <si>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</si>
  <si>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</si>
  <si>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</si>
  <si>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</si>
  <si>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</si>
  <si>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</si>
  <si>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</si>
  <si>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</si>
  <si>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</si>
  <si>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</si>
  <si>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</si>
  <si>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</si>
  <si>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</si>
  <si>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</si>
  <si>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</si>
  <si>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</si>
  <si>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</si>
  <si>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</si>
  <si>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</si>
  <si>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</si>
  <si>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</si>
  <si>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</si>
  <si>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</si>
  <si>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</si>
  <si>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</si>
  <si>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</si>
  <si>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</si>
  <si>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</si>
  <si>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</si>
  <si>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</si>
  <si>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</si>
  <si>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</si>
  <si>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</si>
  <si>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</si>
  <si>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</si>
  <si>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</si>
  <si>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</si>
  <si>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</si>
  <si>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</si>
  <si>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</si>
  <si>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</si>
  <si>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</si>
  <si>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</si>
  <si>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</si>
  <si>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</si>
  <si>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</si>
  <si>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</si>
  <si>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</si>
  <si>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</si>
  <si>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</si>
  <si>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</si>
  <si>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</si>
  <si>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</si>
  <si>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</si>
  <si>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</si>
  <si>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</si>
  <si>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</si>
  <si>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</si>
  <si>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</si>
  <si>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</si>
  <si>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</si>
  <si>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</si>
  <si>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</si>
  <si>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</si>
  <si>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</si>
  <si>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</si>
  <si>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</si>
  <si>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</si>
  <si>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</si>
  <si>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</si>
  <si>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</si>
  <si>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</si>
  <si>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</si>
  <si>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</si>
  <si>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</si>
  <si>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</si>
  <si>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</si>
  <si>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</si>
  <si>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</si>
  <si>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</si>
  <si>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</si>
  <si>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</si>
  <si>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</si>
  <si>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</si>
  <si>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</si>
  <si>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</si>
  <si>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</si>
  <si>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</si>
  <si>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</si>
  <si>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</si>
  <si>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</si>
  <si>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</si>
  <si>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</si>
  <si>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</si>
  <si>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</si>
  <si>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</si>
  <si>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</si>
  <si>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</si>
  <si>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</si>
  <si>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</si>
  <si>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</si>
  <si>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</si>
  <si>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</si>
  <si>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</si>
  <si>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</si>
  <si>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</si>
  <si>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</si>
  <si>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</si>
  <si>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</si>
  <si>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</si>
  <si>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</si>
  <si>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</si>
  <si>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</si>
  <si>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</si>
  <si>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</si>
  <si>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</si>
  <si>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</si>
  <si>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</si>
  <si>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</si>
  <si>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</si>
  <si>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</si>
  <si>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</si>
  <si>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</si>
  <si>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</si>
  <si>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</si>
  <si>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</si>
  <si>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</si>
  <si>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</si>
  <si>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</si>
  <si>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</si>
  <si>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</si>
  <si>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</si>
  <si>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</si>
  <si>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</si>
  <si>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</si>
  <si>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</si>
  <si>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</si>
  <si>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</si>
  <si>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</si>
  <si>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</si>
  <si>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</si>
  <si>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</si>
  <si>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</si>
  <si>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</si>
  <si>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</si>
  <si>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</si>
  <si>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</si>
  <si>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</si>
  <si>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</si>
  <si>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</si>
  <si>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</si>
  <si>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</si>
  <si>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</si>
  <si>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</si>
  <si>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</si>
  <si>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</si>
  <si>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</si>
  <si>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</si>
  <si>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</si>
  <si>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</si>
  <si>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</si>
  <si>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</si>
  <si>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</si>
  <si>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</si>
  <si>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</si>
  <si>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</si>
  <si>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</si>
  <si>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</si>
  <si>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</si>
  <si>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</si>
  <si>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</si>
  <si>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</si>
  <si>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</si>
  <si>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</si>
  <si>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</si>
  <si>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</si>
  <si>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</si>
  <si>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</si>
  <si>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</si>
  <si>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</si>
  <si>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</si>
  <si>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</si>
  <si>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</si>
  <si>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</si>
  <si>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</si>
  <si>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</si>
  <si>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</si>
  <si>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</si>
  <si>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</si>
  <si>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</si>
  <si>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</si>
  <si>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</si>
  <si>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</si>
  <si>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</si>
  <si>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</si>
  <si>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</si>
  <si>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</si>
  <si>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</si>
  <si>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</si>
  <si>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</si>
  <si>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</si>
  <si>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</si>
  <si>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</si>
  <si>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</si>
  <si>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</si>
  <si>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</si>
  <si>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</si>
  <si>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</si>
  <si>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</si>
  <si>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</si>
  <si>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</si>
  <si>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</si>
  <si>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</si>
  <si>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</si>
  <si>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</si>
  <si>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</si>
  <si>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</si>
  <si>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</si>
  <si>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</si>
  <si>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</si>
  <si>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</si>
  <si>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</si>
  <si>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</si>
  <si>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</si>
  <si>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</si>
  <si>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</si>
  <si>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</si>
  <si>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</si>
  <si>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</si>
  <si>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</si>
  <si>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</si>
  <si>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</si>
  <si>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</si>
  <si>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</si>
  <si>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</si>
  <si>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</si>
  <si>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</si>
  <si>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</si>
  <si>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</si>
  <si>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</si>
  <si>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</si>
  <si>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</si>
  <si>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</si>
  <si>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</si>
  <si>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</si>
  <si>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</si>
  <si>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</si>
  <si>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</si>
  <si>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</si>
  <si>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</si>
  <si>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</si>
  <si>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</si>
  <si>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</si>
  <si>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</si>
  <si>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</si>
  <si>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</si>
  <si>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</si>
  <si>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</si>
  <si>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</si>
  <si>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</si>
  <si>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</si>
  <si>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</si>
  <si>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</si>
  <si>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</si>
  <si>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</si>
  <si>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</si>
  <si>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</si>
  <si>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</si>
  <si>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</si>
  <si>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</si>
  <si>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</si>
  <si>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</si>
  <si>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</si>
  <si>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</si>
  <si>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</si>
  <si>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</si>
  <si>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</si>
  <si>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</si>
  <si>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</si>
  <si>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</si>
  <si>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</si>
  <si>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</si>
  <si>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</si>
  <si>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</si>
  <si>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</si>
  <si>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</si>
  <si>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</si>
  <si>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</si>
  <si>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</si>
  <si>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</si>
  <si>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</si>
  <si>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</si>
  <si>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</si>
  <si>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</si>
  <si>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</si>
  <si>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</si>
  <si>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</si>
  <si>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</si>
  <si>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</si>
  <si>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</si>
  <si>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</si>
  <si>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</si>
  <si>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</si>
  <si>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</si>
  <si>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</si>
  <si>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</si>
  <si>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</si>
  <si>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</si>
  <si>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</si>
  <si>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</si>
  <si>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</si>
  <si>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</si>
  <si>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</si>
  <si>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</si>
  <si>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</si>
  <si>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</si>
  <si>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</si>
  <si>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</si>
  <si>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</si>
  <si>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</si>
  <si>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</si>
  <si>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</si>
  <si>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</si>
  <si>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</si>
  <si>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</si>
  <si>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</si>
  <si>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</si>
  <si>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</si>
  <si>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</si>
  <si>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</si>
  <si>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</si>
  <si>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</si>
  <si>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</si>
  <si>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</si>
  <si>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</si>
  <si>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</si>
  <si>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</si>
  <si>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</si>
  <si>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</si>
  <si>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</si>
  <si>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</si>
  <si>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</si>
  <si>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</si>
  <si>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</si>
  <si>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</si>
  <si>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</si>
  <si>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</si>
  <si>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</si>
  <si>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</si>
  <si>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</si>
  <si>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</si>
  <si>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</si>
  <si>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</si>
  <si>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</si>
  <si>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</si>
  <si>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</si>
  <si>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</si>
  <si>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</si>
  <si>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</si>
  <si>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</si>
  <si>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</si>
  <si>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</si>
  <si>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</si>
  <si>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</si>
  <si>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</si>
  <si>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</si>
  <si>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</si>
  <si>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</si>
  <si>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</si>
  <si>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</si>
  <si>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</si>
  <si>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</si>
  <si>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</si>
  <si>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</si>
  <si>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</si>
  <si>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</si>
  <si>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</si>
  <si>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</si>
  <si>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</si>
  <si>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</si>
  <si>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</si>
  <si>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</si>
  <si>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</si>
  <si>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</si>
  <si>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</si>
  <si>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</si>
  <si>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</si>
  <si>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</si>
  <si>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</si>
  <si>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</si>
  <si>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</si>
  <si>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</si>
  <si>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</si>
  <si>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</si>
  <si>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</si>
  <si>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</si>
  <si>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</si>
  <si>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</si>
  <si>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</si>
  <si>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</si>
  <si>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</si>
  <si>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</si>
  <si>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</si>
  <si>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</si>
  <si>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</si>
  <si>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</si>
  <si>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</si>
  <si>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</si>
  <si>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</si>
  <si>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</si>
  <si>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</si>
  <si>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</si>
  <si>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</si>
  <si>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</si>
  <si>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</si>
  <si>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</si>
  <si>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</si>
  <si>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</si>
  <si>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</si>
  <si>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</si>
  <si>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</si>
  <si>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</si>
  <si>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</si>
  <si>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</si>
  <si>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</si>
  <si>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</si>
  <si>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</si>
  <si>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</si>
  <si>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</si>
  <si>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</si>
  <si>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</si>
  <si>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</si>
  <si>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</si>
  <si>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</si>
  <si>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</si>
  <si>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</si>
  <si>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</si>
  <si>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</si>
  <si>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</si>
  <si>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</si>
  <si>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</si>
  <si>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</si>
  <si>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</si>
  <si>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</si>
  <si>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</si>
  <si>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</si>
  <si>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</si>
  <si>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</si>
  <si>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</si>
  <si>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</si>
  <si>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</si>
  <si>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</si>
  <si>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</si>
  <si>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</si>
  <si>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</si>
  <si>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</si>
  <si>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</si>
  <si>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</si>
  <si>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</si>
  <si>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</si>
  <si>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</si>
  <si>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</si>
  <si>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</si>
  <si>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</si>
  <si>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</si>
  <si>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</si>
  <si>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</si>
  <si>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</si>
  <si>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</si>
  <si>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</si>
  <si>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</si>
  <si>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</si>
  <si>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</si>
  <si>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</si>
  <si>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</si>
  <si>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</si>
  <si>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</si>
  <si>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</si>
  <si>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</si>
  <si>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</si>
  <si>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</si>
  <si>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</si>
  <si>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</si>
  <si>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</si>
  <si>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</si>
  <si>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</si>
  <si>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</si>
  <si>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</si>
  <si>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</si>
  <si>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</si>
  <si>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</si>
  <si>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</si>
  <si>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</si>
  <si>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</si>
  <si>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</si>
  <si>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</si>
  <si>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</si>
  <si>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</si>
  <si>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</si>
  <si>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</si>
  <si>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</si>
  <si>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</si>
  <si>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</si>
  <si>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</si>
  <si>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</si>
  <si>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</si>
  <si>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</si>
  <si>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</si>
  <si>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</si>
  <si>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</si>
  <si>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</si>
  <si>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</si>
  <si>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</si>
  <si>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</si>
  <si>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</si>
  <si>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</si>
  <si>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</si>
  <si>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</si>
  <si>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</si>
  <si>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</si>
  <si>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</si>
  <si>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</si>
  <si>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</si>
  <si>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</si>
  <si>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</si>
  <si>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</si>
  <si>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</si>
  <si>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</si>
  <si>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</si>
  <si>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</si>
  <si>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</si>
  <si>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</si>
  <si>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</si>
  <si>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</si>
  <si>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</si>
  <si>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</si>
  <si>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</si>
  <si>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</si>
  <si>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</si>
  <si>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</si>
  <si>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</si>
  <si>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</si>
  <si>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</si>
  <si>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</si>
  <si>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</si>
  <si>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</si>
  <si>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</si>
  <si>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</si>
  <si>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</si>
  <si>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</si>
  <si>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</si>
  <si>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</si>
  <si>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</si>
  <si>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</si>
  <si>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</si>
  <si>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</si>
  <si>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</si>
  <si>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</si>
  <si>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</si>
  <si>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</si>
  <si>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</si>
  <si>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</si>
  <si>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</si>
  <si>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</si>
  <si>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</si>
  <si>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</si>
  <si>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</si>
  <si>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</si>
  <si>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</si>
  <si>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</si>
  <si>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</si>
  <si>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</si>
  <si>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</si>
  <si>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</si>
  <si>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</si>
  <si>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</si>
  <si>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</si>
  <si>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</si>
  <si>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</si>
  <si>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</si>
  <si>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</si>
  <si>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</si>
  <si>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</si>
  <si>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</si>
  <si>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</si>
  <si>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</si>
  <si>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</si>
  <si>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</si>
  <si>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</si>
  <si>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</si>
  <si>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</si>
  <si>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</si>
  <si>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</si>
  <si>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</si>
  <si>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</si>
  <si>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</si>
  <si>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</si>
  <si>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</si>
  <si>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</si>
  <si>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</si>
  <si>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</si>
  <si>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</si>
  <si>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</si>
  <si>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</si>
  <si>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</si>
  <si>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</si>
  <si>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</si>
  <si>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</si>
  <si>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</si>
  <si>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</si>
  <si>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</si>
  <si>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</si>
  <si>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</si>
  <si>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</si>
  <si>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</si>
  <si>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</si>
  <si>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</si>
  <si>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</si>
  <si>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</si>
  <si>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</si>
  <si>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</si>
  <si>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</si>
  <si>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</si>
  <si>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</si>
  <si>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</si>
  <si>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</si>
  <si>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</si>
  <si>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</si>
  <si>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</si>
  <si>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</si>
  <si>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</si>
  <si>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</si>
  <si>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</si>
  <si>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</si>
  <si>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</si>
  <si>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</si>
  <si>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</si>
  <si>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</si>
  <si>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</si>
  <si>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</si>
  <si>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</si>
  <si>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</si>
  <si>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</si>
  <si>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</si>
  <si>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</si>
  <si>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</si>
  <si>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</si>
  <si>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</si>
  <si>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</si>
  <si>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</si>
  <si>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</si>
  <si>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</si>
  <si>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</si>
  <si>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</si>
  <si>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</si>
  <si>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</si>
  <si>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</si>
  <si>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</si>
  <si>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</si>
  <si>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</si>
  <si>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</si>
  <si>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</si>
  <si>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</si>
  <si>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</si>
  <si>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</si>
  <si>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</si>
  <si>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</si>
  <si>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</si>
  <si>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</si>
  <si>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</si>
  <si>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</si>
  <si>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</si>
  <si>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</si>
  <si>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</si>
  <si>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</si>
  <si>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</si>
  <si>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</si>
  <si>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</si>
  <si>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</si>
  <si>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</si>
  <si>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</si>
  <si>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</si>
  <si>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</si>
  <si>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</si>
  <si>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</si>
  <si>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</si>
  <si>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</si>
  <si>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</si>
  <si>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</si>
  <si>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</si>
  <si>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</si>
  <si>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</si>
  <si>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</si>
  <si>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</si>
  <si>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</si>
  <si>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</si>
  <si>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</si>
  <si>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</si>
  <si>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</si>
  <si>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</si>
  <si>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</si>
  <si>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</si>
  <si>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</si>
  <si>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</si>
  <si>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</si>
  <si>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</si>
  <si>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</si>
  <si>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</si>
  <si>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</si>
  <si>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</si>
  <si>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</si>
  <si>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</si>
  <si>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</si>
  <si>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</si>
  <si>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</si>
  <si>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</si>
  <si>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</si>
  <si>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</si>
  <si>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</si>
  <si>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</si>
  <si>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</si>
  <si>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</si>
  <si>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</si>
  <si>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</si>
  <si>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</si>
  <si>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</si>
  <si>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</si>
  <si>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</si>
  <si>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</si>
  <si>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</si>
  <si>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</si>
  <si>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</si>
  <si>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</si>
  <si>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</si>
  <si>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</si>
  <si>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</si>
  <si>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</si>
  <si>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</si>
  <si>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</si>
  <si>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</si>
  <si>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</si>
  <si>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</si>
  <si>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</si>
  <si>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</si>
  <si>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</si>
  <si>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A</t>
    <phoneticPr fontId="140" type="noConversion"/>
  </si>
  <si>
    <t>C</t>
    <phoneticPr fontId="140" type="noConversion"/>
  </si>
  <si>
    <t>B</t>
    <phoneticPr fontId="140" type="noConversion"/>
  </si>
  <si>
    <t>房地产抵押价值</t>
  </si>
  <si>
    <t>抵押</t>
  </si>
  <si>
    <t>其他：</t>
  </si>
  <si>
    <t>企业</t>
  </si>
  <si>
    <t>出让</t>
  </si>
  <si>
    <t>地上</t>
  </si>
  <si>
    <t>地块名称</t>
  </si>
  <si>
    <t>城市</t>
  </si>
  <si>
    <t>用地性质</t>
  </si>
  <si>
    <t>建设用地面积(㎡)</t>
  </si>
  <si>
    <t>规划建筑面积(㎡)</t>
  </si>
  <si>
    <t>容积率</t>
  </si>
  <si>
    <t>出让方式</t>
  </si>
  <si>
    <t>详细规划</t>
  </si>
  <si>
    <t>集中供地</t>
  </si>
  <si>
    <t>成交日期</t>
  </si>
  <si>
    <t>受让单位</t>
  </si>
  <si>
    <t>起始价(万元)</t>
  </si>
  <si>
    <t>成交价(万元)</t>
  </si>
  <si>
    <t>成交楼面价(元/㎡)</t>
  </si>
  <si>
    <t>溢价率</t>
  </si>
  <si>
    <t>土地星级</t>
  </si>
  <si>
    <t>张店区和平路以南、淄博张店区马尚供销社有限公司以西、山东汇美置业有限公司以北、已批国有土地以东</t>
  </si>
  <si>
    <t>淄博市</t>
  </si>
  <si>
    <t>商业/办公用地</t>
  </si>
  <si>
    <t>大于或等于1.2并且小于或等于3.5</t>
  </si>
  <si>
    <t>挂牌</t>
  </si>
  <si>
    <t>零售商业用地</t>
  </si>
  <si>
    <t>2020-12-24</t>
  </si>
  <si>
    <t>淄博旭泰鑫置业有限公司</t>
  </si>
  <si>
    <t>4星</t>
  </si>
  <si>
    <t>张店区山东宏程建设有限公司以东、淄博侨商房地产开发有限公司以西、金街以南、国网山东省电力公司淄博供电公司以北</t>
  </si>
  <si>
    <t>大于或等于1.2并且小于或等于3</t>
  </si>
  <si>
    <t>餐饮用地</t>
  </si>
  <si>
    <t>2020-12-21</t>
  </si>
  <si>
    <t>淄博市公共资源投资管理服务有限公司</t>
  </si>
  <si>
    <t>5星</t>
  </si>
  <si>
    <t>张店区心环东路以东、国网山东省电力公司淄博供电公司以西、齐盛路以南、淄博市中级人民法院以北</t>
  </si>
  <si>
    <t>张店区积贤路以南,盛湖路以北,香港路以东,上海路以西</t>
  </si>
  <si>
    <t>2020-12-18</t>
  </si>
  <si>
    <t>淄博星晖置业有限公司</t>
  </si>
  <si>
    <t>张店区中润大道以南、丰悦路以东、龙凤北巷以北、淄博市职业病防治院以西</t>
  </si>
  <si>
    <t>大于或等于1.2并且小于或等于2.5</t>
  </si>
  <si>
    <t>2020-12-14</t>
  </si>
  <si>
    <t>山东民泰实业集团淄博房地产开发有限公司、王廷金</t>
  </si>
  <si>
    <t>淄博市保障房投资建设有限公司以东、张店区天津路以西、汇英路以南、华光路以北</t>
  </si>
  <si>
    <t>商务金融用地</t>
  </si>
  <si>
    <t>淄博市基础设施和保障房投资建设有限公司</t>
  </si>
  <si>
    <t>张店区心环西路以东、心环东路以西、齐盛路以南、联通路以北</t>
  </si>
  <si>
    <t>大于或等于1.2并且小于或等于2.4</t>
  </si>
  <si>
    <t>2020-11-11</t>
  </si>
  <si>
    <t>淄博新区人民路以北、钱裕路以东</t>
  </si>
  <si>
    <t>小于或等于2.375</t>
  </si>
  <si>
    <t>其他商服用地</t>
  </si>
  <si>
    <t>2020-07-03</t>
  </si>
  <si>
    <t>山东汇美置业有限公司</t>
  </si>
  <si>
    <t>小于或等于1.676</t>
  </si>
  <si>
    <t>环湖东路以东、萌山纵一路以西</t>
  </si>
  <si>
    <t>≥1.2且≤1.3</t>
  </si>
  <si>
    <t>餐饮用地、公园与绿地</t>
  </si>
  <si>
    <t>2020-01-20</t>
  </si>
  <si>
    <t>山东永瑞置业有限公司</t>
  </si>
  <si>
    <t>张店区盛湖路以北、鲁泰大道以南、香港路以西、天津路以东</t>
  </si>
  <si>
    <t>大于或等于1.2并且小于或等于3.13</t>
  </si>
  <si>
    <t>2019-12-27</t>
  </si>
  <si>
    <t>山东宏程建设有限公司、淄博宏程商业运营管理有限公司</t>
  </si>
  <si>
    <t>3星</t>
  </si>
  <si>
    <t>盛湖路以北,鲁泰大道以南,香港路以西,天津路以东</t>
  </si>
  <si>
    <t>大于或等于1.2并且小于或等于3.72</t>
  </si>
  <si>
    <t>张店区华光路以南、人民路以北、心环西路以东</t>
  </si>
  <si>
    <t>大于或等于1.2并且小于或等于1.5</t>
  </si>
  <si>
    <t>2019-09-02</t>
  </si>
  <si>
    <t>山东世茂鲁坤置业有限公司</t>
  </si>
  <si>
    <t>张店区北京路以西,南北向规划道路以东,东西向规划道路以北、以南</t>
  </si>
  <si>
    <t>大于或等于1.2并且小于或等于7</t>
  </si>
  <si>
    <t>张店区香港路以东、淄博市基础设施和保障房投资建设有限公司以西、规划汇英路以南、华光路以北</t>
  </si>
  <si>
    <t>大于或等于1.2并且小于或等于2.7</t>
  </si>
  <si>
    <t>2019-06-27</t>
  </si>
  <si>
    <t>张店区天津路以东、香港路以西、已批国有建设用地以南、规划汇英路以北</t>
  </si>
  <si>
    <t>大于或等于1.2并且小于或等于2</t>
  </si>
  <si>
    <t>张店区天津路以东、香港路以西、规划汇英路以南、华光路以北</t>
  </si>
  <si>
    <t>≥1.2,≤2.5</t>
  </si>
  <si>
    <t>张店区香港路以东、上海路以西、华光路以南、汇文路以北</t>
  </si>
  <si>
    <t>大于或等于1.2并且小于或等于4</t>
  </si>
  <si>
    <t>山东国际旅行社有限公司、牛彦钧*(淄博假日置业发展有限公司)</t>
  </si>
  <si>
    <t>张店区重庆路以东、淄博市张店区房镇镇天乙村村民委员会用地以西、山东电力集团公司淄博供电公司以南、公园路以北</t>
  </si>
  <si>
    <t>批发零售、住宿餐饮</t>
  </si>
  <si>
    <t>2019-02-25</t>
  </si>
  <si>
    <t>淄博通济房地产开发有限责任公司</t>
  </si>
  <si>
    <t>地面价</t>
    <phoneticPr fontId="140" type="noConversion"/>
  </si>
  <si>
    <t>正常</t>
    <phoneticPr fontId="31" type="noConversion"/>
  </si>
  <si>
    <t>单位面积地价</t>
  </si>
  <si>
    <t>是</t>
  </si>
  <si>
    <t>建筑面积</t>
    <phoneticPr fontId="140" type="noConversion"/>
  </si>
  <si>
    <t>土地面积</t>
    <phoneticPr fontId="140" type="noConversion"/>
  </si>
  <si>
    <t>分摊土地面积</t>
    <phoneticPr fontId="140" type="noConversion"/>
  </si>
  <si>
    <t>容积率</t>
    <phoneticPr fontId="140" type="noConversion"/>
  </si>
  <si>
    <t>小计</t>
    <phoneticPr fontId="140" type="noConversion"/>
  </si>
  <si>
    <t>利息：取LPR加浮动点数</t>
  </si>
  <si>
    <t>淄政办发〔２０１９〕１４号</t>
    <phoneticPr fontId="3" type="noConversion"/>
  </si>
  <si>
    <t>淄博市人民政府办公室关于印发淄博市城市基础设施配套费征收使用管理办法的通知</t>
    <phoneticPr fontId="3" type="noConversion"/>
  </si>
  <si>
    <t>成新度</t>
  </si>
  <si>
    <t>收益法</t>
  </si>
  <si>
    <t>押一</t>
  </si>
  <si>
    <t>按租金收入计税</t>
  </si>
  <si>
    <t>非生产用房</t>
  </si>
  <si>
    <t>钢混</t>
  </si>
  <si>
    <t>未包含在土地购买价格中</t>
  </si>
  <si>
    <t>部分缴纳</t>
  </si>
  <si>
    <t>已包含在土地取得成本中</t>
  </si>
  <si>
    <t>C1</t>
  </si>
  <si>
    <t>C1</t>
    <phoneticPr fontId="3" type="noConversion"/>
  </si>
  <si>
    <t>C2</t>
  </si>
  <si>
    <t>C2</t>
    <phoneticPr fontId="3" type="noConversion"/>
  </si>
  <si>
    <t>C1</t>
    <phoneticPr fontId="7" type="noConversion"/>
  </si>
  <si>
    <t>C2</t>
    <phoneticPr fontId="7" type="noConversion"/>
  </si>
  <si>
    <t>成本法-C2</t>
  </si>
  <si>
    <t>成本法-C2</t>
    <phoneticPr fontId="16" type="noConversion"/>
  </si>
  <si>
    <t>收益法-C2</t>
  </si>
  <si>
    <t>收益法-C2</t>
    <phoneticPr fontId="16" type="noConversion"/>
  </si>
  <si>
    <t>成本法</t>
  </si>
  <si>
    <t>总价</t>
  </si>
  <si>
    <t>成本比率</t>
  </si>
  <si>
    <t>文体娱乐</t>
    <phoneticPr fontId="31" type="noConversion"/>
  </si>
  <si>
    <t>商业</t>
    <phoneticPr fontId="31" type="noConversion"/>
  </si>
  <si>
    <t>文体娱乐</t>
    <phoneticPr fontId="31" type="noConversion"/>
  </si>
  <si>
    <t>五通</t>
    <phoneticPr fontId="31" type="noConversion"/>
  </si>
  <si>
    <t>三通</t>
    <phoneticPr fontId="31" type="noConversion"/>
  </si>
  <si>
    <t>四通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</si>
</sst>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5" fillId="0" borderId="0" xfId="17"/>
    <xf numFmtId="0" fontId="55" fillId="8" borderId="0" xfId="17" applyFill="1"/>
    <xf numFmtId="0" fontId="0" fillId="8" borderId="0" xfId="0" applyFill="1">
      <alignment vertical="center"/>
    </xf>
    <xf numFmtId="0" fontId="19" fillId="0" borderId="0" xfId="17" applyFont="1"/>
    <xf numFmtId="0" fontId="55" fillId="9" borderId="0" xfId="17" applyFill="1"/>
    <xf numFmtId="0" fontId="0" fillId="9"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0" fillId="0" borderId="1" xfId="0" applyBorder="1">
      <alignment vertical="center"/>
    </xf>
    <xf numFmtId="0" fontId="98" fillId="0" borderId="1" xfId="0" applyFont="1" applyBorder="1">
      <alignment vertical="center"/>
    </xf>
    <xf numFmtId="0" fontId="0" fillId="0" borderId="1" xfId="0" applyBorder="1" applyAlignment="1">
      <alignment horizontal="center" vertical="center"/>
    </xf>
    <xf numFmtId="0" fontId="134" fillId="13" borderId="0" xfId="0" applyFont="1" applyFill="1" applyAlignment="1" applyProtection="1">
      <alignment horizontal="center" vertical="center"/>
      <protection locked="0"/>
    </xf>
    <xf numFmtId="179" fontId="134" fillId="13" borderId="0" xfId="0" applyNumberFormat="1" applyFont="1" applyFill="1" applyAlignment="1" applyProtection="1">
      <alignment horizontal="center" vertical="center" wrapText="1"/>
      <protection locked="0"/>
    </xf>
    <xf numFmtId="177" fontId="145" fillId="3" borderId="3" xfId="0" applyNumberFormat="1"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34" fillId="2"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0" borderId="1" xfId="0"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6" fillId="9" borderId="23" xfId="0" applyNumberFormat="1" applyFont="1" applyFill="1" applyBorder="1" applyAlignment="1" applyProtection="1">
      <alignment horizontal="center" vertical="center" wrapText="1"/>
      <protection locked="0"/>
    </xf>
    <xf numFmtId="0" fontId="53" fillId="9" borderId="6" xfId="0" applyNumberFormat="1" applyFont="1" applyFill="1" applyBorder="1" applyAlignment="1" applyProtection="1">
      <alignment horizontal="center" vertical="center" wrapText="1"/>
      <protection locked="0"/>
    </xf>
    <xf numFmtId="0" fontId="55" fillId="20" borderId="0" xfId="0" applyFont="1" applyFill="1" applyBorder="1" applyAlignment="1" applyProtection="1">
      <alignment horizontal="center" vertical="center"/>
      <protection locked="0"/>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28575</xdr:rowOff>
    </xdr:from>
    <xdr:to>
      <xdr:col>12</xdr:col>
      <xdr:colOff>570128</xdr:colOff>
      <xdr:row>57</xdr:row>
      <xdr:rowOff>27804</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3629025"/>
          <a:ext cx="10980953" cy="6171429"/>
        </a:xfrm>
        <a:prstGeom prst="rect">
          <a:avLst/>
        </a:prstGeom>
      </xdr:spPr>
    </xdr:pic>
    <xdr:clientData/>
  </xdr:twoCellAnchor>
  <xdr:twoCellAnchor editAs="oneCell">
    <xdr:from>
      <xdr:col>5</xdr:col>
      <xdr:colOff>0</xdr:colOff>
      <xdr:row>57</xdr:row>
      <xdr:rowOff>0</xdr:rowOff>
    </xdr:from>
    <xdr:to>
      <xdr:col>13</xdr:col>
      <xdr:colOff>665655</xdr:colOff>
      <xdr:row>100</xdr:row>
      <xdr:rowOff>37174</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3000375" y="9772650"/>
          <a:ext cx="8761905" cy="7409524"/>
        </a:xfrm>
        <a:prstGeom prst="rect">
          <a:avLst/>
        </a:prstGeom>
      </xdr:spPr>
    </xdr:pic>
    <xdr:clientData/>
  </xdr:twoCellAnchor>
  <xdr:twoCellAnchor editAs="oneCell">
    <xdr:from>
      <xdr:col>5</xdr:col>
      <xdr:colOff>0</xdr:colOff>
      <xdr:row>100</xdr:row>
      <xdr:rowOff>0</xdr:rowOff>
    </xdr:from>
    <xdr:to>
      <xdr:col>13</xdr:col>
      <xdr:colOff>560893</xdr:colOff>
      <xdr:row>143</xdr:row>
      <xdr:rowOff>84793</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3000375" y="17145000"/>
          <a:ext cx="8657143" cy="7457143"/>
        </a:xfrm>
        <a:prstGeom prst="rect">
          <a:avLst/>
        </a:prstGeom>
      </xdr:spPr>
    </xdr:pic>
    <xdr:clientData/>
  </xdr:twoCellAnchor>
  <xdr:twoCellAnchor editAs="oneCell">
    <xdr:from>
      <xdr:col>4</xdr:col>
      <xdr:colOff>676275</xdr:colOff>
      <xdr:row>143</xdr:row>
      <xdr:rowOff>47625</xdr:rowOff>
    </xdr:from>
    <xdr:to>
      <xdr:col>14</xdr:col>
      <xdr:colOff>436997</xdr:colOff>
      <xdr:row>186</xdr:row>
      <xdr:rowOff>84799</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2990850" y="24564975"/>
          <a:ext cx="9228572" cy="7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受贵公司委托，我公司对房地产抵押价值进行了预评估。</v>
      </c>
    </row>
    <row r="7" spans="1:2" s="1364" customFormat="1">
      <c r="A7" s="1362" t="s">
        <v>1231</v>
      </c>
      <c r="B7" s="1363" t="str">
        <f>'预评函-1'!A7</f>
        <v>估价对象为房地产，为所有。根据《国有土地使用证》[]，估价对象（分摊）出让国有建设用地使用权面积为133089平方米，建筑面积为58794.39平方米。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估价对象为房地产,属开发建设的，该项目尚在开发建设中。根据《国有土地使用证》[]，估价对象（分摊）出让国有建设用地使用权面积为133089平方米，规划建筑面积为58794.39平方米。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2021年12月25日</v>
      </c>
    </row>
    <row r="13" spans="1:2" s="1364" customFormat="1">
      <c r="A13" s="1362" t="s">
        <v>1194</v>
      </c>
      <c r="B13" s="1363" t="str">
        <f>'预评函-1'!A18</f>
        <v>本次估价的“房地产价值”是指在正常市场情况下，在价值时点2021年12月25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79964</v>
      </c>
    </row>
    <row r="21" spans="1:2" s="1364" customFormat="1">
      <c r="A21" s="1362" t="s">
        <v>1202</v>
      </c>
      <c r="B21" s="1363">
        <f ca="1">'预评函-2'!D7</f>
        <v>21326</v>
      </c>
    </row>
    <row r="22" spans="1:2" s="1364" customFormat="1">
      <c r="A22" s="1362" t="s">
        <v>1203</v>
      </c>
      <c r="B22" s="1363" t="str">
        <f ca="1">'预评函-2'!D6</f>
        <v>柒亿玖仟玖佰陆拾肆万元整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79964</v>
      </c>
    </row>
    <row r="31" spans="1:2" s="1364" customFormat="1">
      <c r="A31" s="1362" t="s">
        <v>1241</v>
      </c>
      <c r="B31" s="1363">
        <f ca="1">'预评函-2'!D15</f>
        <v>13601</v>
      </c>
    </row>
    <row r="32" spans="1:2" s="1364" customFormat="1">
      <c r="A32" s="1362" t="s">
        <v>1208</v>
      </c>
      <c r="B32" s="1363" t="str">
        <f ca="1">'预评函-2'!D14</f>
        <v>柒亿玖仟玖佰陆拾肆万元整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58794.39</v>
      </c>
    </row>
    <row r="44" spans="1:2" s="1364" customFormat="1">
      <c r="A44" s="1362" t="s">
        <v>1240</v>
      </c>
      <c r="B44" s="1363" t="str">
        <f>'预评函-3'!C2</f>
        <v>(分摊)土地面积</v>
      </c>
    </row>
    <row r="45" spans="1:2" s="1364" customFormat="1">
      <c r="A45" s="1362" t="s">
        <v>1212</v>
      </c>
      <c r="B45" s="1363">
        <f>'预评函-3'!C4</f>
        <v>133089</v>
      </c>
    </row>
    <row r="46" spans="1:2" s="1364" customFormat="1">
      <c r="A46" s="1362" t="s">
        <v>1238</v>
      </c>
      <c r="B46" s="1363" t="str">
        <f>'预评函-3'!D2</f>
        <v>出让国有建设用地使用权价值</v>
      </c>
    </row>
    <row r="47" spans="1:2" s="1364" customFormat="1">
      <c r="A47" s="1362" t="s">
        <v>1213</v>
      </c>
      <c r="B47" s="1363">
        <f ca="1">'预评函-3'!D4</f>
        <v>28867</v>
      </c>
    </row>
    <row r="48" spans="1:2" s="1364" customFormat="1">
      <c r="A48" s="1362" t="s">
        <v>1214</v>
      </c>
      <c r="B48" s="1363">
        <f ca="1">'预评函-3'!E4</f>
        <v>7698</v>
      </c>
    </row>
    <row r="49" spans="1:2" s="1364" customFormat="1">
      <c r="A49" s="1362" t="s">
        <v>1215</v>
      </c>
      <c r="B49" s="1363" t="str">
        <f ca="1">'预评函-3'!D5</f>
        <v>贰亿捌仟捌佰陆拾柒万元整</v>
      </c>
    </row>
    <row r="50" spans="1:2" s="1364" customFormat="1">
      <c r="A50" s="1362" t="s">
        <v>1239</v>
      </c>
      <c r="B50" s="1363" t="str">
        <f>'预评函-3'!F2</f>
        <v>在建建筑物价值</v>
      </c>
    </row>
    <row r="51" spans="1:2" s="1364" customFormat="1">
      <c r="A51" s="1362" t="s">
        <v>1216</v>
      </c>
      <c r="B51" s="1363">
        <f ca="1">'预评函-3'!F4</f>
        <v>51097</v>
      </c>
    </row>
    <row r="52" spans="1:2" s="1364" customFormat="1">
      <c r="A52" s="1362" t="s">
        <v>1217</v>
      </c>
      <c r="B52" s="1363">
        <f ca="1">'预评函-3'!G4</f>
        <v>13628</v>
      </c>
    </row>
    <row r="53" spans="1:2" s="1364" customFormat="1">
      <c r="A53" s="1362" t="s">
        <v>1245</v>
      </c>
      <c r="B53" s="1363" t="str">
        <f ca="1">'预评函-3'!F5</f>
        <v>伍亿壹仟零玖拾柒万元整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6" sqref="I26"/>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3039</v>
      </c>
      <c r="C17" s="1731"/>
    </row>
    <row r="18" spans="1:3">
      <c r="A18" s="1730" t="s">
        <v>1732</v>
      </c>
      <c r="B18" s="1730" t="s">
        <v>3185</v>
      </c>
      <c r="C18" s="1731"/>
    </row>
    <row r="19" spans="1:3">
      <c r="A19" s="1730" t="s">
        <v>1733</v>
      </c>
      <c r="B19" s="1730" t="s">
        <v>3187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48"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8"/>
      <c r="B54" s="1738" t="s">
        <v>832</v>
      </c>
      <c r="C54" s="1735" t="s">
        <v>1248</v>
      </c>
    </row>
    <row r="55" spans="1:4">
      <c r="A55" s="3148"/>
      <c r="B55" s="1738" t="s">
        <v>833</v>
      </c>
      <c r="C55" s="1735" t="s">
        <v>1249</v>
      </c>
    </row>
    <row r="56" spans="1:4">
      <c r="A56" s="3148"/>
      <c r="B56" s="1738" t="s">
        <v>834</v>
      </c>
      <c r="C56" s="1735" t="s">
        <v>1253</v>
      </c>
    </row>
    <row r="57" spans="1:4">
      <c r="A57" s="3148"/>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F26" sqref="F26"/>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2914</v>
      </c>
      <c r="B1" s="3157" t="str">
        <f>IF(B10="北京市","北京市",C10)&amp;F10&amp;IF(结果表!G1="在建","出让国有建设用地使用权及在建建筑物",IF(结果表!G1="土地","出让国有建设用地使用权",))&amp;B9&amp;"预评估"</f>
        <v>房地产抵押价值预评估</v>
      </c>
      <c r="C1" s="3158"/>
      <c r="D1" s="3158"/>
      <c r="E1" s="3158"/>
      <c r="F1" s="3158"/>
      <c r="G1" s="3158"/>
      <c r="H1" s="3158"/>
      <c r="I1" s="3159"/>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房地产抵押价值</v>
      </c>
      <c r="T1" s="1930"/>
      <c r="U1" s="1930"/>
      <c r="V1" s="1930"/>
      <c r="W1" s="1930"/>
      <c r="X1" s="1930"/>
      <c r="Y1" s="1930"/>
      <c r="Z1" s="1930"/>
      <c r="AA1" s="1930"/>
      <c r="AB1" s="1930"/>
    </row>
    <row r="2" spans="1:28">
      <c r="A2" s="2590" t="s">
        <v>2915</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8" t="s">
        <v>2916</v>
      </c>
      <c r="B3" s="2596"/>
      <c r="C3" s="2597" t="s">
        <v>2917</v>
      </c>
      <c r="D3" s="2596">
        <v>44555</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50" t="s">
        <v>2918</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2919</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2920</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2921</v>
      </c>
      <c r="B7" s="2610"/>
      <c r="C7" s="2608"/>
      <c r="D7" s="2609"/>
      <c r="E7" s="2888"/>
      <c r="F7" s="2890"/>
      <c r="G7" s="2890"/>
      <c r="H7" s="2890"/>
      <c r="I7" s="2890"/>
      <c r="J7" s="2664"/>
      <c r="K7" s="2841"/>
      <c r="L7" s="2838"/>
      <c r="M7" s="2838"/>
      <c r="N7" s="2664"/>
      <c r="O7" s="2675"/>
      <c r="P7" s="2664"/>
      <c r="Q7" s="2664"/>
      <c r="R7" s="2664"/>
    </row>
    <row r="8" spans="1:28">
      <c r="A8" s="2611" t="s">
        <v>2922</v>
      </c>
      <c r="B8" s="2612" t="s">
        <v>3069</v>
      </c>
      <c r="C8" s="2613"/>
      <c r="D8" s="3160" t="s">
        <v>2923</v>
      </c>
      <c r="E8" s="2614" t="s">
        <v>3068</v>
      </c>
      <c r="F8" s="2615"/>
      <c r="G8" s="2889"/>
      <c r="H8" s="2889"/>
      <c r="I8" s="2889"/>
      <c r="J8" s="2664"/>
      <c r="K8" s="2839"/>
      <c r="L8" s="2838"/>
      <c r="M8" s="2838"/>
      <c r="N8" s="2664"/>
      <c r="O8" s="2675"/>
      <c r="P8" s="2664"/>
      <c r="Q8" s="2664"/>
      <c r="R8" s="2664"/>
    </row>
    <row r="9" spans="1:28" ht="13.5" thickBot="1">
      <c r="A9" s="2616" t="s">
        <v>2924</v>
      </c>
      <c r="B9" s="2617" t="s">
        <v>3068</v>
      </c>
      <c r="C9" s="2618"/>
      <c r="D9" s="3161"/>
      <c r="E9" s="2617"/>
      <c r="F9" s="2619"/>
      <c r="G9" s="2891"/>
      <c r="H9" s="2891"/>
      <c r="I9" s="2891"/>
      <c r="J9" s="2664"/>
      <c r="K9" s="2841"/>
      <c r="L9" s="2838"/>
      <c r="M9" s="2838"/>
      <c r="N9" s="2664"/>
      <c r="O9" s="2675"/>
      <c r="P9" s="2664"/>
      <c r="Q9" s="2664"/>
      <c r="R9" s="2664"/>
    </row>
    <row r="10" spans="1:28" ht="13.5" thickTop="1">
      <c r="A10" s="2620" t="s">
        <v>2925</v>
      </c>
      <c r="B10" s="2621" t="s">
        <v>3070</v>
      </c>
      <c r="C10" s="2622"/>
      <c r="D10" s="2605"/>
      <c r="E10" s="2623" t="s">
        <v>2926</v>
      </c>
      <c r="F10" s="2892"/>
      <c r="G10" s="2893"/>
      <c r="H10" s="2894"/>
      <c r="I10" s="2895"/>
      <c r="J10" s="2664"/>
      <c r="K10" s="2841"/>
      <c r="L10" s="2838"/>
      <c r="M10" s="2838"/>
      <c r="N10" s="2664"/>
      <c r="O10" s="2675"/>
      <c r="P10" s="2664"/>
      <c r="Q10" s="2664"/>
      <c r="R10" s="2664"/>
    </row>
    <row r="11" spans="1:28">
      <c r="A11" s="2624" t="s">
        <v>2927</v>
      </c>
      <c r="B11" s="2625" t="s">
        <v>3071</v>
      </c>
      <c r="C11" s="2626"/>
      <c r="D11" s="2627"/>
      <c r="E11" s="2593"/>
      <c r="F11" s="2593"/>
      <c r="G11" s="2593"/>
      <c r="H11" s="2593"/>
      <c r="I11" s="2593"/>
      <c r="J11" s="2664"/>
      <c r="K11" s="2841"/>
      <c r="L11" s="2838"/>
      <c r="M11" s="2838"/>
      <c r="N11" s="2664"/>
      <c r="O11" s="2675"/>
      <c r="P11" s="2664"/>
      <c r="Q11" s="2664"/>
      <c r="R11" s="2664"/>
    </row>
    <row r="12" spans="1:28">
      <c r="A12" s="2628" t="s">
        <v>2928</v>
      </c>
      <c r="B12" s="2625" t="s">
        <v>3072</v>
      </c>
      <c r="C12" s="329" t="s">
        <v>2929</v>
      </c>
      <c r="D12" s="2629" t="s">
        <v>2930</v>
      </c>
      <c r="E12" s="2629" t="s">
        <v>2931</v>
      </c>
      <c r="F12" s="2629" t="s">
        <v>2932</v>
      </c>
      <c r="G12" s="2629" t="s">
        <v>2933</v>
      </c>
      <c r="H12" s="2629" t="s">
        <v>2934</v>
      </c>
      <c r="I12" s="2629" t="s">
        <v>2935</v>
      </c>
      <c r="J12" s="2664"/>
      <c r="K12" s="2841"/>
      <c r="L12" s="2838"/>
      <c r="M12" s="2838"/>
      <c r="N12" s="2664"/>
      <c r="O12" s="2675"/>
      <c r="P12" s="2664"/>
      <c r="Q12" s="2664"/>
      <c r="R12" s="2664"/>
    </row>
    <row r="13" spans="1:28">
      <c r="A13" s="1241"/>
      <c r="B13" s="2630"/>
      <c r="C13" s="2631" t="s">
        <v>2936</v>
      </c>
      <c r="D13" s="965"/>
      <c r="E13" s="965">
        <v>59916</v>
      </c>
      <c r="F13" s="965"/>
      <c r="G13" s="965"/>
      <c r="H13" s="965"/>
      <c r="I13" s="965"/>
      <c r="J13" s="2664"/>
      <c r="K13" s="2841"/>
      <c r="L13" s="2838"/>
      <c r="M13" s="2838"/>
      <c r="N13" s="2664"/>
      <c r="O13" s="2675"/>
      <c r="P13" s="2664"/>
      <c r="Q13" s="2664"/>
      <c r="R13" s="2664"/>
    </row>
    <row r="14" spans="1:28">
      <c r="A14" s="1241"/>
      <c r="B14" s="2630"/>
      <c r="C14" s="2631" t="s">
        <v>2937</v>
      </c>
      <c r="D14" s="2632"/>
      <c r="E14" s="2632">
        <v>50</v>
      </c>
      <c r="F14" s="2632"/>
      <c r="G14" s="2632"/>
      <c r="H14" s="2632"/>
      <c r="I14" s="2632"/>
      <c r="J14" s="2664"/>
      <c r="K14" s="2842"/>
      <c r="L14" s="2838"/>
      <c r="M14" s="2838"/>
      <c r="N14" s="2664"/>
      <c r="O14" s="2675"/>
      <c r="P14" s="2664"/>
      <c r="Q14" s="2664"/>
      <c r="R14" s="2664"/>
    </row>
    <row r="15" spans="1:28">
      <c r="A15" s="326"/>
      <c r="B15" s="2633"/>
      <c r="C15" s="2634" t="s">
        <v>2938</v>
      </c>
      <c r="D15" s="2635" t="str">
        <f>IF(B12="出让",IF(D13="","",ROUNDDOWN(MIN((D13-$D$3)/365,D14),2)),D14)</f>
        <v/>
      </c>
      <c r="E15" s="2635">
        <f>IF(B12="出让",IF(E13="","",ROUNDDOWN(MIN((E13-$D$3)/365,E14),2)),E14)</f>
        <v>42.08</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2939</v>
      </c>
      <c r="B16" s="3167"/>
      <c r="C16" s="3168"/>
      <c r="D16" s="3169"/>
      <c r="E16" s="2638" t="s">
        <v>2940</v>
      </c>
      <c r="F16" s="3170"/>
      <c r="G16" s="3171"/>
      <c r="H16" s="3171"/>
      <c r="I16" s="3172"/>
      <c r="J16" s="2664"/>
      <c r="K16" s="2843"/>
      <c r="L16" s="2676"/>
      <c r="M16" s="2676"/>
      <c r="N16" s="2734"/>
      <c r="O16" s="2676"/>
      <c r="P16" s="2734"/>
      <c r="Q16" s="2664"/>
      <c r="R16" s="2664"/>
    </row>
    <row r="17" spans="1:28">
      <c r="A17" s="319" t="s">
        <v>2941</v>
      </c>
      <c r="B17" s="308" t="s">
        <v>2942</v>
      </c>
      <c r="C17" s="11">
        <f>'数据-汇总表'!E3</f>
        <v>58794.39</v>
      </c>
      <c r="D17" s="2544" t="s">
        <v>2943</v>
      </c>
      <c r="E17" s="3173" t="s">
        <v>2944</v>
      </c>
      <c r="F17" s="3174"/>
      <c r="G17" s="3174"/>
      <c r="H17" s="3174"/>
      <c r="I17" s="3175"/>
      <c r="J17" s="2664"/>
      <c r="K17" s="2844"/>
      <c r="L17" s="2676"/>
      <c r="M17" s="2676"/>
      <c r="N17" s="2734"/>
      <c r="O17" s="2676"/>
      <c r="P17" s="2734"/>
      <c r="Q17" s="2664"/>
      <c r="R17" s="2664"/>
      <c r="S17" s="2664"/>
      <c r="T17" s="2664"/>
      <c r="U17" s="2664"/>
      <c r="V17" s="2664"/>
    </row>
    <row r="18" spans="1:28" ht="24.75" thickBot="1">
      <c r="A18" s="2639" t="s">
        <v>2945</v>
      </c>
      <c r="B18" s="1250" t="s">
        <v>2946</v>
      </c>
      <c r="C18" s="2640">
        <f>'数据-汇总表'!D3</f>
        <v>133089</v>
      </c>
      <c r="D18" s="1252" t="s">
        <v>2947</v>
      </c>
      <c r="E18" s="3176" t="s">
        <v>2948</v>
      </c>
      <c r="F18" s="3177"/>
      <c r="G18" s="3177"/>
      <c r="H18" s="3177"/>
      <c r="I18" s="3178"/>
      <c r="J18" s="2664"/>
      <c r="K18" s="2844"/>
      <c r="L18" s="2676"/>
      <c r="M18" s="2676"/>
      <c r="N18" s="2734"/>
      <c r="O18" s="2676"/>
      <c r="P18" s="2734"/>
      <c r="Q18" s="2664"/>
      <c r="R18" s="2664"/>
      <c r="S18" s="2664"/>
      <c r="T18" s="2664"/>
      <c r="U18" s="2664"/>
      <c r="V18" s="2664"/>
    </row>
    <row r="19" spans="1:28" ht="37.5" thickTop="1" thickBot="1">
      <c r="A19" s="333" t="s">
        <v>1741</v>
      </c>
      <c r="B19" s="313" t="s">
        <v>2949</v>
      </c>
      <c r="C19" s="1747"/>
      <c r="D19" s="1748" t="s">
        <v>2950</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2951</v>
      </c>
      <c r="B20" s="3163" t="s">
        <v>2952</v>
      </c>
      <c r="C20" s="3164"/>
      <c r="D20" s="3165" t="s">
        <v>2953</v>
      </c>
      <c r="E20" s="3166"/>
      <c r="F20" s="2873" t="s">
        <v>1742</v>
      </c>
      <c r="G20" s="2890"/>
      <c r="H20" s="2890"/>
      <c r="I20" s="2890"/>
      <c r="J20" s="2664"/>
      <c r="K20" s="3162"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2955</v>
      </c>
      <c r="C21" s="2860" t="s">
        <v>1743</v>
      </c>
      <c r="D21" s="1752" t="s">
        <v>2956</v>
      </c>
      <c r="E21" s="2861" t="s">
        <v>1743</v>
      </c>
      <c r="F21" s="2874"/>
      <c r="G21" s="2890"/>
      <c r="H21" s="2890"/>
      <c r="I21" s="2890"/>
      <c r="J21" s="2664"/>
      <c r="K21" s="316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2957</v>
      </c>
      <c r="C22" s="2860" t="s">
        <v>1744</v>
      </c>
      <c r="D22" s="2889"/>
      <c r="E22" s="2889"/>
      <c r="F22" s="2889"/>
      <c r="G22" s="2890"/>
      <c r="H22" s="2890"/>
      <c r="I22" s="2890"/>
      <c r="J22" s="2664"/>
      <c r="K22" s="316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2958</v>
      </c>
      <c r="B23" s="2727" t="s">
        <v>2959</v>
      </c>
      <c r="C23" s="2864"/>
      <c r="D23" s="2865" t="s">
        <v>2959</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50" t="s">
        <v>2960</v>
      </c>
      <c r="B27" s="326" t="s">
        <v>2961</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50"/>
      <c r="B28" s="308" t="s">
        <v>2962</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50"/>
      <c r="B29" s="308" t="s">
        <v>2963</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51"/>
      <c r="B30" s="308" t="s">
        <v>2964</v>
      </c>
      <c r="C30" s="3152"/>
      <c r="D30" s="3153"/>
      <c r="E30" s="2890"/>
      <c r="F30" s="2890"/>
      <c r="G30" s="2890"/>
      <c r="H30" s="2890"/>
      <c r="I30" s="2890"/>
      <c r="J30" s="2664"/>
      <c r="K30" s="2841"/>
      <c r="L30" s="2838"/>
      <c r="M30" s="2838"/>
      <c r="N30" s="2664"/>
      <c r="O30" s="2675"/>
      <c r="P30" s="2664"/>
      <c r="Q30" s="2664"/>
      <c r="R30" s="2664"/>
      <c r="S30" s="2664"/>
      <c r="T30" s="2664"/>
      <c r="U30" s="2664"/>
      <c r="V30" s="2664"/>
    </row>
    <row r="31" spans="1:28">
      <c r="A31" s="3154" t="s">
        <v>2965</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55"/>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55"/>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8" t="s">
        <v>2966</v>
      </c>
      <c r="B34" s="2213"/>
      <c r="C34" s="2213"/>
      <c r="D34" s="2213"/>
      <c r="E34" s="2213"/>
      <c r="F34" s="2213"/>
      <c r="G34" s="2213"/>
      <c r="H34" s="2213"/>
      <c r="I34" s="2890"/>
      <c r="J34" s="2664"/>
      <c r="K34" s="2652">
        <f>COUNTIF(B34:H34,"——")</f>
        <v>0</v>
      </c>
      <c r="L34" s="329" t="s">
        <v>2967</v>
      </c>
      <c r="M34" s="329" t="s">
        <v>2968</v>
      </c>
      <c r="N34" s="329" t="s">
        <v>2969</v>
      </c>
      <c r="O34" s="329" t="s">
        <v>2970</v>
      </c>
      <c r="P34" s="329" t="s">
        <v>2971</v>
      </c>
      <c r="Q34" s="329" t="s">
        <v>2972</v>
      </c>
      <c r="R34" s="329" t="s">
        <v>2973</v>
      </c>
      <c r="S34" s="3149" t="s">
        <v>2974</v>
      </c>
      <c r="T34" s="2653" t="str">
        <f>NUMBERSTRING(7-K34,1)&amp;"通"</f>
        <v>七通</v>
      </c>
      <c r="U34" s="2664"/>
      <c r="V34" s="2664"/>
    </row>
    <row r="35" spans="1:30">
      <c r="A35" s="2654"/>
      <c r="B35" s="3156" t="s">
        <v>2975</v>
      </c>
      <c r="C35" s="3156"/>
      <c r="D35" s="3156"/>
      <c r="E35" s="3156"/>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9"/>
      <c r="T35" s="335" t="str">
        <f>IF(T34="一通",L35,IF(T34="二通",M35,IF(T34="三通",N35,IF(T34="四通",O35,IF(T34="五通",P35,IF(T34="六通",Q35,R35))))))</f>
        <v>、、、、、、</v>
      </c>
      <c r="U35" s="2664"/>
      <c r="V35" s="2664"/>
    </row>
    <row r="36" spans="1:30">
      <c r="A36" s="2655"/>
      <c r="B36" s="673" t="s">
        <v>2931</v>
      </c>
      <c r="C36" s="673" t="s">
        <v>2932</v>
      </c>
      <c r="D36" s="673" t="s">
        <v>2930</v>
      </c>
      <c r="E36" s="673" t="s">
        <v>2935</v>
      </c>
      <c r="F36" s="2896"/>
      <c r="G36" s="2890"/>
      <c r="H36" s="2890"/>
      <c r="I36" s="2890"/>
      <c r="J36" s="2664"/>
      <c r="K36" s="2841"/>
      <c r="L36" s="2838"/>
      <c r="M36" s="2838"/>
      <c r="N36" s="2664"/>
      <c r="O36" s="2675"/>
      <c r="P36" s="2664"/>
      <c r="Q36" s="2664"/>
      <c r="R36" s="2664"/>
      <c r="S36" s="2664"/>
      <c r="T36" s="2664"/>
      <c r="U36" s="2664"/>
      <c r="V36" s="2664"/>
    </row>
    <row r="37" spans="1:30">
      <c r="A37" s="2856" t="s">
        <v>2976</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2977</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2978</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2979</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9" t="s">
        <v>2980</v>
      </c>
      <c r="B42" s="11" t="s">
        <v>2981</v>
      </c>
      <c r="C42" s="11" t="s">
        <v>2982</v>
      </c>
      <c r="D42" s="11" t="s">
        <v>2983</v>
      </c>
      <c r="E42" s="11" t="s">
        <v>2984</v>
      </c>
      <c r="F42" s="11" t="s">
        <v>2985</v>
      </c>
      <c r="G42" s="11" t="s">
        <v>2986</v>
      </c>
      <c r="H42" s="11" t="s">
        <v>2987</v>
      </c>
      <c r="I42" s="11" t="s">
        <v>2988</v>
      </c>
      <c r="J42" s="2852" t="s">
        <v>2989</v>
      </c>
      <c r="K42" s="2853" t="s">
        <v>2990</v>
      </c>
      <c r="L42" s="2853" t="s">
        <v>2991</v>
      </c>
      <c r="M42" s="2853" t="s">
        <v>2992</v>
      </c>
      <c r="N42" s="2846" t="s">
        <v>2993</v>
      </c>
      <c r="O42" s="2846" t="s">
        <v>2994</v>
      </c>
      <c r="P42" s="2846" t="s">
        <v>2995</v>
      </c>
      <c r="Q42" s="2847" t="s">
        <v>2996</v>
      </c>
      <c r="R42" s="2847" t="s">
        <v>2997</v>
      </c>
      <c r="S42" s="2664"/>
      <c r="T42" s="2664"/>
      <c r="U42" s="2664"/>
      <c r="V42" s="2664"/>
    </row>
    <row r="43" spans="1:30" s="1928" customFormat="1">
      <c r="A43" s="1754"/>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8" customFormat="1">
      <c r="A44" s="1754"/>
      <c r="B44" s="1754"/>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8" customFormat="1">
      <c r="A45" s="1754"/>
      <c r="B45" s="1754"/>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8" customFormat="1">
      <c r="A46" s="1754"/>
      <c r="B46" s="1754"/>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8" customFormat="1">
      <c r="A47" s="1754"/>
      <c r="B47" s="1754"/>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8" customFormat="1">
      <c r="A48" s="1754"/>
      <c r="B48" s="1754"/>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8" customFormat="1">
      <c r="A49" s="1754"/>
      <c r="B49" s="1754"/>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8" customFormat="1">
      <c r="A50" s="1754"/>
      <c r="B50" s="1754"/>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8" customFormat="1">
      <c r="A51" s="1754"/>
      <c r="B51" s="1754"/>
      <c r="C51" s="1182"/>
      <c r="D51" s="1182"/>
      <c r="E51" s="1182"/>
      <c r="F51" s="1182"/>
      <c r="G51" s="1182"/>
      <c r="H51" s="1182"/>
      <c r="I51" s="1182"/>
      <c r="J51" s="2662"/>
      <c r="K51" s="2663"/>
      <c r="L51" s="2663"/>
      <c r="M51" s="1182"/>
      <c r="N51" s="1182"/>
      <c r="O51" s="1182"/>
      <c r="P51" s="1182"/>
      <c r="Q51" s="1182"/>
      <c r="R51" s="1182"/>
    </row>
    <row r="52" spans="1:22" s="1928" customFormat="1">
      <c r="A52" s="1754"/>
      <c r="B52" s="1754"/>
      <c r="C52" s="1754"/>
      <c r="D52" s="1754"/>
      <c r="E52" s="1754"/>
      <c r="F52" s="1182"/>
      <c r="G52" s="1754"/>
      <c r="H52" s="1754"/>
      <c r="I52" s="1754"/>
      <c r="J52" s="2665"/>
      <c r="K52" s="2663"/>
      <c r="L52" s="2663"/>
      <c r="M52" s="2663"/>
      <c r="N52" s="1754"/>
      <c r="O52" s="1754"/>
      <c r="P52" s="1754"/>
      <c r="Q52" s="1754"/>
      <c r="R52" s="1754"/>
    </row>
    <row r="53" spans="1:22" s="1928" customFormat="1">
      <c r="A53" s="1754"/>
      <c r="B53" s="1754"/>
      <c r="C53" s="1754"/>
      <c r="D53" s="1754"/>
      <c r="E53" s="1754"/>
      <c r="F53" s="1182"/>
      <c r="G53" s="1754"/>
      <c r="H53" s="1754"/>
      <c r="I53" s="1754"/>
      <c r="J53" s="2665"/>
      <c r="K53" s="2663"/>
      <c r="L53" s="2663"/>
      <c r="M53" s="2663"/>
      <c r="N53" s="1754"/>
      <c r="O53" s="1754"/>
      <c r="P53" s="1754"/>
      <c r="Q53" s="1754"/>
      <c r="R53" s="1754"/>
    </row>
    <row r="54" spans="1:22" s="1928" customFormat="1">
      <c r="A54" s="1754"/>
      <c r="B54" s="1754"/>
      <c r="C54" s="1754"/>
      <c r="D54" s="1754"/>
      <c r="E54" s="1754"/>
      <c r="F54" s="1182"/>
      <c r="G54" s="1754"/>
      <c r="H54" s="1754"/>
      <c r="I54" s="1754"/>
      <c r="J54" s="2665"/>
      <c r="K54" s="2663"/>
      <c r="L54" s="2663"/>
      <c r="M54" s="2663"/>
      <c r="N54" s="1754"/>
      <c r="O54" s="1754"/>
      <c r="P54" s="1754"/>
      <c r="Q54" s="1754"/>
      <c r="R54" s="1754"/>
    </row>
    <row r="55" spans="1:22" s="1928" customFormat="1">
      <c r="A55" s="1754"/>
      <c r="B55" s="1754"/>
      <c r="C55" s="1754"/>
      <c r="D55" s="1754"/>
      <c r="E55" s="1754"/>
      <c r="F55" s="1182"/>
      <c r="G55" s="1754"/>
      <c r="H55" s="1754"/>
      <c r="I55" s="1754"/>
      <c r="J55" s="2665"/>
      <c r="K55" s="2663"/>
      <c r="L55" s="2663"/>
      <c r="M55" s="2663"/>
      <c r="N55" s="1754"/>
      <c r="O55" s="1754"/>
      <c r="P55" s="1754"/>
      <c r="Q55" s="1754"/>
      <c r="R55" s="1754"/>
    </row>
    <row r="56" spans="1:22" s="1928" customFormat="1">
      <c r="A56" s="1754"/>
      <c r="B56" s="1754"/>
      <c r="C56" s="1754"/>
      <c r="D56" s="1754"/>
      <c r="E56" s="1754"/>
      <c r="F56" s="1182"/>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面积!C9</f>
        <v>133089</v>
      </c>
      <c r="B3" s="14">
        <f>IF(C3="否",G5-AT5,G5)</f>
        <v>58794.39</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58794.39</v>
      </c>
      <c r="H5" s="16">
        <f t="shared" ref="H5:AT5" si="0">SUM(H13:H656)</f>
        <v>58794.39</v>
      </c>
      <c r="I5" s="16">
        <f t="shared" si="0"/>
        <v>58794.39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58794.39</v>
      </c>
      <c r="BA5" s="18">
        <f t="shared" si="1"/>
        <v>58794.39</v>
      </c>
      <c r="BB5" s="18">
        <f t="shared" si="1"/>
        <v>58794.39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133089</v>
      </c>
      <c r="F6" s="16" t="s">
        <v>1</v>
      </c>
      <c r="G6" s="16" t="s">
        <v>2</v>
      </c>
      <c r="H6" s="20">
        <f>SUMIF(I$12:AB$12,"总值",I6:AB6)</f>
        <v>133089</v>
      </c>
      <c r="I6" s="16">
        <f t="shared" ref="I6:AB6" si="2">ROUND($A$3*I5/$B$3,2)</f>
        <v>133089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133089</v>
      </c>
      <c r="AZ6" s="16" t="s">
        <v>3</v>
      </c>
      <c r="BA6" s="16">
        <f>ROUND($AY$6*BA5/$AZ$5,2)</f>
        <v>133089</v>
      </c>
      <c r="BB6" s="16">
        <f>ROUND($AY$6*BB5/$AZ$5,2)</f>
        <v>133089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8" t="s">
        <v>1772</v>
      </c>
      <c r="AD8" s="1784"/>
      <c r="AE8" s="1776"/>
      <c r="AF8" s="1543"/>
      <c r="AG8" s="1543"/>
      <c r="AH8" s="1543"/>
      <c r="AI8" s="1543"/>
      <c r="AJ8" s="1543"/>
      <c r="AK8" s="1543"/>
      <c r="AL8" s="1543"/>
      <c r="AM8" s="1543"/>
      <c r="AN8" s="1543"/>
      <c r="AO8" s="1543"/>
      <c r="AP8" s="1543"/>
      <c r="AQ8" s="1543"/>
      <c r="AR8" s="1543"/>
      <c r="AS8" s="1543"/>
      <c r="AT8" s="1202" t="s">
        <v>1773</v>
      </c>
      <c r="AU8" s="1778" t="s">
        <v>1774</v>
      </c>
      <c r="AV8" s="1202"/>
      <c r="AW8" s="1761"/>
      <c r="AX8" s="1202"/>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1777</v>
      </c>
      <c r="I9" s="1787" t="s">
        <v>3073</v>
      </c>
      <c r="J9" s="918"/>
      <c r="K9" s="1787"/>
      <c r="L9" s="918"/>
      <c r="M9" s="1787"/>
      <c r="N9" s="918"/>
      <c r="O9" s="1787"/>
      <c r="P9" s="918"/>
      <c r="Q9" s="1787"/>
      <c r="R9" s="918"/>
      <c r="S9" s="1787"/>
      <c r="T9" s="918"/>
      <c r="U9" s="1787"/>
      <c r="V9" s="918"/>
      <c r="W9" s="1787"/>
      <c r="X9" s="1788"/>
      <c r="Y9" s="1787"/>
      <c r="Z9" s="918"/>
      <c r="AA9" s="1787"/>
      <c r="AB9" s="918"/>
      <c r="AC9" s="1779"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89"/>
      <c r="AT9" s="1778"/>
      <c r="AU9" s="1778" t="s">
        <v>1780</v>
      </c>
      <c r="AV9" s="1202"/>
      <c r="AW9" s="1761"/>
      <c r="AX9" s="1202"/>
      <c r="AY9" s="28"/>
      <c r="AZ9" s="28" t="s">
        <v>1770</v>
      </c>
      <c r="BA9" s="1790" t="s">
        <v>1781</v>
      </c>
      <c r="BB9" s="1791"/>
      <c r="BC9" s="1248"/>
      <c r="BD9" s="1248"/>
      <c r="BE9" s="1248"/>
      <c r="BF9" s="1248"/>
      <c r="BG9" s="1248"/>
      <c r="BH9" s="1248"/>
      <c r="BI9" s="1248"/>
      <c r="BJ9" s="1248"/>
      <c r="BK9" s="1792"/>
      <c r="BL9" s="15" t="s">
        <v>1782</v>
      </c>
      <c r="BM9" s="1543"/>
      <c r="BN9" s="1781"/>
      <c r="BO9" s="1543"/>
      <c r="BP9" s="1543"/>
      <c r="BQ9" s="1543"/>
      <c r="BR9" s="1543"/>
      <c r="BS9" s="1543"/>
      <c r="BT9" s="26"/>
    </row>
    <row r="10" spans="1:72" s="1785" customFormat="1" ht="12.75">
      <c r="A10" s="1778"/>
      <c r="B10" s="1778"/>
      <c r="C10" s="1778"/>
      <c r="D10" s="1778"/>
      <c r="E10" s="1778"/>
      <c r="F10" s="1778"/>
      <c r="G10" s="1202"/>
      <c r="H10" s="28"/>
      <c r="I10" s="1787" t="s">
        <v>1343</v>
      </c>
      <c r="J10" s="918"/>
      <c r="K10" s="1793"/>
      <c r="L10" s="918"/>
      <c r="M10" s="1793"/>
      <c r="N10" s="918"/>
      <c r="O10" s="1793"/>
      <c r="P10" s="918"/>
      <c r="Q10" s="1793"/>
      <c r="R10" s="918"/>
      <c r="S10" s="1793"/>
      <c r="T10" s="918"/>
      <c r="U10" s="1793"/>
      <c r="V10" s="918"/>
      <c r="W10" s="1793"/>
      <c r="X10" s="918"/>
      <c r="Y10" s="1793"/>
      <c r="Z10" s="918"/>
      <c r="AA10" s="1793"/>
      <c r="AB10" s="918"/>
      <c r="AC10" s="1202"/>
      <c r="AD10" s="15" t="s">
        <v>1783</v>
      </c>
      <c r="AE10" s="1794"/>
      <c r="AF10" s="15" t="s">
        <v>1783</v>
      </c>
      <c r="AG10" s="1794"/>
      <c r="AH10" s="15" t="s">
        <v>1784</v>
      </c>
      <c r="AI10" s="1794"/>
      <c r="AJ10" s="15" t="s">
        <v>1784</v>
      </c>
      <c r="AK10" s="1794"/>
      <c r="AL10" s="15" t="s">
        <v>1785</v>
      </c>
      <c r="AM10" s="1208"/>
      <c r="AN10" s="15" t="s">
        <v>1785</v>
      </c>
      <c r="AO10" s="1208"/>
      <c r="AP10" s="15" t="s">
        <v>1786</v>
      </c>
      <c r="AQ10" s="1208"/>
      <c r="AR10" s="15" t="s">
        <v>1786</v>
      </c>
      <c r="AS10" s="1208"/>
      <c r="AT10" s="1778"/>
      <c r="AU10" s="1778"/>
      <c r="AV10" s="1202"/>
      <c r="AW10" s="1761"/>
      <c r="AX10" s="1202"/>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2"/>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2"/>
      <c r="AW11" s="1761"/>
      <c r="AX11" s="1202"/>
      <c r="AY11" s="28"/>
      <c r="AZ11" s="28"/>
      <c r="BA11" s="28"/>
      <c r="BB11" s="1783" t="str">
        <f>I10</f>
        <v>商业</v>
      </c>
      <c r="BC11" s="1783">
        <f>K10</f>
        <v>0</v>
      </c>
      <c r="BD11" s="1783">
        <f>M10</f>
        <v>0</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1182"/>
      <c r="C13" s="1182" t="s">
        <v>3179</v>
      </c>
      <c r="D13" s="1809" t="s">
        <v>3160</v>
      </c>
      <c r="E13" s="16">
        <f>IF($C$3="是",ROUND($A$3*G13/$B$3,2),ROUND($A$3*(G13-AT13)/$B$3,2))</f>
        <v>84875.29</v>
      </c>
      <c r="F13" s="32"/>
      <c r="G13" s="33">
        <f>H13+AC13+AT13</f>
        <v>37495.14</v>
      </c>
      <c r="H13" s="20">
        <f>SUMIF(I$12:AB$12,"总值",I13:AB13)</f>
        <v>37495.14</v>
      </c>
      <c r="I13" s="1810">
        <f>面积!D9</f>
        <v>37495.14</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t="str">
        <f t="shared" si="6"/>
        <v>C1</v>
      </c>
      <c r="AY13" s="1532">
        <f>ROUND($AY$6*AZ13/$AZ$5,2)</f>
        <v>84875.29</v>
      </c>
      <c r="AZ13" s="16">
        <f>BA13+BL13</f>
        <v>37495.14</v>
      </c>
      <c r="BA13" s="16">
        <f>SUM(BB13:BK13)</f>
        <v>37495.14</v>
      </c>
      <c r="BB13" s="16">
        <f>IF($D13="是",I13-J13,0)</f>
        <v>37495.14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2"/>
      <c r="B14" s="1182"/>
      <c r="C14" s="1754" t="s">
        <v>3181</v>
      </c>
      <c r="D14" s="1809" t="s">
        <v>3160</v>
      </c>
      <c r="E14" s="16">
        <f>IF($C$3="是",ROUND($A$3*G14/$B$3,2),ROUND($A$3*(G14-AT14)/$B$3,2))</f>
        <v>48213.71</v>
      </c>
      <c r="F14" s="32"/>
      <c r="G14" s="33">
        <f>H14+AC14+AT14</f>
        <v>21299.25</v>
      </c>
      <c r="H14" s="20">
        <f>SUMIF(I$12:AB$12,"总值",I14:AB14)</f>
        <v>21299.25</v>
      </c>
      <c r="I14" s="1810">
        <f>面积!D10</f>
        <v>21299.25</v>
      </c>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t="str">
        <f t="shared" si="6"/>
        <v>C2</v>
      </c>
      <c r="AY14" s="1532">
        <f>ROUND($AY$6*AZ14/$AZ$5,2)</f>
        <v>48213.71</v>
      </c>
      <c r="AZ14" s="16">
        <f>BA14+BL14</f>
        <v>21299.25</v>
      </c>
      <c r="BA14" s="16">
        <f>SUM(BB14:BK14)</f>
        <v>21299.25</v>
      </c>
      <c r="BB14" s="16">
        <f>IF($D14="是",I14-J14,0)</f>
        <v>21299.25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9" t="s">
        <v>0</v>
      </c>
      <c r="B1" s="3179" t="s">
        <v>4</v>
      </c>
      <c r="C1" s="3179" t="s">
        <v>5</v>
      </c>
      <c r="D1" s="3180" t="s">
        <v>53</v>
      </c>
      <c r="E1" s="3180" t="s">
        <v>54</v>
      </c>
      <c r="F1" s="3180"/>
      <c r="G1" s="3180"/>
      <c r="H1" s="3180"/>
      <c r="I1" s="3180"/>
      <c r="J1" s="3180"/>
      <c r="K1" s="3180"/>
      <c r="L1" s="3180"/>
      <c r="M1" s="3180"/>
    </row>
    <row r="2" spans="1:13" ht="27" customHeight="1">
      <c r="A2" s="3179"/>
      <c r="B2" s="3179"/>
      <c r="C2" s="3179"/>
      <c r="D2" s="3180"/>
      <c r="E2" s="3180" t="s">
        <v>37</v>
      </c>
      <c r="F2" s="3180" t="s">
        <v>38</v>
      </c>
      <c r="G2" s="3180"/>
      <c r="H2" s="3180"/>
      <c r="I2" s="3180"/>
      <c r="J2" s="3180" t="s">
        <v>39</v>
      </c>
      <c r="K2" s="3180"/>
      <c r="L2" s="3180"/>
      <c r="M2" s="3180"/>
    </row>
    <row r="3" spans="1:13" ht="28.5">
      <c r="A3" s="3179"/>
      <c r="B3" s="3179"/>
      <c r="C3" s="3179"/>
      <c r="D3" s="3180"/>
      <c r="E3" s="31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0" t="s">
        <v>55</v>
      </c>
      <c r="B9" s="3180"/>
      <c r="C9" s="31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5:F13"/>
  <sheetViews>
    <sheetView workbookViewId="0">
      <selection activeCell="E11" sqref="E11"/>
    </sheetView>
  </sheetViews>
  <sheetFormatPr defaultRowHeight="13.5"/>
  <cols>
    <col min="4" max="4" width="11" customWidth="1"/>
  </cols>
  <sheetData>
    <row r="5" spans="2:6">
      <c r="B5" s="3085"/>
      <c r="C5" s="3086" t="s">
        <v>3162</v>
      </c>
      <c r="D5" s="3086" t="s">
        <v>3161</v>
      </c>
      <c r="E5" s="3086" t="s">
        <v>3164</v>
      </c>
      <c r="F5" s="3086" t="s">
        <v>3163</v>
      </c>
    </row>
    <row r="6" spans="2:6">
      <c r="B6" s="3086" t="s">
        <v>3065</v>
      </c>
      <c r="C6" s="3181">
        <v>131807</v>
      </c>
      <c r="D6" s="3085">
        <v>45156.59</v>
      </c>
      <c r="E6" s="3181">
        <f>D8/C6</f>
        <v>0.71017017305605923</v>
      </c>
      <c r="F6" s="3085">
        <f>ROUND(D6/D8*C6,2)</f>
        <v>63585.59</v>
      </c>
    </row>
    <row r="7" spans="2:6">
      <c r="B7" s="3086" t="s">
        <v>3067</v>
      </c>
      <c r="C7" s="3181"/>
      <c r="D7" s="3085">
        <v>48448.81</v>
      </c>
      <c r="E7" s="3181"/>
      <c r="F7" s="3085">
        <f>ROUND(D7/D8*C6,2)</f>
        <v>68221.41</v>
      </c>
    </row>
    <row r="8" spans="2:6">
      <c r="B8" s="3086" t="s">
        <v>3165</v>
      </c>
      <c r="C8" s="3087"/>
      <c r="D8" s="3085">
        <f>SUM(D6:D7)</f>
        <v>93605.4</v>
      </c>
      <c r="E8" s="3085"/>
      <c r="F8" s="3085"/>
    </row>
    <row r="9" spans="2:6">
      <c r="B9" s="3086" t="s">
        <v>3066</v>
      </c>
      <c r="C9" s="3181">
        <v>133089</v>
      </c>
      <c r="D9" s="3085">
        <v>37495.14</v>
      </c>
      <c r="E9" s="3181">
        <f>D11/C9</f>
        <v>0.44176746387755561</v>
      </c>
      <c r="F9" s="3085">
        <f>ROUND(D9/D11*C9,2)</f>
        <v>84875.29</v>
      </c>
    </row>
    <row r="10" spans="2:6">
      <c r="B10" s="3086" t="s">
        <v>3066</v>
      </c>
      <c r="C10" s="3181"/>
      <c r="D10" s="3085">
        <v>21299.25</v>
      </c>
      <c r="E10" s="3181"/>
      <c r="F10" s="3085">
        <f t="shared" ref="F10" si="0">ROUND(D10/D11*C9,2)</f>
        <v>48213.71</v>
      </c>
    </row>
    <row r="11" spans="2:6">
      <c r="B11" s="3086" t="s">
        <v>3165</v>
      </c>
      <c r="C11" s="3085"/>
      <c r="D11" s="3085">
        <f>SUM(D9:D10)</f>
        <v>58794.39</v>
      </c>
      <c r="E11" s="3085"/>
      <c r="F11" s="3085"/>
    </row>
    <row r="12" spans="2:6">
      <c r="C12">
        <f>C9+C6</f>
        <v>264896</v>
      </c>
      <c r="D12">
        <f>D11+D8</f>
        <v>152399.78999999998</v>
      </c>
    </row>
    <row r="13" spans="2:6">
      <c r="D13">
        <f>D12/C12</f>
        <v>0.57531933287025838</v>
      </c>
    </row>
  </sheetData>
  <mergeCells count="4">
    <mergeCell ref="C6:C7"/>
    <mergeCell ref="C9:C10"/>
    <mergeCell ref="E9:E10"/>
    <mergeCell ref="E6:E7"/>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0" zoomScaleNormal="100" zoomScaleSheetLayoutView="80" workbookViewId="0">
      <selection activeCell="E39" sqref="E39"/>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191" t="s">
        <v>1817</v>
      </c>
      <c r="B2" s="3191"/>
      <c r="C2" s="3191"/>
      <c r="D2" s="904" t="s">
        <v>1793</v>
      </c>
      <c r="E2" s="1823" t="s">
        <v>1794</v>
      </c>
      <c r="F2" s="2885"/>
      <c r="G2" s="2876"/>
      <c r="H2" s="2877"/>
      <c r="I2" s="2547" t="s">
        <v>1818</v>
      </c>
      <c r="J2" s="2885"/>
      <c r="K2" s="2885"/>
      <c r="L2" s="2885"/>
      <c r="M2" s="2885"/>
      <c r="N2" s="2887"/>
      <c r="O2" s="2885"/>
      <c r="P2" s="2885"/>
    </row>
    <row r="3" spans="1:16" ht="15.75" thickBot="1">
      <c r="A3" s="3192" t="s">
        <v>1791</v>
      </c>
      <c r="B3" s="3192"/>
      <c r="C3" s="3192"/>
      <c r="D3" s="46">
        <f>'数据-基础表'!AY6</f>
        <v>133089</v>
      </c>
      <c r="E3" s="46">
        <f>'数据-基础表'!AZ5</f>
        <v>58794.39</v>
      </c>
      <c r="F3" s="2885"/>
      <c r="G3" s="1306"/>
      <c r="H3" s="1157" t="s">
        <v>1792</v>
      </c>
      <c r="I3" s="964">
        <f>ROUND('数据-基础表'!B3/'数据-基础表'!A3,2)</f>
        <v>0.44</v>
      </c>
      <c r="J3" s="2885"/>
      <c r="K3" s="2885"/>
      <c r="L3" s="2885"/>
      <c r="M3" s="2885"/>
      <c r="N3" s="2887"/>
      <c r="O3" s="2885"/>
      <c r="P3" s="2885"/>
    </row>
    <row r="4" spans="1:16" ht="15">
      <c r="A4" s="3193"/>
      <c r="B4" s="3194"/>
      <c r="C4" s="3195"/>
      <c r="D4" s="1825" t="s">
        <v>1793</v>
      </c>
      <c r="E4" s="1826" t="s">
        <v>1794</v>
      </c>
      <c r="F4" s="2885"/>
      <c r="G4" s="2878" t="s">
        <v>1819</v>
      </c>
      <c r="H4" s="1157" t="s">
        <v>1799</v>
      </c>
      <c r="I4" s="964">
        <f>ROUND(SUMIF('数据-基础表'!I9:AS9,"地上",'数据-基础表'!I5:AS5)/'数据-基础表'!A3,2)</f>
        <v>0.44</v>
      </c>
      <c r="J4" s="2885"/>
      <c r="K4" s="2885"/>
      <c r="L4" s="2885"/>
      <c r="M4" s="2885"/>
      <c r="N4" s="2887"/>
      <c r="O4" s="2885"/>
      <c r="P4" s="2885"/>
    </row>
    <row r="5" spans="1:16">
      <c r="A5" s="47" t="s">
        <v>1795</v>
      </c>
      <c r="B5" s="3196" t="s">
        <v>1796</v>
      </c>
      <c r="C5" s="3196"/>
      <c r="D5" s="48">
        <f>ROUND($D$3*E5/$E$3,2)</f>
        <v>0</v>
      </c>
      <c r="E5" s="49">
        <f>SUMIF('数据-基础表'!$11:$11,"住宅",'数据-基础表'!$5:$5)</f>
        <v>0</v>
      </c>
      <c r="F5" s="2885"/>
      <c r="G5" s="1306"/>
      <c r="H5" s="1157" t="s">
        <v>1792</v>
      </c>
      <c r="I5" s="964">
        <f>ROUND(E31/D31,2)</f>
        <v>0.44</v>
      </c>
      <c r="J5" s="2885"/>
      <c r="K5" s="2885"/>
      <c r="L5" s="2885"/>
      <c r="M5" s="2885"/>
      <c r="N5" s="2885"/>
      <c r="O5" s="2885"/>
      <c r="P5" s="2885"/>
    </row>
    <row r="6" spans="1:16" ht="15" thickBot="1">
      <c r="A6" s="1828"/>
      <c r="B6" s="3196" t="s">
        <v>1797</v>
      </c>
      <c r="C6" s="3196"/>
      <c r="D6" s="48">
        <f>ROUND($D$3*E6/$E$3,2)</f>
        <v>133089</v>
      </c>
      <c r="E6" s="49">
        <f>E3-E5</f>
        <v>58794.39</v>
      </c>
      <c r="F6" s="2885"/>
      <c r="G6" s="2879" t="s">
        <v>1798</v>
      </c>
      <c r="H6" s="1307" t="s">
        <v>1799</v>
      </c>
      <c r="I6" s="2880">
        <f>ROUND(F31/D31,2)</f>
        <v>0.44</v>
      </c>
      <c r="J6" s="2885"/>
      <c r="K6" s="2885"/>
      <c r="L6" s="2885"/>
      <c r="M6" s="2885"/>
      <c r="N6" s="2885"/>
      <c r="O6" s="2885"/>
      <c r="P6" s="2885"/>
    </row>
    <row r="7" spans="1:16" ht="15.75" thickBot="1">
      <c r="A7" s="3188"/>
      <c r="B7" s="3189"/>
      <c r="C7" s="3190"/>
      <c r="D7" s="1825" t="s">
        <v>1793</v>
      </c>
      <c r="E7" s="1829"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133089</v>
      </c>
      <c r="E8" s="51">
        <f>SUMIF('数据-基础表'!BB10:BK10,"地上",'数据-基础表'!BB5:BK5)</f>
        <v>58794.39</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133089</v>
      </c>
      <c r="E16" s="53">
        <f>SUM(E8:E15)</f>
        <v>58794.39</v>
      </c>
      <c r="F16" s="2885"/>
      <c r="G16" s="2886"/>
      <c r="H16" s="1832" t="s">
        <v>1821</v>
      </c>
      <c r="I16" s="1833"/>
      <c r="J16" s="1300"/>
      <c r="K16" s="3185" t="s">
        <v>1821</v>
      </c>
      <c r="L16" s="3186"/>
      <c r="M16" s="3186"/>
      <c r="N16" s="3186"/>
      <c r="O16" s="3186"/>
      <c r="P16" s="3187"/>
    </row>
    <row r="17" spans="1:19" ht="15">
      <c r="A17" s="1834" t="s">
        <v>1822</v>
      </c>
      <c r="B17" s="1835" t="s">
        <v>1823</v>
      </c>
      <c r="C17" s="1836" t="s">
        <v>1824</v>
      </c>
      <c r="D17" s="1837" t="s">
        <v>1812</v>
      </c>
      <c r="E17" s="1838" t="s">
        <v>1813</v>
      </c>
      <c r="F17" s="1839"/>
      <c r="G17" s="1840"/>
      <c r="H17" s="1841" t="s">
        <v>1825</v>
      </c>
      <c r="I17" s="1842" t="s">
        <v>1810</v>
      </c>
      <c r="J17" s="1300"/>
      <c r="K17" s="3182" t="s">
        <v>1826</v>
      </c>
      <c r="L17" s="3183"/>
      <c r="M17" s="3184"/>
      <c r="N17" s="3182" t="s">
        <v>1827</v>
      </c>
      <c r="O17" s="3183"/>
      <c r="P17" s="3184"/>
      <c r="R17" s="1824" t="s">
        <v>1828</v>
      </c>
      <c r="S17" s="60"/>
    </row>
    <row r="18" spans="1:19" ht="15">
      <c r="A18" s="1830"/>
      <c r="B18" s="1843"/>
      <c r="C18" s="1844"/>
      <c r="D18" s="1845"/>
      <c r="E18" s="1846" t="s">
        <v>1829</v>
      </c>
      <c r="F18" s="1847" t="s">
        <v>1830</v>
      </c>
      <c r="G18" s="1848" t="s">
        <v>1831</v>
      </c>
      <c r="H18" s="1172" t="s">
        <v>1832</v>
      </c>
      <c r="I18" s="1849" t="s">
        <v>1833</v>
      </c>
      <c r="J18" s="1300"/>
      <c r="K18" s="1172" t="s">
        <v>1834</v>
      </c>
      <c r="L18" s="1850" t="s">
        <v>1835</v>
      </c>
      <c r="M18" s="964" t="s">
        <v>1836</v>
      </c>
      <c r="N18" s="1172" t="s">
        <v>1834</v>
      </c>
      <c r="O18" s="1850" t="s">
        <v>1835</v>
      </c>
      <c r="P18" s="964" t="s">
        <v>1836</v>
      </c>
      <c r="R18" s="1157" t="s">
        <v>1837</v>
      </c>
      <c r="S18" s="1157" t="s">
        <v>1838</v>
      </c>
    </row>
    <row r="19" spans="1:19">
      <c r="A19" s="1851"/>
      <c r="B19" s="50" t="s">
        <v>1811</v>
      </c>
      <c r="C19" s="1852" t="s">
        <v>3182</v>
      </c>
      <c r="D19" s="48">
        <f>ROUND($D$3*E19/$E$3,2)</f>
        <v>84875.29</v>
      </c>
      <c r="E19" s="56">
        <f t="shared" ref="E19:E26" si="1">SUM(F19:G19)</f>
        <v>37495.14</v>
      </c>
      <c r="F19" s="3025">
        <f>'数据-基础表'!I13</f>
        <v>37495.14</v>
      </c>
      <c r="G19" s="3026"/>
      <c r="H19" s="679">
        <f>ROUND($D$3*I19/$E$3,2)</f>
        <v>0</v>
      </c>
      <c r="I19" s="51">
        <f t="shared" ref="I19:I26" si="2">IF($I$17="自定义",P19,M19)</f>
        <v>0</v>
      </c>
      <c r="J19" s="1300"/>
      <c r="K19" s="1299">
        <f t="shared" ref="K19:K26" si="3">ROUND(E$28*E19/E$27,2)</f>
        <v>0</v>
      </c>
      <c r="L19" s="1157">
        <f t="shared" ref="L19:L26" si="4">ROUND(IF(COUNTIF(C19,"*住宅*")&gt;0,E$29*E19/E$32,0),2)</f>
        <v>0</v>
      </c>
      <c r="M19" s="1311">
        <f>K19+L19</f>
        <v>0</v>
      </c>
      <c r="N19" s="1853"/>
      <c r="O19" s="1854"/>
      <c r="P19" s="1311">
        <f>N19+O19</f>
        <v>0</v>
      </c>
      <c r="R19" s="1157">
        <f t="shared" ref="R19:S26" si="5">D19+H19</f>
        <v>84875.29</v>
      </c>
      <c r="S19" s="1158">
        <f t="shared" si="5"/>
        <v>37495.14</v>
      </c>
    </row>
    <row r="20" spans="1:19">
      <c r="A20" s="1855"/>
      <c r="B20" s="50" t="s">
        <v>1839</v>
      </c>
      <c r="C20" s="1852" t="s">
        <v>3183</v>
      </c>
      <c r="D20" s="48">
        <f t="shared" ref="D20:D26" si="6">ROUND($D$3*E20/$E$3,2)</f>
        <v>48213.71</v>
      </c>
      <c r="E20" s="56">
        <f t="shared" si="1"/>
        <v>21299.25</v>
      </c>
      <c r="F20" s="3025">
        <f>'数据-基础表'!I14</f>
        <v>21299.25</v>
      </c>
      <c r="G20" s="3026"/>
      <c r="H20" s="679">
        <f t="shared" ref="H20:H26" si="7">ROUND($D$3*I20/$E$3,2)</f>
        <v>0</v>
      </c>
      <c r="I20" s="51">
        <f t="shared" si="2"/>
        <v>0</v>
      </c>
      <c r="J20" s="1300"/>
      <c r="K20" s="1299">
        <f t="shared" si="3"/>
        <v>0</v>
      </c>
      <c r="L20" s="1157">
        <f t="shared" si="4"/>
        <v>0</v>
      </c>
      <c r="M20" s="1311">
        <f t="shared" ref="M20:M26" si="8">K20+L20</f>
        <v>0</v>
      </c>
      <c r="N20" s="1853"/>
      <c r="O20" s="1854"/>
      <c r="P20" s="1311">
        <f t="shared" ref="P20:P26" si="9">N20+O20</f>
        <v>0</v>
      </c>
      <c r="R20" s="1157">
        <f t="shared" si="5"/>
        <v>48213.71</v>
      </c>
      <c r="S20" s="1158">
        <f t="shared" si="5"/>
        <v>21299.25</v>
      </c>
    </row>
    <row r="21" spans="1:19">
      <c r="A21" s="1855"/>
      <c r="B21" s="50" t="s">
        <v>1839</v>
      </c>
      <c r="C21" s="1852"/>
      <c r="D21" s="48">
        <f t="shared" si="6"/>
        <v>0</v>
      </c>
      <c r="E21" s="56">
        <f t="shared" si="1"/>
        <v>0</v>
      </c>
      <c r="F21" s="3025"/>
      <c r="G21" s="3026"/>
      <c r="H21" s="679">
        <f t="shared" si="7"/>
        <v>0</v>
      </c>
      <c r="I21" s="51">
        <f t="shared" si="2"/>
        <v>0</v>
      </c>
      <c r="J21" s="1300"/>
      <c r="K21" s="1299">
        <f t="shared" si="3"/>
        <v>0</v>
      </c>
      <c r="L21" s="1157">
        <f t="shared" si="4"/>
        <v>0</v>
      </c>
      <c r="M21" s="1311">
        <f t="shared" si="8"/>
        <v>0</v>
      </c>
      <c r="N21" s="1853"/>
      <c r="O21" s="1854"/>
      <c r="P21" s="1311">
        <f t="shared" si="9"/>
        <v>0</v>
      </c>
      <c r="R21" s="1157">
        <f t="shared" si="5"/>
        <v>0</v>
      </c>
      <c r="S21" s="1158">
        <f t="shared" si="5"/>
        <v>0</v>
      </c>
    </row>
    <row r="22" spans="1:19">
      <c r="A22" s="1855"/>
      <c r="B22" s="50" t="s">
        <v>1839</v>
      </c>
      <c r="C22" s="58"/>
      <c r="D22" s="48">
        <f t="shared" si="6"/>
        <v>0</v>
      </c>
      <c r="E22" s="56">
        <f t="shared" si="1"/>
        <v>0</v>
      </c>
      <c r="F22" s="3027"/>
      <c r="G22" s="3028"/>
      <c r="H22" s="679">
        <f t="shared" si="7"/>
        <v>0</v>
      </c>
      <c r="I22" s="51">
        <f t="shared" si="2"/>
        <v>0</v>
      </c>
      <c r="J22" s="1300"/>
      <c r="K22" s="1299">
        <f t="shared" si="3"/>
        <v>0</v>
      </c>
      <c r="L22" s="1157">
        <f t="shared" si="4"/>
        <v>0</v>
      </c>
      <c r="M22" s="1311">
        <f t="shared" si="8"/>
        <v>0</v>
      </c>
      <c r="N22" s="1853"/>
      <c r="O22" s="1854"/>
      <c r="P22" s="1311">
        <f t="shared" si="9"/>
        <v>0</v>
      </c>
      <c r="R22" s="1157">
        <f t="shared" si="5"/>
        <v>0</v>
      </c>
      <c r="S22" s="1158">
        <f t="shared" si="5"/>
        <v>0</v>
      </c>
    </row>
    <row r="23" spans="1:19">
      <c r="A23" s="1855"/>
      <c r="B23" s="50" t="s">
        <v>1839</v>
      </c>
      <c r="C23" s="58"/>
      <c r="D23" s="48">
        <f>ROUND($D$3*E23/$E$3,2)</f>
        <v>0</v>
      </c>
      <c r="E23" s="56">
        <f>SUM(F23:G23)</f>
        <v>0</v>
      </c>
      <c r="F23" s="3027"/>
      <c r="G23" s="3028"/>
      <c r="H23" s="679">
        <f>ROUND($D$3*I23/$E$3,2)</f>
        <v>0</v>
      </c>
      <c r="I23" s="51">
        <f t="shared" si="2"/>
        <v>0</v>
      </c>
      <c r="J23" s="1300"/>
      <c r="K23" s="1299">
        <f t="shared" si="3"/>
        <v>0</v>
      </c>
      <c r="L23" s="1157">
        <f t="shared" si="4"/>
        <v>0</v>
      </c>
      <c r="M23" s="1311">
        <f t="shared" si="8"/>
        <v>0</v>
      </c>
      <c r="N23" s="1853"/>
      <c r="O23" s="1854"/>
      <c r="P23" s="1311">
        <f t="shared" si="9"/>
        <v>0</v>
      </c>
      <c r="R23" s="1157">
        <f t="shared" si="5"/>
        <v>0</v>
      </c>
      <c r="S23" s="1158">
        <f t="shared" si="5"/>
        <v>0</v>
      </c>
    </row>
    <row r="24" spans="1:19">
      <c r="A24" s="1855"/>
      <c r="B24" s="50" t="s">
        <v>1839</v>
      </c>
      <c r="C24" s="58"/>
      <c r="D24" s="48">
        <f>ROUND($D$3*E24/$E$3,2)</f>
        <v>0</v>
      </c>
      <c r="E24" s="56">
        <f>SUM(F24:G24)</f>
        <v>0</v>
      </c>
      <c r="F24" s="3027"/>
      <c r="G24" s="3028"/>
      <c r="H24" s="679">
        <f>ROUND($D$3*I24/$E$3,2)</f>
        <v>0</v>
      </c>
      <c r="I24" s="51">
        <f t="shared" si="2"/>
        <v>0</v>
      </c>
      <c r="J24" s="1300"/>
      <c r="K24" s="1299">
        <f t="shared" si="3"/>
        <v>0</v>
      </c>
      <c r="L24" s="1157">
        <f t="shared" si="4"/>
        <v>0</v>
      </c>
      <c r="M24" s="1311">
        <f t="shared" si="8"/>
        <v>0</v>
      </c>
      <c r="N24" s="1853"/>
      <c r="O24" s="1854"/>
      <c r="P24" s="1311">
        <f t="shared" si="9"/>
        <v>0</v>
      </c>
      <c r="R24" s="1157">
        <f t="shared" si="5"/>
        <v>0</v>
      </c>
      <c r="S24" s="1158">
        <f t="shared" si="5"/>
        <v>0</v>
      </c>
    </row>
    <row r="25" spans="1:19">
      <c r="A25" s="1855"/>
      <c r="B25" s="50" t="s">
        <v>1839</v>
      </c>
      <c r="C25" s="58"/>
      <c r="D25" s="48">
        <f t="shared" si="6"/>
        <v>0</v>
      </c>
      <c r="E25" s="56">
        <f t="shared" si="1"/>
        <v>0</v>
      </c>
      <c r="F25" s="3027"/>
      <c r="G25" s="3028"/>
      <c r="H25" s="47">
        <f t="shared" si="7"/>
        <v>0</v>
      </c>
      <c r="I25" s="51">
        <f t="shared" si="2"/>
        <v>0</v>
      </c>
      <c r="J25" s="1300"/>
      <c r="K25" s="1299">
        <f t="shared" si="3"/>
        <v>0</v>
      </c>
      <c r="L25" s="1157">
        <f t="shared" si="4"/>
        <v>0</v>
      </c>
      <c r="M25" s="1311">
        <f t="shared" si="8"/>
        <v>0</v>
      </c>
      <c r="N25" s="1853"/>
      <c r="O25" s="1854"/>
      <c r="P25" s="1311">
        <f t="shared" si="9"/>
        <v>0</v>
      </c>
      <c r="R25" s="1157">
        <f t="shared" si="5"/>
        <v>0</v>
      </c>
      <c r="S25" s="1158">
        <f t="shared" si="5"/>
        <v>0</v>
      </c>
    </row>
    <row r="26" spans="1:19">
      <c r="A26" s="1855"/>
      <c r="B26" s="50" t="s">
        <v>1839</v>
      </c>
      <c r="C26" s="59"/>
      <c r="D26" s="48">
        <f t="shared" si="6"/>
        <v>0</v>
      </c>
      <c r="E26" s="56">
        <f t="shared" si="1"/>
        <v>0</v>
      </c>
      <c r="F26" s="3027"/>
      <c r="G26" s="3028"/>
      <c r="H26" s="47">
        <f t="shared" si="7"/>
        <v>0</v>
      </c>
      <c r="I26" s="51">
        <f t="shared" si="2"/>
        <v>0</v>
      </c>
      <c r="J26" s="1300"/>
      <c r="K26" s="1306">
        <f t="shared" si="3"/>
        <v>0</v>
      </c>
      <c r="L26" s="1307">
        <f t="shared" si="4"/>
        <v>0</v>
      </c>
      <c r="M26" s="63">
        <f t="shared" si="8"/>
        <v>0</v>
      </c>
      <c r="N26" s="1856"/>
      <c r="O26" s="1857"/>
      <c r="P26" s="63">
        <f t="shared" si="9"/>
        <v>0</v>
      </c>
      <c r="R26" s="1157">
        <f t="shared" si="5"/>
        <v>0</v>
      </c>
      <c r="S26" s="1158">
        <f t="shared" si="5"/>
        <v>0</v>
      </c>
    </row>
    <row r="27" spans="1:19" ht="15.75" thickBot="1">
      <c r="A27" s="1855"/>
      <c r="B27" s="48"/>
      <c r="C27" s="1858" t="s">
        <v>1840</v>
      </c>
      <c r="D27" s="1301">
        <f>SUM(D19:D26)</f>
        <v>133089</v>
      </c>
      <c r="E27" s="1302">
        <f>IF(SUM(E19:E26)='数据-基础表'!BA5,SUM(E19:E26),IF(F27="地上面积有误","面积有误","地下面积有误"))</f>
        <v>58794.39</v>
      </c>
      <c r="F27" s="1301">
        <f>IF(SUM(F19:F26)=E8,SUM(F19:F26),"地上面积有误")</f>
        <v>58794.39</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9">
        <f>IF(SUM(R19:R26)=$D$3,SUM(R19:R26),SUM(R19:R26)&amp;"误差"&amp;ROUND(SUM(R19:R26)-$D$3,2))</f>
        <v>133089</v>
      </c>
      <c r="S27" s="1157">
        <f>IF(SUM(S19:S26)=$E$3,SUM(S19:S26),SUM(S19:S26)&amp;"误差"&amp;ROUND(SUM(S19:S26)-E3,2))</f>
        <v>58794.39</v>
      </c>
    </row>
    <row r="28" spans="1:19">
      <c r="A28" s="1855"/>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1">
        <f>SUM(D28:D29)</f>
        <v>0</v>
      </c>
      <c r="E30" s="1301">
        <f>SUM(E28:E29)</f>
        <v>0</v>
      </c>
      <c r="F30" s="1301">
        <f>SUM(F28:F29)</f>
        <v>0</v>
      </c>
      <c r="G30" s="1303">
        <f>SUM(G28:G29)</f>
        <v>0</v>
      </c>
      <c r="H30" s="2885"/>
      <c r="I30" s="2885"/>
      <c r="J30" s="2885"/>
      <c r="K30" s="2885"/>
      <c r="L30" s="2885"/>
      <c r="M30" s="2885"/>
      <c r="N30" s="2885"/>
      <c r="O30" s="2885"/>
      <c r="P30" s="2885"/>
    </row>
    <row r="31" spans="1:19" ht="15.75" thickBot="1">
      <c r="A31" s="1861"/>
      <c r="B31" s="1862"/>
      <c r="C31" s="944" t="s">
        <v>1844</v>
      </c>
      <c r="D31" s="685">
        <f>D27+D30</f>
        <v>133089</v>
      </c>
      <c r="E31" s="685">
        <f>E27+E30</f>
        <v>58794.39</v>
      </c>
      <c r="F31" s="686">
        <f>F27+F30</f>
        <v>58794.39</v>
      </c>
      <c r="G31" s="687">
        <f>G27+G30</f>
        <v>0</v>
      </c>
      <c r="H31" s="2885"/>
      <c r="I31" s="2885"/>
      <c r="J31" s="2885"/>
      <c r="K31" s="2885"/>
      <c r="L31" s="2885"/>
      <c r="M31" s="2885"/>
      <c r="N31" s="2885"/>
      <c r="O31" s="2885"/>
      <c r="P31" s="2885"/>
    </row>
    <row r="32" spans="1:19">
      <c r="A32" s="1827"/>
      <c r="B32" s="1827" t="s">
        <v>1845</v>
      </c>
      <c r="C32" s="1827"/>
      <c r="D32" s="1827"/>
      <c r="E32" s="1184">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0" zoomScaleNormal="80" zoomScaleSheetLayoutView="90" workbookViewId="0">
      <pane xSplit="3" ySplit="5" topLeftCell="D42" activePane="bottomRight" state="frozen"/>
      <selection activeCell="C50" sqref="C50"/>
      <selection pane="topRight" activeCell="C50" sqref="C50"/>
      <selection pane="bottomLeft" activeCell="C50" sqref="C50"/>
      <selection pane="bottomRight" activeCell="D33" sqref="D33"/>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1847</v>
      </c>
      <c r="B2" s="1176">
        <f>项目基本情况!D3</f>
        <v>44555</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3169</v>
      </c>
      <c r="O5" s="1887" t="s">
        <v>1867</v>
      </c>
      <c r="P5" s="1890" t="s">
        <v>1868</v>
      </c>
      <c r="Q5" s="65" t="s">
        <v>1869</v>
      </c>
      <c r="R5" s="1891" t="s">
        <v>1870</v>
      </c>
      <c r="S5" s="1892" t="s">
        <v>1871</v>
      </c>
      <c r="T5" s="1893" t="s">
        <v>1872</v>
      </c>
      <c r="U5" s="1177" t="s">
        <v>1873</v>
      </c>
      <c r="V5" s="1178" t="s">
        <v>1874</v>
      </c>
      <c r="W5" s="1178" t="s">
        <v>1875</v>
      </c>
      <c r="X5" s="67"/>
      <c r="Y5" s="66" t="s">
        <v>1876</v>
      </c>
      <c r="Z5" s="1894" t="s">
        <v>1873</v>
      </c>
      <c r="AA5" s="1178" t="s">
        <v>1874</v>
      </c>
      <c r="AB5" s="1178" t="s">
        <v>1875</v>
      </c>
      <c r="AC5" s="67"/>
      <c r="AD5" s="67" t="s">
        <v>1876</v>
      </c>
      <c r="AE5" s="1177" t="s">
        <v>1877</v>
      </c>
      <c r="AF5" s="1178" t="s">
        <v>1878</v>
      </c>
      <c r="AG5" s="66" t="s">
        <v>1879</v>
      </c>
      <c r="AH5" s="1177" t="s">
        <v>1880</v>
      </c>
      <c r="AI5" s="1894" t="s">
        <v>1881</v>
      </c>
      <c r="AJ5" s="1894" t="s">
        <v>1882</v>
      </c>
      <c r="AK5" s="1178" t="s">
        <v>1883</v>
      </c>
      <c r="AL5" s="1178" t="s">
        <v>1884</v>
      </c>
      <c r="AM5" s="66" t="s">
        <v>1885</v>
      </c>
      <c r="AN5" s="1895" t="s">
        <v>1886</v>
      </c>
      <c r="AO5" s="1746" t="s">
        <v>1887</v>
      </c>
      <c r="AP5" s="1159"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C1</v>
      </c>
      <c r="B6" s="1898" t="str">
        <f>IF(A6=0,"","经营性")</f>
        <v>经营性</v>
      </c>
      <c r="C6" s="1899" t="s">
        <v>1343</v>
      </c>
      <c r="D6" s="967">
        <f>SUMIF(项目基本情况!D$12:I$12,C6,项目基本情况!D$14:I$14)</f>
        <v>50</v>
      </c>
      <c r="E6" s="966">
        <f>IF(B6="","",SUMIF(项目基本情况!D$12:I$12,C6,项目基本情况!D$13:I$13))</f>
        <v>59916</v>
      </c>
      <c r="F6" s="68">
        <f>SUMIF(项目基本情况!D$12:I$12,C6,项目基本情况!D$15:I$15)</f>
        <v>42.08</v>
      </c>
      <c r="G6" s="69">
        <f>IF(ISERROR(ROUND(POWER(1+H6,D6-F6)*(POWER(1+H6,F6)-1)/(POWER(1+H6,D6)-1),3)),0,ROUND(POWER(1+H6,D6-F6)*(POWER(1+H6,F6)-1)/(POWER(1+H6,D6)-1),3))</f>
        <v>0.96099999999999997</v>
      </c>
      <c r="H6" s="741">
        <v>5.5E-2</v>
      </c>
      <c r="I6" s="741">
        <v>0.06</v>
      </c>
      <c r="J6" s="70">
        <v>7.4999999999999997E-2</v>
      </c>
      <c r="K6" s="1161">
        <f>SUMIF('数据-汇总表'!C$19:C$33,A6,'数据-汇总表'!E$19:E$33)</f>
        <v>37495.14</v>
      </c>
      <c r="L6" s="742">
        <v>15000</v>
      </c>
      <c r="M6" s="71">
        <f t="shared" ref="M6:M14" si="0">ROUND(K6*L6/10000,0)</f>
        <v>56243</v>
      </c>
      <c r="N6" s="740">
        <f>ROUND(1-(2021-2019)/60,2)</f>
        <v>0.97</v>
      </c>
      <c r="O6" s="71" t="str">
        <f>IF($N$5="成新度","——",ROUND(M6*N6,0))</f>
        <v>——</v>
      </c>
      <c r="P6" s="72" t="str">
        <f>IF($N$5="成新度","——",M6-O6)</f>
        <v>——</v>
      </c>
      <c r="Q6" s="743">
        <v>0.15</v>
      </c>
      <c r="R6" s="73">
        <f ca="1">SUMIF('数据-汇总表'!C$19:C$33,A6,'数据-汇总表'!R$19:R$27)</f>
        <v>84875.29</v>
      </c>
      <c r="S6" s="54">
        <f>IF('数据-汇总表'!$I$17="按面积比例",SUMIF('数据-汇总表'!C$19:C$33,A6,'数据-汇总表'!K$19:K$33),SUMIF('数据-汇总表'!C$19:C$33,A6,'数据-汇总表'!N$19:N$33))</f>
        <v>0</v>
      </c>
      <c r="T6" s="1333">
        <f>ROUND($L$14*S6/10000,0)</f>
        <v>0</v>
      </c>
      <c r="U6" s="74">
        <v>2</v>
      </c>
      <c r="V6" s="75">
        <v>0.02</v>
      </c>
      <c r="W6" s="75">
        <v>0.3</v>
      </c>
      <c r="X6" s="1171"/>
      <c r="Y6" s="76">
        <f>N6</f>
        <v>0.97</v>
      </c>
      <c r="Z6" s="77"/>
      <c r="AA6" s="70"/>
      <c r="AB6" s="70"/>
      <c r="AC6" s="1171"/>
      <c r="AD6" s="78"/>
      <c r="AE6" s="1172">
        <f ca="1">IF(AN6="",0,SUMIF(INDIRECT("'"&amp;AN6&amp;"'"&amp;"!E:E"),$AE$5,INDIRECT("'"&amp;AN6&amp;"'"&amp;"!F:F")))</f>
        <v>42.08</v>
      </c>
      <c r="AF6" s="1531"/>
      <c r="AG6" s="143">
        <f>IF(AF6="",0,AE6-AF6)</f>
        <v>0</v>
      </c>
      <c r="AH6" s="79"/>
      <c r="AI6" s="81">
        <v>365</v>
      </c>
      <c r="AJ6" s="82"/>
      <c r="AK6" s="83">
        <v>0.01</v>
      </c>
      <c r="AL6" s="84">
        <v>1.5E-3</v>
      </c>
      <c r="AM6" s="85">
        <v>0.01</v>
      </c>
      <c r="AN6" s="1900" t="s">
        <v>3170</v>
      </c>
      <c r="AO6" s="55">
        <f ca="1">SUMIF(INDIRECT("'"&amp;AN6&amp;"'"&amp;"!A:A"),"总价",INDIRECT("'"&amp;AN6&amp;"'"&amp;"!B:B"))</f>
        <v>12088</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C2</v>
      </c>
      <c r="B7" s="1898" t="str">
        <f t="shared" ref="B7:B13" si="1">IF(A7=0,"","经营性")</f>
        <v>经营性</v>
      </c>
      <c r="C7" s="1899" t="s">
        <v>1343</v>
      </c>
      <c r="D7" s="967">
        <f>SUMIF(项目基本情况!D$12:I$12,C7,项目基本情况!D$14:I$14)</f>
        <v>50</v>
      </c>
      <c r="E7" s="966">
        <f>IF(B7="","",SUMIF(项目基本情况!D$12:I$12,C7,项目基本情况!D$13:I$13))</f>
        <v>59916</v>
      </c>
      <c r="F7" s="68">
        <f>SUMIF(项目基本情况!D$12:I$12,C7,项目基本情况!D$15:I$15)</f>
        <v>42.08</v>
      </c>
      <c r="G7" s="69">
        <f t="shared" ref="G7:G11" si="2">IF(ISERROR(ROUND(POWER(1+H7,D7-F7)*(POWER(1+H7,F7)-1)/(POWER(1+H7,D7)-1),3)),0,ROUND(POWER(1+H7,D7-F7)*(POWER(1+H7,F7)-1)/(POWER(1+H7,D7)-1),3))</f>
        <v>0.96099999999999997</v>
      </c>
      <c r="H7" s="741">
        <f>H6</f>
        <v>5.5E-2</v>
      </c>
      <c r="I7" s="741">
        <f>I6</f>
        <v>0.06</v>
      </c>
      <c r="J7" s="70">
        <f>J6</f>
        <v>7.4999999999999997E-2</v>
      </c>
      <c r="K7" s="1161">
        <f>SUMIF('数据-汇总表'!C$19:C$33,A7,'数据-汇总表'!E$19:E$33)</f>
        <v>21299.25</v>
      </c>
      <c r="L7" s="742">
        <v>15000</v>
      </c>
      <c r="M7" s="71">
        <f t="shared" si="0"/>
        <v>31949</v>
      </c>
      <c r="N7" s="740">
        <f>N6</f>
        <v>0.97</v>
      </c>
      <c r="O7" s="71" t="str">
        <f t="shared" ref="O7:O14" si="3">IF($N$5="成新度","——",ROUND(M7*N7,0))</f>
        <v>——</v>
      </c>
      <c r="P7" s="72" t="str">
        <f t="shared" ref="P7:P14" si="4">IF($N$5="成新度","——",M7-O7)</f>
        <v>——</v>
      </c>
      <c r="Q7" s="743">
        <f>Q6</f>
        <v>0.15</v>
      </c>
      <c r="R7" s="73">
        <f ca="1">SUMIF('数据-汇总表'!C$19:C$33,A7,'数据-汇总表'!R$19:R$27)</f>
        <v>48213.71</v>
      </c>
      <c r="S7" s="54">
        <f>IF('数据-汇总表'!$I$17="按面积比例",SUMIF('数据-汇总表'!C$19:C$33,A7,'数据-汇总表'!K$19:K$33),SUMIF('数据-汇总表'!C$19:C$33,A7,'数据-汇总表'!N$19:N$33))</f>
        <v>0</v>
      </c>
      <c r="T7" s="1333">
        <f t="shared" ref="T7:T13" si="5">ROUND($L$14*S7/10000,0)</f>
        <v>0</v>
      </c>
      <c r="U7" s="74">
        <f>U6</f>
        <v>2</v>
      </c>
      <c r="V7" s="75">
        <v>0.02</v>
      </c>
      <c r="W7" s="75">
        <v>0.3</v>
      </c>
      <c r="X7" s="1171"/>
      <c r="Y7" s="76">
        <f>N7</f>
        <v>0.97</v>
      </c>
      <c r="Z7" s="77"/>
      <c r="AA7" s="70"/>
      <c r="AB7" s="70"/>
      <c r="AC7" s="1171"/>
      <c r="AD7" s="78"/>
      <c r="AE7" s="1172">
        <f t="shared" ref="AE7:AE13" ca="1" si="6">IF(AN7="",0,SUMIF(INDIRECT("'"&amp;AN7&amp;"'"&amp;"!E:E"),$AE$5,INDIRECT("'"&amp;AN7&amp;"'"&amp;"!F:F")))</f>
        <v>42.08</v>
      </c>
      <c r="AF7" s="1531"/>
      <c r="AG7" s="143">
        <f t="shared" ref="AG7:AG13" si="7">IF(AF7="",0,AE7-AF7)</f>
        <v>0</v>
      </c>
      <c r="AH7" s="79"/>
      <c r="AI7" s="81">
        <v>365</v>
      </c>
      <c r="AJ7" s="82"/>
      <c r="AK7" s="83">
        <v>0.01</v>
      </c>
      <c r="AL7" s="84">
        <v>1.5E-3</v>
      </c>
      <c r="AM7" s="85">
        <v>0.01</v>
      </c>
      <c r="AN7" s="1900" t="s">
        <v>3186</v>
      </c>
      <c r="AO7" s="55">
        <f t="shared" ref="AO7:AO13" ca="1" si="8">SUMIF(INDIRECT("'"&amp;AN7&amp;"'"&amp;"!A:A"),"总价",INDIRECT("'"&amp;AN7&amp;"'"&amp;"!B:B"))</f>
        <v>6876</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3"/>
      <c r="U14" s="679"/>
      <c r="V14" s="1166"/>
      <c r="W14" s="1166"/>
      <c r="X14" s="1167"/>
      <c r="Y14" s="1168"/>
      <c r="Z14" s="1169"/>
      <c r="AA14" s="1170"/>
      <c r="AB14" s="1170"/>
      <c r="AC14" s="1171"/>
      <c r="AD14" s="1167"/>
      <c r="AE14" s="1172"/>
      <c r="AF14" s="55"/>
      <c r="AG14" s="143"/>
      <c r="AH14" s="1172"/>
      <c r="AI14" s="1540"/>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7"/>
      <c r="E15" s="966"/>
      <c r="F15" s="68"/>
      <c r="G15" s="69"/>
      <c r="H15" s="1160"/>
      <c r="I15" s="1160"/>
      <c r="J15" s="1160"/>
      <c r="K15" s="1161">
        <f>SUMIF('数据-汇总表'!C$19:C$33,A15,'数据-汇总表'!E$19:E$33)</f>
        <v>0</v>
      </c>
      <c r="L15" s="1162"/>
      <c r="M15" s="71"/>
      <c r="N15" s="1163"/>
      <c r="O15" s="71"/>
      <c r="P15" s="72"/>
      <c r="Q15" s="1164"/>
      <c r="R15" s="73"/>
      <c r="S15" s="54"/>
      <c r="T15" s="1333"/>
      <c r="U15" s="679"/>
      <c r="V15" s="1166"/>
      <c r="W15" s="1166"/>
      <c r="X15" s="1167"/>
      <c r="Y15" s="1168"/>
      <c r="Z15" s="1169"/>
      <c r="AA15" s="1170"/>
      <c r="AB15" s="1170"/>
      <c r="AC15" s="1171"/>
      <c r="AD15" s="1167"/>
      <c r="AE15" s="1172"/>
      <c r="AF15" s="55"/>
      <c r="AG15" s="143"/>
      <c r="AH15" s="1172"/>
      <c r="AI15" s="1540"/>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2"/>
      <c r="D16" s="1905"/>
      <c r="E16" s="93"/>
      <c r="F16" s="93"/>
      <c r="G16" s="94">
        <f>ROUND(SUMPRODUCT(G6:G13,K6:K13)/SUMPRODUCT((G6:G13&gt;0)*(K6:K13)),3)</f>
        <v>0.96099999999999997</v>
      </c>
      <c r="H16" s="95">
        <f>ROUND(SUMPRODUCT(H6:H13,K6:K13)/SUMPRODUCT((H6:H13&gt;0)*(K6:K13)),3)</f>
        <v>5.5E-2</v>
      </c>
      <c r="I16" s="96"/>
      <c r="J16" s="96"/>
      <c r="K16" s="97">
        <f>SUM(K6:K15)</f>
        <v>58794.39</v>
      </c>
      <c r="L16" s="98">
        <f>ROUND(M16*10000/SUM(K6:K14),0)</f>
        <v>15000</v>
      </c>
      <c r="M16" s="98">
        <f>SUM(M6:M14)</f>
        <v>88192</v>
      </c>
      <c r="N16" s="99">
        <f>ROUND(SUMPRODUCT(M6:M14,N6:N14)/M16,3)</f>
        <v>0.97</v>
      </c>
      <c r="O16" s="98">
        <f>SUM(O6:O14)</f>
        <v>0</v>
      </c>
      <c r="P16" s="98">
        <f>SUM(P6:P14)</f>
        <v>0</v>
      </c>
      <c r="Q16" s="100">
        <f>ROUND(SUMPRODUCT(Q6:Q13,K6:K13)/SUMPRODUCT((Q6:Q13&gt;0)*(K6:K13)),2)</f>
        <v>0.15</v>
      </c>
      <c r="R16" s="1165">
        <f ca="1">SUM(R6:R13)</f>
        <v>133089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9">
        <v>2</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v>2</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31.5" customHeight="1">
      <c r="A27" s="1912" t="s">
        <v>1906</v>
      </c>
      <c r="B27" s="112"/>
      <c r="C27" s="3031" t="s">
        <v>3053</v>
      </c>
      <c r="D27" s="3089" t="s">
        <v>3168</v>
      </c>
      <c r="E27" s="3088" t="s">
        <v>3167</v>
      </c>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1907</v>
      </c>
      <c r="B28" s="115">
        <v>185.8</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1908</v>
      </c>
      <c r="B29" s="117"/>
      <c r="C29" s="3032" t="s">
        <v>3040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1912</v>
      </c>
      <c r="B33" s="682">
        <v>0.03</v>
      </c>
      <c r="C33" s="3033" t="s">
        <v>3041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1913</v>
      </c>
      <c r="B34" s="118">
        <v>0.05</v>
      </c>
      <c r="C34" s="3033" t="s">
        <v>3042</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1914</v>
      </c>
      <c r="B35" s="115">
        <v>200</v>
      </c>
      <c r="C35" s="3033" t="s">
        <v>3043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3" t="s">
        <v>3044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0">
        <v>0.01</v>
      </c>
      <c r="C37" s="3033" t="s">
        <v>3045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8">
        <v>0.01</v>
      </c>
      <c r="C38" s="3033" t="s">
        <v>3045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3166</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4">
        <v>7.0000000000000007E-2</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9">
        <f>SUMIF(A54:A63,B53,B54:B63)</f>
        <v>11.2</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212</v>
      </c>
      <c r="C53" s="2887" t="s">
        <v>1932</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v>11.2</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v>9.6</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v>4.8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1"/>
  </cols>
  <sheetData>
    <row r="1" spans="1:29" s="2682" customFormat="1" ht="18.75" thickBot="1">
      <c r="A1" s="3197" t="s">
        <v>3032</v>
      </c>
      <c r="B1" s="3198"/>
      <c r="C1" s="3198"/>
      <c r="D1" s="3198"/>
      <c r="E1" s="3198"/>
      <c r="F1" s="3198"/>
      <c r="G1" s="3198"/>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3027</v>
      </c>
      <c r="D2" s="2686"/>
      <c r="E2" s="2683"/>
      <c r="F2" s="2687"/>
      <c r="G2" s="2685" t="s">
        <v>3028</v>
      </c>
      <c r="H2" s="907"/>
      <c r="I2" s="907"/>
      <c r="J2" s="907"/>
      <c r="K2" s="907"/>
      <c r="L2" s="907"/>
      <c r="M2" s="907"/>
      <c r="N2" s="907"/>
      <c r="O2" s="907"/>
      <c r="P2" s="907"/>
      <c r="Q2" s="907"/>
      <c r="R2" s="907"/>
    </row>
    <row r="3" spans="1:29" ht="48">
      <c r="A3" s="2666" t="s">
        <v>3029</v>
      </c>
      <c r="B3" s="2688" t="s">
        <v>2998</v>
      </c>
      <c r="C3" s="2689" t="s">
        <v>3030</v>
      </c>
      <c r="D3" s="2690"/>
      <c r="E3" s="2667" t="s">
        <v>3029</v>
      </c>
      <c r="F3" s="2691" t="s">
        <v>2999</v>
      </c>
      <c r="G3" s="2692" t="s">
        <v>3031</v>
      </c>
      <c r="H3" s="907"/>
      <c r="I3" s="907"/>
      <c r="J3" s="907"/>
      <c r="K3" s="907"/>
      <c r="L3" s="907"/>
      <c r="M3" s="907"/>
      <c r="N3" s="907"/>
      <c r="O3" s="907"/>
      <c r="P3" s="907"/>
      <c r="Q3" s="907"/>
      <c r="R3" s="907"/>
    </row>
    <row r="4" spans="1:29" ht="36.75">
      <c r="A4" s="2667"/>
      <c r="B4" s="329" t="s">
        <v>3000</v>
      </c>
      <c r="C4" s="2693" t="s">
        <v>3001</v>
      </c>
      <c r="D4" s="2690"/>
      <c r="E4" s="2694"/>
      <c r="F4" s="1556" t="s">
        <v>3002</v>
      </c>
      <c r="G4" s="2695" t="s">
        <v>3003</v>
      </c>
      <c r="H4" s="907"/>
      <c r="I4" s="907"/>
      <c r="J4" s="907"/>
      <c r="K4" s="907"/>
      <c r="L4" s="907"/>
      <c r="M4" s="907"/>
      <c r="N4" s="907"/>
      <c r="O4" s="907"/>
      <c r="P4" s="907"/>
      <c r="Q4" s="907"/>
      <c r="R4" s="907"/>
    </row>
    <row r="5" spans="1:29" ht="36.75">
      <c r="A5" s="2667"/>
      <c r="B5" s="329" t="s">
        <v>3004</v>
      </c>
      <c r="C5" s="2693" t="s">
        <v>3005</v>
      </c>
      <c r="D5" s="2690"/>
      <c r="E5" s="2694"/>
      <c r="F5" s="329" t="s">
        <v>3006</v>
      </c>
      <c r="G5" s="2695" t="s">
        <v>3007</v>
      </c>
      <c r="H5" s="907"/>
      <c r="I5" s="907"/>
      <c r="J5" s="907"/>
      <c r="K5" s="907"/>
      <c r="L5" s="907"/>
      <c r="M5" s="907"/>
      <c r="N5" s="907"/>
      <c r="O5" s="907"/>
      <c r="P5" s="907"/>
      <c r="Q5" s="907"/>
      <c r="R5" s="907"/>
    </row>
    <row r="6" spans="1:29" ht="36">
      <c r="A6" s="2667"/>
      <c r="B6" s="329" t="s">
        <v>3008</v>
      </c>
      <c r="C6" s="2695" t="s">
        <v>3003</v>
      </c>
      <c r="D6" s="2690"/>
      <c r="E6" s="2694"/>
      <c r="F6" s="329" t="s">
        <v>3009</v>
      </c>
      <c r="G6" s="2695" t="s">
        <v>3010</v>
      </c>
      <c r="H6" s="907"/>
      <c r="I6" s="907"/>
      <c r="J6" s="907"/>
      <c r="K6" s="907"/>
      <c r="L6" s="907"/>
      <c r="M6" s="907"/>
      <c r="N6" s="907"/>
      <c r="O6" s="907"/>
      <c r="P6" s="907"/>
      <c r="Q6" s="907"/>
      <c r="R6" s="907"/>
    </row>
    <row r="7" spans="1:29" ht="24.75" thickBot="1">
      <c r="A7" s="2667"/>
      <c r="B7" s="329" t="s">
        <v>3006</v>
      </c>
      <c r="C7" s="2695" t="s">
        <v>3007</v>
      </c>
      <c r="D7" s="2696"/>
      <c r="E7" s="2697"/>
      <c r="F7" s="2698" t="s">
        <v>3011</v>
      </c>
      <c r="G7" s="2699" t="s">
        <v>3012</v>
      </c>
      <c r="H7" s="907"/>
      <c r="I7" s="907"/>
      <c r="J7" s="907"/>
      <c r="K7" s="907"/>
      <c r="L7" s="907"/>
      <c r="M7" s="907"/>
      <c r="N7" s="907"/>
      <c r="O7" s="907"/>
      <c r="P7" s="907"/>
      <c r="Q7" s="907"/>
      <c r="R7" s="907"/>
    </row>
    <row r="8" spans="1:29">
      <c r="A8" s="2667"/>
      <c r="B8" s="329" t="s">
        <v>3009</v>
      </c>
      <c r="C8" s="2695" t="s">
        <v>3010</v>
      </c>
      <c r="D8" s="2696"/>
      <c r="E8" s="2696"/>
      <c r="F8" s="2700"/>
      <c r="G8" s="2700"/>
      <c r="H8" s="907"/>
      <c r="I8" s="907"/>
      <c r="J8" s="907"/>
      <c r="K8" s="907"/>
      <c r="L8" s="907"/>
      <c r="M8" s="907"/>
      <c r="N8" s="907"/>
      <c r="O8" s="907"/>
      <c r="P8" s="907"/>
      <c r="Q8" s="907"/>
      <c r="R8" s="907"/>
    </row>
    <row r="9" spans="1:29" ht="24">
      <c r="A9" s="2667"/>
      <c r="B9" s="329" t="s">
        <v>3013</v>
      </c>
      <c r="C9" s="2693" t="s">
        <v>3014</v>
      </c>
      <c r="D9" s="2690"/>
      <c r="E9" s="2696"/>
      <c r="F9" s="2700"/>
      <c r="G9" s="2700"/>
      <c r="H9" s="907"/>
      <c r="I9" s="907"/>
      <c r="J9" s="907"/>
      <c r="K9" s="907"/>
      <c r="L9" s="907"/>
      <c r="M9" s="907"/>
      <c r="N9" s="907"/>
      <c r="O9" s="907"/>
      <c r="P9" s="907"/>
      <c r="Q9" s="907"/>
      <c r="R9" s="907"/>
    </row>
    <row r="10" spans="1:29" s="2706" customFormat="1" ht="15" thickBot="1">
      <c r="A10" s="2668"/>
      <c r="B10" s="2701" t="s">
        <v>3015</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3033</v>
      </c>
      <c r="B13" s="2709"/>
      <c r="C13" s="2709"/>
      <c r="D13" s="2707"/>
      <c r="E13" s="2709"/>
      <c r="F13" s="2709"/>
      <c r="G13" s="2709"/>
    </row>
    <row r="14" spans="1:29" ht="15" thickBot="1">
      <c r="A14" s="2719"/>
      <c r="B14" s="2719"/>
      <c r="C14" s="2720" t="s">
        <v>3016</v>
      </c>
      <c r="D14" s="2690"/>
      <c r="E14" s="2721"/>
      <c r="F14" s="2721"/>
      <c r="G14" s="2685" t="s">
        <v>3017</v>
      </c>
    </row>
    <row r="15" spans="1:29" ht="51">
      <c r="A15" s="2669" t="s">
        <v>3018</v>
      </c>
      <c r="B15" s="2722" t="s">
        <v>2998</v>
      </c>
      <c r="C15" s="2723" t="str">
        <f>C3</f>
        <v>估价对象周边居住用地比例、居住小区规模和社区发展完善程度，综合评价居住社区成熟度一般</v>
      </c>
      <c r="D15" s="2690"/>
      <c r="E15" s="2670" t="s">
        <v>3019</v>
      </c>
      <c r="F15" s="2722" t="s">
        <v>3020</v>
      </c>
      <c r="G15" s="2724" t="str">
        <f>G3</f>
        <v>估价对象位于XX开发区，园区建设成熟度XX，产业集聚程度XX</v>
      </c>
    </row>
    <row r="16" spans="1:29" ht="38.25">
      <c r="A16" s="2671"/>
      <c r="B16" s="2725" t="s">
        <v>3000</v>
      </c>
      <c r="C16" s="2726" t="str">
        <f>C4</f>
        <v>估价对象位于XX商圈，周边商业氛围成熟，人流量大，商业繁华度好</v>
      </c>
      <c r="D16" s="2690"/>
      <c r="E16" s="2672"/>
      <c r="F16" s="2727" t="s">
        <v>3002</v>
      </c>
      <c r="G16" s="2728" t="str">
        <f>G4</f>
        <v>估价对象周边道路状况、公共交通通达情况、停车便捷程度，综合评价交通便捷度较好</v>
      </c>
    </row>
    <row r="17" spans="1:18" ht="38.25">
      <c r="A17" s="2671"/>
      <c r="B17" s="2725" t="s">
        <v>3004</v>
      </c>
      <c r="C17" s="2726" t="str">
        <f>C5</f>
        <v>估价对象位于XX商圈，周边办公楼项目较多，入驻率高，办公集聚程度较好</v>
      </c>
      <c r="D17" s="2696"/>
      <c r="E17" s="2672"/>
      <c r="F17" s="2727" t="s">
        <v>3021</v>
      </c>
      <c r="G17" s="2729"/>
    </row>
    <row r="18" spans="1:18" ht="38.25">
      <c r="A18" s="2671"/>
      <c r="B18" s="2727" t="s">
        <v>3008</v>
      </c>
      <c r="C18" s="2728" t="str">
        <f>C6</f>
        <v>估价对象周边道路状况、公共交通通达情况、停车便捷程度，综合评价交通便捷度较好</v>
      </c>
      <c r="D18" s="2696"/>
      <c r="E18" s="2672"/>
      <c r="F18" s="2727" t="s">
        <v>3011</v>
      </c>
      <c r="G18" s="2728" t="str">
        <f>G7</f>
        <v>该园区内是否有污染型企业，绿化情况，卫生条件，整体环境状况判断</v>
      </c>
    </row>
    <row r="19" spans="1:18" ht="25.5">
      <c r="A19" s="2671"/>
      <c r="B19" s="2727" t="s">
        <v>3022</v>
      </c>
      <c r="C19" s="2729"/>
      <c r="D19" s="2690"/>
      <c r="E19" s="2672"/>
      <c r="F19" s="329" t="s">
        <v>3006</v>
      </c>
      <c r="G19" s="2728" t="str">
        <f>G5</f>
        <v>估价对象所在区域公共配套设施齐备情况</v>
      </c>
    </row>
    <row r="20" spans="1:18" ht="25.5">
      <c r="A20" s="2671"/>
      <c r="B20" s="2727" t="s">
        <v>3023</v>
      </c>
      <c r="C20" s="2726" t="str">
        <f>C9</f>
        <v>区域自然环境：；人文环境；综合评价环境状况一般</v>
      </c>
      <c r="D20" s="2696"/>
      <c r="E20" s="2672"/>
      <c r="F20" s="329" t="s">
        <v>3009</v>
      </c>
      <c r="G20" s="2728" t="str">
        <f>G6</f>
        <v>估价对象所在区域基础设施水平</v>
      </c>
    </row>
    <row r="21" spans="1:18" ht="25.5">
      <c r="A21" s="2671"/>
      <c r="B21" s="329" t="s">
        <v>3006</v>
      </c>
      <c r="C21" s="2728" t="str">
        <f>C7</f>
        <v>估价对象所在区域公共配套设施齐备情况</v>
      </c>
      <c r="D21" s="2690"/>
      <c r="E21" s="2672"/>
      <c r="F21" s="2727" t="s">
        <v>3024</v>
      </c>
      <c r="G21" s="2730"/>
    </row>
    <row r="22" spans="1:18" ht="13.5" customHeight="1">
      <c r="A22" s="2671"/>
      <c r="B22" s="329" t="s">
        <v>3009</v>
      </c>
      <c r="C22" s="2728" t="str">
        <f>C8</f>
        <v>估价对象所在区域基础设施水平</v>
      </c>
      <c r="D22" s="2690"/>
      <c r="E22" s="2672"/>
      <c r="F22" s="2727" t="s">
        <v>3015</v>
      </c>
      <c r="G22" s="2729"/>
    </row>
    <row r="23" spans="1:18" s="907" customFormat="1" ht="15" thickBot="1">
      <c r="A23" s="2671"/>
      <c r="B23" s="2727" t="s">
        <v>3024</v>
      </c>
      <c r="C23" s="2730"/>
      <c r="D23" s="1926"/>
      <c r="E23" s="2673"/>
      <c r="F23" s="2731" t="s">
        <v>3025</v>
      </c>
      <c r="G23" s="2732"/>
      <c r="H23" s="2716"/>
      <c r="I23" s="2717"/>
      <c r="J23" s="2716"/>
      <c r="K23" s="2716"/>
      <c r="L23" s="2717"/>
      <c r="M23" s="2716"/>
      <c r="N23" s="2716"/>
      <c r="O23" s="2717"/>
      <c r="P23" s="2716"/>
      <c r="Q23" s="2716"/>
      <c r="R23" s="2718"/>
    </row>
    <row r="24" spans="1:18" s="907" customFormat="1" ht="15" thickBot="1">
      <c r="A24" s="2674"/>
      <c r="B24" s="2731" t="s">
        <v>3026</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37495.14</v>
      </c>
      <c r="C1" s="2914"/>
      <c r="D1" s="2914"/>
      <c r="E1" s="2914"/>
      <c r="F1" s="2914"/>
      <c r="G1" s="2915"/>
      <c r="H1" s="2916"/>
      <c r="I1" s="2916"/>
      <c r="J1" s="2916"/>
      <c r="K1" s="2916"/>
    </row>
    <row r="2" spans="1:11" ht="16.5">
      <c r="A2" s="2737" t="s">
        <v>1319</v>
      </c>
      <c r="B2" s="2737">
        <f>SUM(C14:C23)</f>
        <v>84875.29</v>
      </c>
      <c r="C2" s="2914"/>
      <c r="D2" s="2914"/>
      <c r="E2" s="2914"/>
      <c r="F2" s="2914"/>
      <c r="G2" s="2915"/>
      <c r="H2" s="2916"/>
      <c r="I2" s="2916"/>
      <c r="J2" s="2916"/>
      <c r="K2" s="2916"/>
    </row>
    <row r="3" spans="1:11" ht="16.5">
      <c r="A3" s="2737" t="s">
        <v>1328</v>
      </c>
      <c r="B3" s="2739">
        <f>项目基本情况!D3</f>
        <v>44555</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79964</v>
      </c>
      <c r="C5" s="2737">
        <f ca="1">ROUND(B5*10000/$B$1,0)</f>
        <v>21326</v>
      </c>
      <c r="D5" s="2737">
        <f ca="1">ROUND(B5*10000/$B$2,0)</f>
        <v>9421</v>
      </c>
      <c r="E5" s="2914"/>
      <c r="F5" s="2915"/>
      <c r="G5" s="2915"/>
      <c r="H5" s="2916"/>
      <c r="I5" s="2916"/>
      <c r="J5" s="2916"/>
      <c r="K5" s="2916"/>
    </row>
    <row r="6" spans="1:11" ht="16.5">
      <c r="A6" s="2737" t="s">
        <v>1322</v>
      </c>
      <c r="B6" s="2737">
        <f ca="1">SUM(G14:G23)</f>
        <v>79964</v>
      </c>
      <c r="C6" s="2737">
        <f ca="1">ROUND(B6*10000/$B$1,0)</f>
        <v>21326</v>
      </c>
      <c r="D6" s="2737">
        <f ca="1">ROUND(B6*10000/$B$2,0)</f>
        <v>9421</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37495.14</v>
      </c>
      <c r="C14" s="2743">
        <f>结果表!C118</f>
        <v>84875.29</v>
      </c>
      <c r="D14" s="2743">
        <f ca="1">结果表!H118</f>
        <v>79964</v>
      </c>
      <c r="E14" s="2743">
        <f ca="1">ROUND(D14*10000/B14,0)</f>
        <v>21326</v>
      </c>
      <c r="F14" s="2743">
        <f ca="1">ROUND(D14*10000/C14,0)</f>
        <v>9421</v>
      </c>
      <c r="G14" s="2743">
        <f ca="1">结果表!D122</f>
        <v>79964</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94" zoomScale="70" zoomScaleNormal="100" zoomScaleSheetLayoutView="70" zoomScalePageLayoutView="80" workbookViewId="0">
      <selection activeCell="F27" sqref="F27"/>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t="s">
        <v>3178</v>
      </c>
      <c r="D1" s="1932"/>
      <c r="E1" s="1932"/>
      <c r="F1" s="1934" t="s">
        <v>1949</v>
      </c>
      <c r="G1" s="1745"/>
      <c r="H1" s="1935" t="str">
        <f>IF(G1="现房","——","估价对象范围")</f>
        <v>估价对象范围</v>
      </c>
      <c r="I1" s="1936"/>
    </row>
    <row r="2" spans="1:12" ht="21.75" customHeight="1" thickBot="1">
      <c r="A2" s="3233" t="str">
        <f>项目基本情况!S2</f>
        <v>房地产</v>
      </c>
      <c r="B2" s="3234"/>
      <c r="C2" s="3234"/>
      <c r="D2" s="3234"/>
      <c r="E2" s="3234"/>
      <c r="F2" s="3234"/>
      <c r="G2" s="3234"/>
      <c r="H2" s="3234"/>
      <c r="I2" s="3235"/>
    </row>
    <row r="3" spans="1:12" ht="12.75">
      <c r="A3" s="3237" t="s">
        <v>1950</v>
      </c>
      <c r="B3" s="3238"/>
      <c r="C3" s="3238"/>
      <c r="D3" s="3238"/>
      <c r="E3" s="3238"/>
      <c r="F3" s="3238"/>
      <c r="G3" s="3238"/>
      <c r="H3" s="3238"/>
      <c r="I3" s="3238"/>
    </row>
    <row r="4" spans="1:12" ht="14.25">
      <c r="A4" s="1939" t="s">
        <v>1951</v>
      </c>
      <c r="B4" s="1940" t="s">
        <v>1952</v>
      </c>
      <c r="C4" s="1941" t="s">
        <v>3188</v>
      </c>
      <c r="D4" s="1941" t="s">
        <v>3170</v>
      </c>
      <c r="E4" s="3239" t="s">
        <v>1953</v>
      </c>
      <c r="F4" s="3240"/>
      <c r="G4" s="3240"/>
      <c r="H4" s="3240"/>
      <c r="I4" s="324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13" t="s">
        <v>1954</v>
      </c>
      <c r="B5" s="3200">
        <v>25</v>
      </c>
      <c r="C5" s="3216"/>
      <c r="D5" s="3236"/>
      <c r="E5" s="136" t="s">
        <v>1955</v>
      </c>
      <c r="F5" s="1942"/>
      <c r="G5" s="1942"/>
      <c r="H5" s="1942"/>
      <c r="I5" s="1556"/>
    </row>
    <row r="6" spans="1:12" ht="12.75">
      <c r="A6" s="3213"/>
      <c r="B6" s="3200"/>
      <c r="C6" s="3217"/>
      <c r="D6" s="3236"/>
      <c r="E6" s="136" t="s">
        <v>1956</v>
      </c>
      <c r="F6" s="1942"/>
      <c r="G6" s="1942"/>
      <c r="H6" s="1942"/>
      <c r="I6" s="1556"/>
    </row>
    <row r="7" spans="1:12" ht="12.75">
      <c r="A7" s="3213"/>
      <c r="B7" s="3200"/>
      <c r="C7" s="3218"/>
      <c r="D7" s="3236"/>
      <c r="E7" s="136" t="s">
        <v>1957</v>
      </c>
      <c r="F7" s="1942"/>
      <c r="G7" s="1942"/>
      <c r="H7" s="1942"/>
      <c r="I7" s="1556"/>
    </row>
    <row r="8" spans="1:12" ht="12.75">
      <c r="A8" s="3213" t="s">
        <v>1958</v>
      </c>
      <c r="B8" s="3200">
        <v>15</v>
      </c>
      <c r="C8" s="3216"/>
      <c r="D8" s="3236"/>
      <c r="E8" s="136" t="s">
        <v>1959</v>
      </c>
      <c r="F8" s="1942"/>
      <c r="G8" s="1942"/>
      <c r="H8" s="1942"/>
      <c r="I8" s="1556"/>
    </row>
    <row r="9" spans="1:12" ht="12.75">
      <c r="A9" s="3213"/>
      <c r="B9" s="3200"/>
      <c r="C9" s="3218"/>
      <c r="D9" s="3236"/>
      <c r="E9" s="136" t="s">
        <v>1960</v>
      </c>
      <c r="F9" s="1942"/>
      <c r="G9" s="1942"/>
      <c r="H9" s="1942"/>
      <c r="I9" s="1556"/>
    </row>
    <row r="10" spans="1:12" ht="12.75">
      <c r="A10" s="3213" t="s">
        <v>1961</v>
      </c>
      <c r="B10" s="3200">
        <v>15</v>
      </c>
      <c r="C10" s="3216"/>
      <c r="D10" s="3236"/>
      <c r="E10" s="136" t="s">
        <v>1962</v>
      </c>
      <c r="F10" s="1942"/>
      <c r="G10" s="1942"/>
      <c r="H10" s="1942"/>
      <c r="I10" s="1556"/>
    </row>
    <row r="11" spans="1:12" ht="12.75">
      <c r="A11" s="3213"/>
      <c r="B11" s="3200"/>
      <c r="C11" s="3218"/>
      <c r="D11" s="3236"/>
      <c r="E11" s="136" t="s">
        <v>1963</v>
      </c>
      <c r="F11" s="1942"/>
      <c r="G11" s="1942"/>
      <c r="H11" s="1942"/>
      <c r="I11" s="1556"/>
    </row>
    <row r="12" spans="1:12" ht="12.75">
      <c r="A12" s="3213" t="s">
        <v>1964</v>
      </c>
      <c r="B12" s="3200">
        <v>15</v>
      </c>
      <c r="C12" s="3216"/>
      <c r="D12" s="3236"/>
      <c r="E12" s="136" t="s">
        <v>1965</v>
      </c>
      <c r="F12" s="1942"/>
      <c r="G12" s="1942"/>
      <c r="H12" s="1942"/>
      <c r="I12" s="1556"/>
    </row>
    <row r="13" spans="1:12" ht="12.75">
      <c r="A13" s="3213"/>
      <c r="B13" s="3200"/>
      <c r="C13" s="3218"/>
      <c r="D13" s="3236"/>
      <c r="E13" s="136" t="s">
        <v>1966</v>
      </c>
      <c r="F13" s="1942"/>
      <c r="G13" s="1942"/>
      <c r="H13" s="1942"/>
      <c r="I13" s="1556"/>
    </row>
    <row r="14" spans="1:12" ht="12.75">
      <c r="A14" s="3213" t="s">
        <v>1967</v>
      </c>
      <c r="B14" s="3200">
        <v>30</v>
      </c>
      <c r="C14" s="3216">
        <v>65</v>
      </c>
      <c r="D14" s="3236">
        <v>35</v>
      </c>
      <c r="E14" s="136" t="s">
        <v>1968</v>
      </c>
      <c r="F14" s="1942"/>
      <c r="G14" s="1942"/>
      <c r="H14" s="1942"/>
      <c r="I14" s="1556"/>
    </row>
    <row r="15" spans="1:12" ht="12.75">
      <c r="A15" s="3213"/>
      <c r="B15" s="3200"/>
      <c r="C15" s="3217"/>
      <c r="D15" s="3236"/>
      <c r="E15" s="136" t="s">
        <v>1969</v>
      </c>
      <c r="F15" s="1942"/>
      <c r="G15" s="1942"/>
      <c r="H15" s="1942"/>
      <c r="I15" s="1556"/>
    </row>
    <row r="16" spans="1:12" ht="12.75">
      <c r="A16" s="3213"/>
      <c r="B16" s="3200"/>
      <c r="C16" s="3218"/>
      <c r="D16" s="3236"/>
      <c r="E16" s="136" t="s">
        <v>1970</v>
      </c>
      <c r="F16" s="1942"/>
      <c r="G16" s="1942"/>
      <c r="H16" s="1942"/>
      <c r="I16" s="1556"/>
    </row>
    <row r="17" spans="1:36" ht="15">
      <c r="A17" s="1943" t="s">
        <v>1971</v>
      </c>
      <c r="B17" s="60"/>
      <c r="C17" s="137">
        <f>SUM(C5:C16)</f>
        <v>65</v>
      </c>
      <c r="D17" s="137">
        <f>SUM(D5:D16)</f>
        <v>35</v>
      </c>
      <c r="E17" s="134"/>
      <c r="F17" s="134"/>
      <c r="G17" s="134"/>
      <c r="H17" s="134"/>
      <c r="I17" s="134"/>
      <c r="K17" s="308"/>
      <c r="L17" s="308" t="s">
        <v>1972</v>
      </c>
      <c r="M17" s="308" t="s">
        <v>1973</v>
      </c>
    </row>
    <row r="18" spans="1:36" ht="31.9" customHeight="1" thickBot="1">
      <c r="A18" s="1944" t="s">
        <v>1974</v>
      </c>
      <c r="B18" s="1945"/>
      <c r="C18" s="138">
        <f>ROUND(C17/SUM(C17:D17),2)</f>
        <v>0.65</v>
      </c>
      <c r="D18" s="138">
        <f>1-C18</f>
        <v>0.35</v>
      </c>
      <c r="E18" s="3223" t="s">
        <v>2873</v>
      </c>
      <c r="F18" s="3224"/>
      <c r="G18" s="3224"/>
      <c r="H18" s="3224"/>
      <c r="I18" s="3224"/>
      <c r="K18" s="308" t="s">
        <v>1975</v>
      </c>
      <c r="L18" s="308">
        <f>IF(C1="",'数据-汇总表'!E3,SUMIF(项目类型,C1,'数据-汇总表'!E17:E26)+SUMIF(项目类型,C1,'数据-汇总表'!I17:I26))</f>
        <v>37495.14</v>
      </c>
      <c r="M18" s="308">
        <f>IF(C1="",'数据-汇总表'!E3,SUMIF(项目类型,C1,'数据-汇总表'!E17:E26))</f>
        <v>37495.14</v>
      </c>
    </row>
    <row r="19" spans="1:36" ht="15">
      <c r="A19" s="1946" t="s">
        <v>1976</v>
      </c>
      <c r="B19" s="1947" t="s">
        <v>1977</v>
      </c>
      <c r="C19" s="139">
        <f ca="1">SUMIF(INDIRECT("'"&amp;C4&amp;"'"&amp;"!A:A"),结果表!B19,INDIRECT("'"&amp;C4&amp;"'"&amp;"!B:B"))</f>
        <v>116512</v>
      </c>
      <c r="D19" s="140">
        <f ca="1">SUMIF(INDIRECT("'"&amp;D4&amp;"'"&amp;"!A:A"),结果表!B19,INDIRECT("'"&amp;D4&amp;"'"&amp;"!B:B"))</f>
        <v>12088</v>
      </c>
      <c r="E19" s="1946" t="s">
        <v>1978</v>
      </c>
      <c r="F19" s="1947" t="s">
        <v>1977</v>
      </c>
      <c r="G19" s="141">
        <f ca="1">ROUND(C19*$C$18+D19*$D$18,0)</f>
        <v>79964</v>
      </c>
      <c r="H19" s="1948" t="s">
        <v>1979</v>
      </c>
      <c r="I19" s="134"/>
      <c r="K19" s="308" t="s">
        <v>1980</v>
      </c>
      <c r="L19" s="308">
        <f>IF(C1="",'数据-汇总表'!D3,SUMIF(项目类型,C1,'数据-汇总表'!D17:D26)+SUMIF(项目类型,C1,'数据-汇总表'!H17:H27))</f>
        <v>84875.29</v>
      </c>
      <c r="M19" s="308">
        <f>IF(C1="",'数据-汇总表'!D3,SUMIF(项目类型,C1,'数据-汇总表'!D17:D26))</f>
        <v>84875.29</v>
      </c>
    </row>
    <row r="20" spans="1:36" ht="15">
      <c r="A20" s="1949"/>
      <c r="B20" s="1157" t="s">
        <v>1981</v>
      </c>
      <c r="C20" s="142">
        <f ca="1">SUMIF(INDIRECT("'"&amp;C4&amp;"'"&amp;"!A:A"),结果表!B20,INDIRECT("'"&amp;C4&amp;"'"&amp;"!B:B"))</f>
        <v>31074</v>
      </c>
      <c r="D20" s="143">
        <f ca="1">SUMIF(INDIRECT("'"&amp;D4&amp;"'"&amp;"!A:A"),结果表!B20,INDIRECT("'"&amp;D4&amp;"'"&amp;"!B:B"))</f>
        <v>3224</v>
      </c>
      <c r="E20" s="1949"/>
      <c r="F20" s="1157" t="s">
        <v>1981</v>
      </c>
      <c r="G20" s="144">
        <f ca="1">ROUND(C20*$C$18+D20*$D$18,0)</f>
        <v>21327</v>
      </c>
      <c r="H20" s="917" t="s">
        <v>1982</v>
      </c>
      <c r="I20" s="134"/>
    </row>
    <row r="21" spans="1:36" ht="15" customHeight="1" thickBot="1">
      <c r="A21" s="937"/>
      <c r="B21" s="1950" t="s">
        <v>1983</v>
      </c>
      <c r="C21" s="728">
        <f ca="1">ROUND(C19*10000/L19,0)</f>
        <v>13727</v>
      </c>
      <c r="D21" s="729">
        <f ca="1">ROUND(D19*10000/L19,0)</f>
        <v>1424</v>
      </c>
      <c r="E21" s="937"/>
      <c r="F21" s="1950" t="s">
        <v>1983</v>
      </c>
      <c r="G21" s="145">
        <f ca="1">ROUND(G19*10000/L19,0)</f>
        <v>9421</v>
      </c>
      <c r="H21" s="1951" t="s">
        <v>1982</v>
      </c>
      <c r="I21" s="134"/>
    </row>
    <row r="22" spans="1:36" ht="15" thickBot="1">
      <c r="A22" s="1873" t="s">
        <v>1984</v>
      </c>
      <c r="B22" s="1952"/>
      <c r="C22" s="1953"/>
      <c r="D22" s="730">
        <f ca="1">IF(C19&lt;D19,D19/C19-1,C19/D19-1)</f>
        <v>8.6386499007279944</v>
      </c>
      <c r="E22" s="134"/>
      <c r="F22" s="134"/>
      <c r="G22" s="134"/>
      <c r="H22" s="134"/>
      <c r="I22" s="134"/>
    </row>
    <row r="23" spans="1:36" ht="13.5" thickBot="1">
      <c r="A23" s="1932"/>
      <c r="B23" s="1932"/>
      <c r="C23" s="1932"/>
      <c r="D23" s="1932"/>
      <c r="E23" s="134"/>
      <c r="F23" s="134"/>
      <c r="G23" s="134"/>
      <c r="H23" s="134"/>
      <c r="I23" s="134"/>
    </row>
    <row r="24" spans="1:36" ht="14.25">
      <c r="A24" s="3207" t="s">
        <v>1985</v>
      </c>
      <c r="B24" s="1947" t="s">
        <v>1977</v>
      </c>
      <c r="C24" s="141">
        <f>IF(B30=0,0,D30)</f>
        <v>0</v>
      </c>
      <c r="D24" s="1954"/>
      <c r="E24" s="134"/>
      <c r="F24" s="134"/>
      <c r="G24" s="134"/>
      <c r="H24" s="134"/>
      <c r="I24" s="134"/>
    </row>
    <row r="25" spans="1:36" ht="14.25">
      <c r="A25" s="3208"/>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2874</v>
      </c>
      <c r="F30" s="134"/>
      <c r="G30" s="134"/>
      <c r="H30" s="134"/>
      <c r="I30" s="134"/>
    </row>
    <row r="31" spans="1:36" s="2526" customFormat="1" ht="26.45" customHeight="1" thickTop="1" thickBot="1">
      <c r="A31" s="2521"/>
      <c r="B31" s="2522"/>
      <c r="C31" s="2522"/>
      <c r="D31" s="2522"/>
      <c r="E31" s="2522"/>
      <c r="F31" s="2522"/>
      <c r="G31" s="2522"/>
      <c r="H31" s="2522"/>
      <c r="I31" s="2523" t="s">
        <v>2875</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79964</v>
      </c>
      <c r="D32" s="1960" t="s">
        <v>3189</v>
      </c>
      <c r="E32" s="134"/>
      <c r="F32" s="134"/>
      <c r="G32" s="134"/>
      <c r="H32" s="134"/>
      <c r="I32" s="134"/>
    </row>
    <row r="33" spans="1:15" ht="15">
      <c r="A33" s="894" t="s">
        <v>1992</v>
      </c>
      <c r="B33" s="1961"/>
      <c r="C33" s="1962" t="s">
        <v>3190</v>
      </c>
      <c r="D33" s="1963" t="s">
        <v>3188</v>
      </c>
      <c r="E33" s="1964" t="s">
        <v>1993</v>
      </c>
      <c r="F33" s="1965" t="str">
        <f>IF(D32="楼面单价","取值（单价）","取值（总价）")</f>
        <v>取值（总价）</v>
      </c>
      <c r="G33" s="134"/>
      <c r="H33" s="134"/>
      <c r="I33" s="134"/>
    </row>
    <row r="34" spans="1:15" ht="15">
      <c r="A34" s="1966"/>
      <c r="B34" s="1967" t="s">
        <v>1994</v>
      </c>
      <c r="C34" s="153">
        <f ca="1">IF(C33="自定义",F34,C32-C35)</f>
        <v>28867</v>
      </c>
      <c r="D34" s="970">
        <f ca="1">IF(C33="自定义",ROUND(C34/C32,3),IF(C33="收益比率",SUMIF(INDIRECT("'"&amp;D33&amp;"'"&amp;"!b:b"),"土地收益比率",INDIRECT("'"&amp;D33&amp;"'"&amp;"!c:c")),SUMIF(INDIRECT("'"&amp;D33&amp;"'"&amp;"!b:b"),"土地成本比率",INDIRECT("'"&amp;D33&amp;"'"&amp;"!c:c"))))</f>
        <v>0.36099999999999999</v>
      </c>
      <c r="E34" s="1968" t="s">
        <v>1995</v>
      </c>
      <c r="F34" s="1497"/>
      <c r="G34" s="134"/>
      <c r="H34" s="134"/>
      <c r="I34" s="134"/>
    </row>
    <row r="35" spans="1:15" ht="15.75" thickBot="1">
      <c r="A35" s="1969"/>
      <c r="B35" s="1970" t="s">
        <v>1996</v>
      </c>
      <c r="C35" s="1331">
        <f ca="1">IF(C33="自定义",F35,ROUND(C32*D35,0))</f>
        <v>51097</v>
      </c>
      <c r="D35" s="1332">
        <f ca="1">IF(C33="自定义",ROUND(C35/C32,3),IF(C33="收益比率",SUMIF(INDIRECT("'"&amp;D33&amp;"'"&amp;"!b:b"),"建筑物收益比率",INDIRECT("'"&amp;D33&amp;"'"&amp;"!c:c")),SUMIF(INDIRECT("'"&amp;D33&amp;"'"&amp;"!b:b"),"建筑物成本比率",INDIRECT("'"&amp;D33&amp;"'"&amp;"!c:c"))))</f>
        <v>0.63900000000000001</v>
      </c>
      <c r="E35" s="1971" t="s">
        <v>1997</v>
      </c>
      <c r="F35" s="159"/>
      <c r="G35" s="134"/>
      <c r="H35" s="134"/>
      <c r="I35" s="134"/>
    </row>
    <row r="36" spans="1:15" ht="15.75" thickBot="1">
      <c r="A36" s="3227" t="s">
        <v>1998</v>
      </c>
      <c r="B36" s="1972" t="s">
        <v>1999</v>
      </c>
      <c r="C36" s="150"/>
      <c r="D36" s="1973"/>
      <c r="E36" s="1974"/>
      <c r="F36" s="1975"/>
      <c r="G36" s="134"/>
      <c r="H36" s="134"/>
      <c r="I36" s="134"/>
    </row>
    <row r="37" spans="1:15" ht="15.75" thickBot="1">
      <c r="A37" s="3228"/>
      <c r="B37" s="1859" t="s">
        <v>2000</v>
      </c>
      <c r="C37" s="152"/>
      <c r="D37" s="1300"/>
      <c r="E37" s="1300"/>
      <c r="F37" s="1975"/>
      <c r="G37" s="134"/>
      <c r="H37" s="134"/>
      <c r="I37" s="134"/>
    </row>
    <row r="38" spans="1:15" ht="15.75" thickBot="1">
      <c r="A38" s="3229"/>
      <c r="B38" s="1976" t="s">
        <v>2001</v>
      </c>
      <c r="C38" s="683"/>
      <c r="D38" s="1977" t="s">
        <v>2002</v>
      </c>
      <c r="E38" s="1300"/>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04" t="s">
        <v>2012</v>
      </c>
      <c r="B45" s="3205"/>
      <c r="C45" s="3206"/>
      <c r="D45" s="160">
        <f ca="1">ROUND(H101*F45,0)</f>
        <v>79964</v>
      </c>
      <c r="E45" s="161" t="s">
        <v>2013</v>
      </c>
      <c r="F45" s="162">
        <v>1</v>
      </c>
      <c r="G45" s="163" t="s">
        <v>2014</v>
      </c>
      <c r="H45" s="134"/>
      <c r="I45" s="134"/>
      <c r="J45" s="3285" t="s">
        <v>2015</v>
      </c>
      <c r="K45" s="3285"/>
      <c r="L45" s="3285"/>
      <c r="M45" s="3285"/>
      <c r="N45" s="3285"/>
      <c r="O45" s="3285"/>
    </row>
    <row r="46" spans="1:15" ht="14.25" customHeight="1">
      <c r="A46" s="3201" t="s">
        <v>2016</v>
      </c>
      <c r="B46" s="3202"/>
      <c r="C46" s="3202"/>
      <c r="D46" s="3202"/>
      <c r="E46" s="3202"/>
      <c r="F46" s="3202"/>
      <c r="G46" s="3203"/>
      <c r="H46" s="1991"/>
      <c r="I46" s="164"/>
      <c r="J46" s="2748">
        <v>1</v>
      </c>
      <c r="K46" s="3266" t="s">
        <v>2017</v>
      </c>
      <c r="L46" s="3266"/>
      <c r="M46" s="3286"/>
      <c r="N46" s="3286"/>
      <c r="O46" s="3286"/>
    </row>
    <row r="47" spans="1:15" ht="12" customHeight="1">
      <c r="A47" s="165" t="s">
        <v>2018</v>
      </c>
      <c r="B47" s="166"/>
      <c r="C47" s="167"/>
      <c r="D47" s="1247" t="s">
        <v>2019</v>
      </c>
      <c r="E47" s="308" t="s">
        <v>2020</v>
      </c>
      <c r="F47" s="168" t="s">
        <v>2021</v>
      </c>
      <c r="G47" s="2771" t="s">
        <v>2022</v>
      </c>
      <c r="H47" s="2772"/>
      <c r="I47" s="164"/>
      <c r="J47" s="2748">
        <v>2</v>
      </c>
      <c r="K47" s="3266" t="s">
        <v>2023</v>
      </c>
      <c r="L47" s="3266"/>
      <c r="M47" s="3287">
        <f>'数据-取费表'!B2</f>
        <v>44555</v>
      </c>
      <c r="N47" s="3287"/>
      <c r="O47" s="3287"/>
    </row>
    <row r="48" spans="1:15" ht="25.5">
      <c r="A48" s="3232" t="s">
        <v>2024</v>
      </c>
      <c r="B48" s="3215"/>
      <c r="C48" s="3215"/>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1"/>
      <c r="J48" s="2748">
        <v>3</v>
      </c>
      <c r="K48" s="3266" t="s">
        <v>2026</v>
      </c>
      <c r="L48" s="3266"/>
      <c r="M48" s="3288">
        <f ca="1">H101</f>
        <v>79964</v>
      </c>
      <c r="N48" s="3288"/>
      <c r="O48" s="3288"/>
    </row>
    <row r="49" spans="1:35" ht="25.5" customHeight="1">
      <c r="A49" s="2555" t="s">
        <v>2027</v>
      </c>
      <c r="B49" s="3199" t="s">
        <v>2028</v>
      </c>
      <c r="C49" s="3199"/>
      <c r="D49" s="1774">
        <v>0</v>
      </c>
      <c r="E49" s="330" t="s">
        <v>2029</v>
      </c>
      <c r="F49" s="2649" t="s">
        <v>34</v>
      </c>
      <c r="G49" s="3272"/>
      <c r="H49" s="2527" t="s">
        <v>2876</v>
      </c>
      <c r="I49" s="2528"/>
      <c r="J49" s="2748">
        <v>4</v>
      </c>
      <c r="K49" s="3266" t="str">
        <f>IF(项目基本情况!E8="房地产抵押价值","房地产抵押价值","抵押担保权已注销时的房地产抵押价值")</f>
        <v>房地产抵押价值</v>
      </c>
      <c r="L49" s="3266"/>
      <c r="M49" s="3288">
        <f ca="1">IF(项目基本情况!E8="房地产抵押价值",H107,H109)</f>
        <v>79964</v>
      </c>
      <c r="N49" s="3288"/>
      <c r="O49" s="3288"/>
    </row>
    <row r="50" spans="1:35" ht="25.5" customHeight="1">
      <c r="A50" s="2776"/>
      <c r="B50" s="3199" t="s">
        <v>2030</v>
      </c>
      <c r="C50" s="3199"/>
      <c r="D50" s="2777"/>
      <c r="E50" s="338"/>
      <c r="F50" s="2649"/>
      <c r="G50" s="3273"/>
      <c r="H50" s="2529" t="s">
        <v>2877</v>
      </c>
      <c r="I50" s="2528"/>
      <c r="J50" s="3285" t="s">
        <v>2031</v>
      </c>
      <c r="K50" s="3285"/>
      <c r="L50" s="3285"/>
      <c r="M50" s="3285"/>
      <c r="N50" s="3285"/>
      <c r="O50" s="3285"/>
    </row>
    <row r="51" spans="1:35" ht="20.45" customHeight="1">
      <c r="A51" s="2778"/>
      <c r="B51" s="3199" t="s">
        <v>2032</v>
      </c>
      <c r="C51" s="3199"/>
      <c r="D51" s="1247"/>
      <c r="E51" s="333"/>
      <c r="F51" s="2649"/>
      <c r="G51" s="3274"/>
      <c r="H51" s="2529" t="s">
        <v>2878</v>
      </c>
      <c r="I51" s="2528"/>
      <c r="J51" s="2749" t="s">
        <v>2033</v>
      </c>
      <c r="K51" s="3266" t="s">
        <v>2034</v>
      </c>
      <c r="L51" s="3266"/>
      <c r="M51" s="2749" t="s">
        <v>2035</v>
      </c>
      <c r="N51" s="2749" t="s">
        <v>2036</v>
      </c>
      <c r="O51" s="2749" t="s">
        <v>2037</v>
      </c>
    </row>
    <row r="52" spans="1:35" ht="24" customHeight="1">
      <c r="A52" s="2557" t="s">
        <v>2038</v>
      </c>
      <c r="B52" s="3199" t="s">
        <v>2039</v>
      </c>
      <c r="C52" s="3199"/>
      <c r="D52" s="1247">
        <f ca="1">ROUND(D45*'数据-取费表'!B41/(1+'数据-取费表'!C42),0)</f>
        <v>4265</v>
      </c>
      <c r="E52" s="2556" t="s">
        <v>2040</v>
      </c>
      <c r="F52" s="2779">
        <f>'数据-取费表'!B41</f>
        <v>5.6000000000000001E-2</v>
      </c>
      <c r="G52" s="2780"/>
      <c r="H52" s="2769"/>
      <c r="I52" s="1992"/>
      <c r="J52" s="2748">
        <v>1</v>
      </c>
      <c r="K52" s="3267" t="s">
        <v>2041</v>
      </c>
      <c r="L52" s="3267"/>
      <c r="M52" s="2750" t="b">
        <f>D48</f>
        <v>0</v>
      </c>
      <c r="N52" s="2748" t="str">
        <f>E48</f>
        <v>销售额×税（费）率</v>
      </c>
      <c r="O52" s="2751">
        <f>F48</f>
        <v>5.6000000000000001E-2</v>
      </c>
    </row>
    <row r="53" spans="1:35" ht="12" customHeight="1">
      <c r="A53" s="2557" t="s">
        <v>2042</v>
      </c>
      <c r="B53" s="3225" t="s">
        <v>3037</v>
      </c>
      <c r="C53" s="3226"/>
      <c r="D53" s="1247">
        <f ca="1">ROUND(D45*'数据-取费表'!B41/(1+'数据-取费表'!C42),0)</f>
        <v>4265</v>
      </c>
      <c r="E53" s="2556" t="s">
        <v>2040</v>
      </c>
      <c r="F53" s="2779">
        <f>'数据-取费表'!B41</f>
        <v>5.6000000000000001E-2</v>
      </c>
      <c r="G53" s="2780"/>
      <c r="H53" s="2769"/>
      <c r="I53" s="1992"/>
      <c r="J53" s="2748">
        <v>2</v>
      </c>
      <c r="K53" s="3267" t="s">
        <v>2043</v>
      </c>
      <c r="L53" s="3267"/>
      <c r="M53" s="2750">
        <f t="shared" ref="M53:O54" ca="1" si="0">D55</f>
        <v>40</v>
      </c>
      <c r="N53" s="2748" t="str">
        <f t="shared" si="0"/>
        <v>销售额×税（费）率</v>
      </c>
      <c r="O53" s="2751" t="str">
        <f t="shared" si="0"/>
        <v>免征</v>
      </c>
    </row>
    <row r="54" spans="1:35" ht="12" customHeight="1">
      <c r="A54" s="2557" t="s">
        <v>2044</v>
      </c>
      <c r="B54" s="3225" t="s">
        <v>3038</v>
      </c>
      <c r="C54" s="3226"/>
      <c r="D54" s="1247">
        <f ca="1">C68</f>
        <v>4265</v>
      </c>
      <c r="E54" s="333" t="s">
        <v>2045</v>
      </c>
      <c r="F54" s="2779">
        <f>'数据-取费表'!B41</f>
        <v>5.6000000000000001E-2</v>
      </c>
      <c r="G54" s="2780"/>
      <c r="H54" s="2781"/>
      <c r="I54" s="1992"/>
      <c r="J54" s="2748">
        <v>3</v>
      </c>
      <c r="K54" s="3267" t="s">
        <v>2046</v>
      </c>
      <c r="L54" s="3267"/>
      <c r="M54" s="2750">
        <f t="shared" ca="1" si="0"/>
        <v>45259</v>
      </c>
      <c r="N54" s="2748" t="str">
        <f t="shared" si="0"/>
        <v>增值额×税（费）率</v>
      </c>
      <c r="O54" s="2752" t="str">
        <f t="shared" si="0"/>
        <v>免征</v>
      </c>
    </row>
    <row r="55" spans="1:35" ht="24" customHeight="1">
      <c r="A55" s="3214" t="s">
        <v>2047</v>
      </c>
      <c r="B55" s="3215"/>
      <c r="C55" s="3215"/>
      <c r="D55" s="2546">
        <f ca="1">IF(H55="个人住宅",0,ROUND(D45*I55,0))</f>
        <v>40</v>
      </c>
      <c r="E55" s="2556" t="s">
        <v>2048</v>
      </c>
      <c r="F55" s="2779" t="str">
        <f>IF(H55="正常",I55,"免征")</f>
        <v>免征</v>
      </c>
      <c r="G55" s="2780"/>
      <c r="H55" s="2775"/>
      <c r="I55" s="170">
        <f>'数据-取费表'!B49</f>
        <v>5.0000000000000001E-4</v>
      </c>
      <c r="J55" s="2748">
        <f>IF(H59="非个人房产","",4)</f>
        <v>4</v>
      </c>
      <c r="K55" s="3267" t="str">
        <f>IF(H59="非个人房产","——","个人所得税")</f>
        <v>个人所得税</v>
      </c>
      <c r="L55" s="3267"/>
      <c r="M55" s="2753">
        <f ca="1">D59</f>
        <v>762</v>
      </c>
      <c r="N55" s="2227" t="str">
        <f>E59</f>
        <v>差额计税</v>
      </c>
      <c r="O55" s="2754">
        <f>F59</f>
        <v>0.01</v>
      </c>
    </row>
    <row r="56" spans="1:35" ht="24.75">
      <c r="A56" s="3214" t="s">
        <v>2049</v>
      </c>
      <c r="B56" s="3215"/>
      <c r="C56" s="3215"/>
      <c r="D56" s="2546">
        <f ca="1">IF(H56="个人住宅",D57,D58)</f>
        <v>45259</v>
      </c>
      <c r="E56" s="2556" t="s">
        <v>2050</v>
      </c>
      <c r="F56" s="2779" t="str">
        <f>IF(H56="正常",F58,"免征")</f>
        <v>免征</v>
      </c>
      <c r="G56" s="2782" t="s">
        <v>2051</v>
      </c>
      <c r="H56" s="2783"/>
      <c r="I56" s="1993"/>
      <c r="J56" s="2748" t="str">
        <f>IF(项目基本情况!K6="上海银行",IF(J55="",4,J55+1),"")</f>
        <v/>
      </c>
      <c r="K56" s="3290" t="str">
        <f>IF(项目基本情况!K6="上海银行","其他处置费用","")</f>
        <v/>
      </c>
      <c r="L56" s="3291"/>
      <c r="M56" s="2750" t="str">
        <f>IF(项目基本情况!K6="上海银行",M69,"")</f>
        <v/>
      </c>
      <c r="N56" s="3290" t="str">
        <f>IF(项目基本情况!K6="上海银行","包含处置中涉及的律师、诉讼、拍卖、评估等费用","")</f>
        <v/>
      </c>
      <c r="O56" s="3293"/>
    </row>
    <row r="57" spans="1:35" ht="12.75">
      <c r="A57" s="2557" t="s">
        <v>2027</v>
      </c>
      <c r="B57" s="3225" t="s">
        <v>2052</v>
      </c>
      <c r="C57" s="3226"/>
      <c r="D57" s="1774">
        <v>0</v>
      </c>
      <c r="E57" s="330" t="s">
        <v>2029</v>
      </c>
      <c r="F57" s="308"/>
      <c r="G57" s="2780"/>
      <c r="H57" s="2784"/>
      <c r="I57" s="1993"/>
      <c r="J57" s="3267">
        <f>IF(AND(J55="",J56=""),4,IF(项目基本情况!K6="上海银行",结果表!J56+1,结果表!J55+1))</f>
        <v>5</v>
      </c>
      <c r="K57" s="3267" t="s">
        <v>2053</v>
      </c>
      <c r="L57" s="2755" t="s">
        <v>2054</v>
      </c>
      <c r="M57" s="2756"/>
      <c r="N57" s="2757">
        <f ca="1">SUMIF(M52:M56,"&lt;9e307")</f>
        <v>46061</v>
      </c>
      <c r="O57" s="2758"/>
      <c r="P57" s="2918">
        <f ca="1">N57/M49</f>
        <v>0.57602170976939626</v>
      </c>
    </row>
    <row r="58" spans="1:35" ht="24.75">
      <c r="A58" s="2557" t="s">
        <v>2038</v>
      </c>
      <c r="B58" s="3225" t="s">
        <v>2055</v>
      </c>
      <c r="C58" s="3199"/>
      <c r="D58" s="2546">
        <f ca="1">IF(H58="转让取得",C81,C97)</f>
        <v>45259</v>
      </c>
      <c r="E58" s="2556" t="s">
        <v>2050</v>
      </c>
      <c r="F58" s="308" t="s">
        <v>34</v>
      </c>
      <c r="G58" s="2780"/>
      <c r="H58" s="2783"/>
      <c r="I58" s="1993"/>
      <c r="J58" s="3267"/>
      <c r="K58" s="3267"/>
      <c r="L58" s="2755" t="s">
        <v>2056</v>
      </c>
      <c r="M58" s="2759"/>
      <c r="N58" s="2760" t="str">
        <f ca="1">NUMBERSTRING(INT(N57*10000),2)&amp;"元整"</f>
        <v>肆亿陆仟零陆拾壹万元整</v>
      </c>
      <c r="O58" s="2761"/>
    </row>
    <row r="59" spans="1:35" ht="24.75" thickBot="1">
      <c r="A59" s="3270" t="s">
        <v>2057</v>
      </c>
      <c r="B59" s="3271"/>
      <c r="C59" s="3271"/>
      <c r="D59" s="2785">
        <f ca="1">IF(H59="非个人房产","——",IF(H59="个人住宅（满五唯一有凭证）",0,IF(H59="个人其他（无凭证）",ROUND(D45*F59,0),ROUND(C67*F59,0))))</f>
        <v>762</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2879</v>
      </c>
      <c r="J59" s="3268">
        <f>J57+1</f>
        <v>6</v>
      </c>
      <c r="K59" s="3267" t="s">
        <v>2058</v>
      </c>
      <c r="L59" s="2748" t="s">
        <v>2054</v>
      </c>
      <c r="M59" s="2762"/>
      <c r="N59" s="2763">
        <f ca="1">M49-N57</f>
        <v>33903</v>
      </c>
      <c r="O59" s="2764"/>
    </row>
    <row r="60" spans="1:35" ht="12" customHeight="1">
      <c r="A60" s="1994"/>
      <c r="B60" s="1932"/>
      <c r="C60" s="1932"/>
      <c r="D60" s="1932"/>
      <c r="E60" s="1762"/>
      <c r="F60" s="1993"/>
      <c r="G60" s="1993"/>
      <c r="H60" s="1995"/>
      <c r="I60" s="134"/>
      <c r="J60" s="3269"/>
      <c r="K60" s="3267"/>
      <c r="L60" s="2755" t="s">
        <v>2056</v>
      </c>
      <c r="M60" s="2759"/>
      <c r="N60" s="2760" t="str">
        <f ca="1">NUMBERSTRING(INT(N59*10000),2)&amp;"元整"</f>
        <v>叁亿叁仟玖佰零叁万元整</v>
      </c>
      <c r="O60" s="2761"/>
    </row>
    <row r="61" spans="1:35" ht="13.5" thickBot="1">
      <c r="A61" s="3212" t="s">
        <v>2059</v>
      </c>
      <c r="B61" s="3212"/>
      <c r="C61" s="3212"/>
      <c r="D61" s="3212"/>
      <c r="E61" s="3212"/>
      <c r="F61" s="1993"/>
      <c r="G61" s="1993"/>
      <c r="H61" s="1995"/>
      <c r="I61" s="134"/>
      <c r="J61" s="2748">
        <f>J59+1</f>
        <v>7</v>
      </c>
      <c r="K61" s="3267" t="s">
        <v>2060</v>
      </c>
      <c r="L61" s="3267"/>
      <c r="M61" s="2765"/>
      <c r="N61" s="2766">
        <f ca="1">ROUND(N59*10000/'数据-汇总表'!E3,0)</f>
        <v>5766</v>
      </c>
      <c r="O61" s="2767"/>
    </row>
    <row r="62" spans="1:35" ht="12.75">
      <c r="A62" s="3230" t="s">
        <v>2061</v>
      </c>
      <c r="B62" s="3231"/>
      <c r="C62" s="2208"/>
      <c r="D62" s="2208" t="s">
        <v>2062</v>
      </c>
      <c r="E62" s="171" t="s">
        <v>2063</v>
      </c>
      <c r="F62" s="1993"/>
      <c r="G62" s="1993"/>
      <c r="H62" s="1995"/>
      <c r="I62" s="134"/>
    </row>
    <row r="63" spans="1:35" ht="12.75">
      <c r="A63" s="178" t="s">
        <v>775</v>
      </c>
      <c r="B63" s="172" t="s">
        <v>2064</v>
      </c>
      <c r="C63" s="2789">
        <f ca="1">ROUND((C64+C65)/(1+'数据-取费表'!C42),0)</f>
        <v>76156</v>
      </c>
      <c r="D63" s="172"/>
      <c r="E63" s="173"/>
      <c r="F63" s="1993"/>
      <c r="G63" s="1993"/>
      <c r="H63" s="1995"/>
      <c r="I63" s="134"/>
      <c r="J63" s="3292" t="s">
        <v>2065</v>
      </c>
      <c r="K63" s="1500" t="s">
        <v>2066</v>
      </c>
      <c r="L63" s="1500">
        <f ca="1">IF(M49&gt;10000,M49*0.5%,IF(AND(M49&gt;1000,M49&lt;=10000),M49*1%,IF(AND(M49&gt;100,M49&lt;=1000),M49*3%,IF(AND(M49&gt;10,M49&lt;=100),M49*5%,M49*8%))))</f>
        <v>399.82</v>
      </c>
      <c r="M63" s="308">
        <f ca="1">ROUND(L63,1)</f>
        <v>399.8</v>
      </c>
      <c r="N63" s="2768"/>
      <c r="Z63" s="1937"/>
      <c r="AI63" s="1938"/>
    </row>
    <row r="64" spans="1:35" ht="14.25" customHeight="1">
      <c r="A64" s="174" t="s">
        <v>770</v>
      </c>
      <c r="B64" s="175" t="s">
        <v>2067</v>
      </c>
      <c r="C64" s="2790">
        <f ca="1">D45</f>
        <v>79964</v>
      </c>
      <c r="D64" s="175" t="s">
        <v>32</v>
      </c>
      <c r="E64" s="177"/>
      <c r="F64" s="1993"/>
      <c r="G64" s="1993"/>
      <c r="H64" s="1995"/>
      <c r="I64" s="134"/>
      <c r="J64" s="3292"/>
      <c r="K64" s="1500" t="s">
        <v>2068</v>
      </c>
      <c r="L64" s="1500">
        <f ca="1">IF(M49&gt;2000,M49*0.5%,IF(AND(M49&gt;1000,M49&lt;=2000),M49*0.6%,IF(AND(M49&gt;500,M49&lt;=1000),M49*0.7%,IF(AND(M49&gt;200,M49&lt;=500),M49*0.8%,IF(AND(M49&gt;100,M49&lt;=200),M49*0.9%,IF(AND(M49&gt;50,M49&lt;=100),M49*1%,IF(AND(M49&gt;20,M49&lt;=50),M49*1.5%,IF(AND(M49&gt;10,M49&lt;=20),M49*2%,IF(AND(M49&gt;1,M49&lt;=10),M49*2.5%)))))))))</f>
        <v>399.82</v>
      </c>
      <c r="M64" s="308">
        <f t="shared" ref="M64:M65" ca="1" si="1">ROUND(L64,1)</f>
        <v>399.8</v>
      </c>
      <c r="N64" s="2769" t="s">
        <v>2069</v>
      </c>
      <c r="Z64" s="1937"/>
      <c r="AI64" s="1938"/>
    </row>
    <row r="65" spans="1:35" ht="14.25" customHeight="1">
      <c r="A65" s="174" t="s">
        <v>771</v>
      </c>
      <c r="B65" s="175" t="s">
        <v>2070</v>
      </c>
      <c r="C65" s="2791"/>
      <c r="D65" s="175"/>
      <c r="E65" s="177"/>
      <c r="F65" s="1993"/>
      <c r="G65" s="1993"/>
      <c r="H65" s="1995"/>
      <c r="I65" s="134"/>
      <c r="J65" s="3292"/>
      <c r="K65" s="1500" t="s">
        <v>2071</v>
      </c>
      <c r="L65" s="1500">
        <f ca="1">IF(M49&gt;1000,M49*0.1%,IF(AND(M49&gt;500,M49&lt;=1000),M49*0.5%,IF(AND(M49&gt;50,M49&lt;=500),M49*1%,IF(AND(M49&gt;1,M49&lt;=50),M49*1.5%))))</f>
        <v>79.963999999999999</v>
      </c>
      <c r="M65" s="308">
        <f t="shared" ca="1" si="1"/>
        <v>80</v>
      </c>
      <c r="N65" s="2769" t="s">
        <v>2069</v>
      </c>
      <c r="Z65" s="1937"/>
      <c r="AI65" s="1938"/>
    </row>
    <row r="66" spans="1:35" ht="14.25" customHeight="1">
      <c r="A66" s="178" t="s">
        <v>772</v>
      </c>
      <c r="B66" s="179" t="s">
        <v>2072</v>
      </c>
      <c r="C66" s="2792"/>
      <c r="D66" s="179" t="s">
        <v>32</v>
      </c>
      <c r="E66" s="1508" t="s">
        <v>1337</v>
      </c>
      <c r="F66" s="1993"/>
      <c r="G66" s="1993"/>
      <c r="H66" s="1995"/>
      <c r="I66" s="134"/>
      <c r="J66" s="3292"/>
      <c r="K66" s="1500" t="s">
        <v>2073</v>
      </c>
      <c r="L66" s="1500">
        <f ca="1">M49*0.5%</f>
        <v>399.82</v>
      </c>
      <c r="M66" s="308">
        <f ca="1">IF(L66&gt;0.5,0.5,ROUND(L66,0))</f>
        <v>0.5</v>
      </c>
      <c r="N66" s="2769" t="s">
        <v>2074</v>
      </c>
      <c r="Z66" s="1937"/>
      <c r="AI66" s="1938"/>
    </row>
    <row r="67" spans="1:35" ht="14.25" customHeight="1">
      <c r="A67" s="178" t="s">
        <v>773</v>
      </c>
      <c r="B67" s="179" t="s">
        <v>2075</v>
      </c>
      <c r="C67" s="2793">
        <f ca="1">C63-C66</f>
        <v>76156</v>
      </c>
      <c r="D67" s="175" t="s">
        <v>32</v>
      </c>
      <c r="E67" s="177"/>
      <c r="F67" s="1993"/>
      <c r="G67" s="1993"/>
      <c r="H67" s="1995"/>
      <c r="I67" s="134"/>
      <c r="J67" s="3292"/>
      <c r="K67" s="1500" t="s">
        <v>2076</v>
      </c>
      <c r="L67" s="1500">
        <f ca="1">IF(M49&gt;=10000,(8.25+(M49-10000)*0.01%),IF(AND(M49&gt;=8000,M49&lt;10000),(7.85+(M49-8000)*0.02%),IF(AND(M49&gt;=5000,M49&lt;8000),(6.65+(M49-5000)*0.04%),IF(AND(M49&gt;=2000,M49&lt;5000),(4.25+(PM49-2000)*0.08%),IF(AND(M49&gt;=1000,M49&lt;2000),(2.75+(M49-1000)*0.15%),IF(AND(M49&gt;=100,M49&lt;1000),(0.5+(M49-100)*0.25%),IF(AND(M49&gt;0,M49&lt;100),M49*0.5%)))))))</f>
        <v>15.246400000000001</v>
      </c>
      <c r="M67" s="308">
        <f ca="1">ROUND(L67*0.9,1)</f>
        <v>13.7</v>
      </c>
      <c r="N67" s="2768"/>
      <c r="Z67" s="1937"/>
      <c r="AI67" s="1938"/>
    </row>
    <row r="68" spans="1:35" ht="14.25" customHeight="1" thickBot="1">
      <c r="A68" s="181" t="s">
        <v>774</v>
      </c>
      <c r="B68" s="182" t="s">
        <v>2077</v>
      </c>
      <c r="C68" s="2794">
        <f ca="1">IF(C67&lt;=0,0,ROUND(C67*D68,0))</f>
        <v>4265</v>
      </c>
      <c r="D68" s="2795">
        <f>'数据-取费表'!B41</f>
        <v>5.6000000000000001E-2</v>
      </c>
      <c r="E68" s="184"/>
      <c r="F68" s="1993"/>
      <c r="G68" s="1993"/>
      <c r="H68" s="1995"/>
      <c r="I68" s="134"/>
      <c r="J68" s="3292"/>
      <c r="K68" s="1500" t="s">
        <v>2078</v>
      </c>
      <c r="L68" s="1500">
        <f ca="1">IF(M49&gt;10000,M49*0.5%,IF(AND(M49&gt;5000,M49&lt;=10000),M49*1%,IF(AND(M49&gt;1000,M49&lt;=5000),M49*2%,IF(AND(M49&gt;200,M49&lt;=1000),M49*3%,M49*5%))))</f>
        <v>399.82</v>
      </c>
      <c r="M68" s="308">
        <f ca="1">ROUND(L68,1)</f>
        <v>399.8</v>
      </c>
      <c r="N68" s="2768"/>
      <c r="Z68" s="1937"/>
      <c r="AI68" s="1938"/>
    </row>
    <row r="69" spans="1:35" s="1957" customFormat="1" ht="16.5" customHeight="1">
      <c r="A69" s="1996"/>
      <c r="B69" s="1997"/>
      <c r="C69" s="1998"/>
      <c r="D69" s="1999"/>
      <c r="E69" s="2000"/>
      <c r="F69" s="1762"/>
      <c r="G69" s="1762"/>
      <c r="H69" s="1761"/>
      <c r="I69" s="1932"/>
      <c r="J69" s="3292"/>
      <c r="K69" s="1500" t="s">
        <v>2079</v>
      </c>
      <c r="L69" s="1500"/>
      <c r="M69" s="308">
        <f ca="1">ROUND(SUM(M63:M68),0)</f>
        <v>1294</v>
      </c>
      <c r="N69" s="2770">
        <f ca="1">M69/M49</f>
        <v>1.6182282026912111E-2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51" t="s">
        <v>2080</v>
      </c>
      <c r="B70" s="3252"/>
      <c r="C70" s="3252"/>
      <c r="D70" s="3252"/>
      <c r="E70" s="3252"/>
      <c r="F70" s="3252"/>
      <c r="G70" s="3252"/>
      <c r="H70" s="3252"/>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0" t="s">
        <v>2061</v>
      </c>
      <c r="B71" s="3231"/>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76156</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457</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25" t="s">
        <v>2088</v>
      </c>
      <c r="F76" s="3199"/>
      <c r="G76" s="3199"/>
      <c r="H76" s="325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457</v>
      </c>
      <c r="D78" s="2802">
        <f>'数据-取费表'!B43</f>
        <v>6.000000000000001E-3</v>
      </c>
      <c r="E78" s="3209" t="s">
        <v>2092</v>
      </c>
      <c r="F78" s="3210"/>
      <c r="G78" s="3210"/>
      <c r="H78" s="321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3">
        <f ca="1">C72-C73</f>
        <v>75699</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165.64332603938732</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45259</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51" t="s">
        <v>2096</v>
      </c>
      <c r="B83" s="3252"/>
      <c r="C83" s="3252"/>
      <c r="D83" s="3252"/>
      <c r="E83" s="3252"/>
      <c r="F83" s="3252"/>
      <c r="G83" s="3252"/>
      <c r="H83" s="325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0" t="s">
        <v>2061</v>
      </c>
      <c r="B84" s="3231"/>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76156</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457</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2549"/>
      <c r="G88" s="200" t="s">
        <v>2100</v>
      </c>
      <c r="H88" s="2009"/>
      <c r="I88" s="2006"/>
      <c r="J88" s="2746" t="s">
        <v>3034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2549"/>
      <c r="G90" s="3294" t="s">
        <v>2871</v>
      </c>
      <c r="H90" s="3295"/>
      <c r="I90" s="2006"/>
      <c r="J90" s="2746" t="s">
        <v>3035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09" t="s">
        <v>2105</v>
      </c>
      <c r="F91" s="3210"/>
      <c r="G91" s="3210"/>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09" t="s">
        <v>2108</v>
      </c>
      <c r="F92" s="3210"/>
      <c r="G92" s="3210"/>
      <c r="H92" s="3219"/>
      <c r="I92" s="2006"/>
      <c r="J92" s="2747" t="s">
        <v>3036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457</v>
      </c>
      <c r="D93" s="2802">
        <f>'数据-取费表'!B43</f>
        <v>6.000000000000001E-3</v>
      </c>
      <c r="E93" s="3209" t="s">
        <v>2092</v>
      </c>
      <c r="F93" s="3210"/>
      <c r="G93" s="3210"/>
      <c r="H93" s="321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20" t="s">
        <v>2112</v>
      </c>
      <c r="F94" s="3221"/>
      <c r="G94" s="3221"/>
      <c r="H94" s="322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3">
        <f ca="1">ROUND(C85-C86,0)</f>
        <v>75699</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165.64332603938732</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45259</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93" t="s">
        <v>2114</v>
      </c>
      <c r="B100" s="3194"/>
      <c r="C100" s="3194"/>
      <c r="D100" s="3211"/>
      <c r="E100" s="3194" t="s">
        <v>2115</v>
      </c>
      <c r="F100" s="3194"/>
      <c r="G100" s="3194"/>
      <c r="H100" s="3211"/>
      <c r="I100" s="134"/>
    </row>
    <row r="101" spans="1:35" ht="18.75" customHeight="1">
      <c r="A101" s="3275" t="s">
        <v>2116</v>
      </c>
      <c r="B101" s="3276"/>
      <c r="C101" s="2810" t="str">
        <f>C4</f>
        <v>成本法</v>
      </c>
      <c r="D101" s="2811" t="str">
        <f>D4</f>
        <v>收益法</v>
      </c>
      <c r="E101" s="3289" t="s">
        <v>2117</v>
      </c>
      <c r="F101" s="3243"/>
      <c r="G101" s="2012" t="s">
        <v>2118</v>
      </c>
      <c r="H101" s="2820">
        <f ca="1">H118</f>
        <v>79964</v>
      </c>
      <c r="I101" s="134"/>
    </row>
    <row r="102" spans="1:35" ht="18.75" customHeight="1">
      <c r="A102" s="3245" t="s">
        <v>2119</v>
      </c>
      <c r="B102" s="2809" t="s">
        <v>2118</v>
      </c>
      <c r="C102" s="2810">
        <f ca="1">C19</f>
        <v>116512</v>
      </c>
      <c r="D102" s="2811">
        <f ca="1">D19</f>
        <v>12088</v>
      </c>
      <c r="E102" s="3289"/>
      <c r="F102" s="3243"/>
      <c r="G102" s="2012" t="s">
        <v>2120</v>
      </c>
      <c r="H102" s="2780">
        <f ca="1">I118</f>
        <v>21326</v>
      </c>
      <c r="I102" s="134"/>
    </row>
    <row r="103" spans="1:35" ht="42.75" customHeight="1">
      <c r="A103" s="3245"/>
      <c r="B103" s="2809" t="s">
        <v>2120</v>
      </c>
      <c r="C103" s="2812">
        <f ca="1">C20</f>
        <v>31074</v>
      </c>
      <c r="D103" s="2813">
        <f ca="1">D20</f>
        <v>3224</v>
      </c>
      <c r="E103" s="3283" t="s">
        <v>2121</v>
      </c>
      <c r="F103" s="3284"/>
      <c r="G103" s="2013" t="s">
        <v>2122</v>
      </c>
      <c r="H103" s="2820">
        <f>IF(D36="正常操作",H104+H105+H106,H105+H106)</f>
        <v>0</v>
      </c>
      <c r="I103" s="134"/>
    </row>
    <row r="104" spans="1:35" ht="18.75" customHeight="1">
      <c r="A104" s="3245" t="s">
        <v>2123</v>
      </c>
      <c r="B104" s="2814" t="s">
        <v>2118</v>
      </c>
      <c r="C104" s="2815">
        <f ca="1">H118</f>
        <v>79964</v>
      </c>
      <c r="D104" s="2816"/>
      <c r="E104" s="1859" t="s">
        <v>2124</v>
      </c>
      <c r="F104" s="1850"/>
      <c r="G104" s="2013" t="s">
        <v>2122</v>
      </c>
      <c r="H104" s="2821">
        <f>IF(D36="同一抵押权人同一抵押物续贷",C36&amp;"（续贷，未扣减，详见特别提示）",C36)</f>
        <v>0</v>
      </c>
      <c r="I104" s="134"/>
    </row>
    <row r="105" spans="1:35" ht="18.75" customHeight="1" thickBot="1">
      <c r="A105" s="3246"/>
      <c r="B105" s="2817" t="s">
        <v>2120</v>
      </c>
      <c r="C105" s="2818">
        <f ca="1">I118</f>
        <v>21326</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242" t="str">
        <f>IF(项目基本情况!E8="已注销","——","3.房地产抵押价值")</f>
        <v>3.房地产抵押价值</v>
      </c>
      <c r="F107" s="3243"/>
      <c r="G107" s="2012" t="s">
        <v>2118</v>
      </c>
      <c r="H107" s="2820">
        <f ca="1">IF(E107="——","——",H101-H103)</f>
        <v>79964</v>
      </c>
      <c r="I107" s="134"/>
    </row>
    <row r="108" spans="1:35" ht="18.75" customHeight="1">
      <c r="A108" s="134"/>
      <c r="B108" s="134"/>
      <c r="C108" s="134"/>
      <c r="D108" s="134"/>
      <c r="E108" s="3242"/>
      <c r="F108" s="3243"/>
      <c r="G108" s="2012" t="s">
        <v>2120</v>
      </c>
      <c r="H108" s="2780">
        <f ca="1">ROUND(H107*10000/'数据-汇总表'!E3,0)</f>
        <v>13601</v>
      </c>
      <c r="I108" s="134"/>
    </row>
    <row r="109" spans="1:35" ht="18.75" customHeight="1">
      <c r="A109" s="134"/>
      <c r="B109" s="134"/>
      <c r="C109" s="134"/>
      <c r="D109" s="134"/>
      <c r="E109" s="3242" t="str">
        <f>IF(项目基本情况!E8="已注销及未注销","4.抵押担保权已注销时的房地产抵押价值",IF(项目基本情况!E8="已注销","3.抵押担保权已注销时的房地产抵押价值","——"))</f>
        <v>——</v>
      </c>
      <c r="F109" s="3243"/>
      <c r="G109" s="2012" t="s">
        <v>2118</v>
      </c>
      <c r="H109" s="2823" t="str">
        <f>IF(E109="——","——",H101-H105-H106)</f>
        <v>——</v>
      </c>
      <c r="I109" s="134"/>
    </row>
    <row r="110" spans="1:35" ht="18.75" customHeight="1">
      <c r="A110" s="134"/>
      <c r="B110" s="134"/>
      <c r="C110" s="134"/>
      <c r="D110" s="134"/>
      <c r="E110" s="3242"/>
      <c r="F110" s="3243"/>
      <c r="G110" s="2012" t="s">
        <v>2120</v>
      </c>
      <c r="H110" s="2780" t="str">
        <f>IF(H109="——","——",ROUND(H109*10000/'数据-汇总表'!E3,0))</f>
        <v>——</v>
      </c>
      <c r="I110" s="134"/>
    </row>
    <row r="111" spans="1:35" ht="18.75" customHeight="1">
      <c r="A111" s="134"/>
      <c r="B111" s="134"/>
      <c r="C111" s="134"/>
      <c r="D111" s="134"/>
      <c r="E111" s="3277" t="str">
        <f>IF(项目基本情况!E9="抵押净值",IF(OR(项目基本情况!E8="已注销",项目基本情况!E8="房地产抵押价值"),"4.抵押净值","5.抵押净值"),"——")</f>
        <v>——</v>
      </c>
      <c r="F111" s="3244"/>
      <c r="G111" s="2012" t="s">
        <v>2118</v>
      </c>
      <c r="H111" s="2820" t="str">
        <f>IF(E111="——","——",N59)</f>
        <v>——</v>
      </c>
      <c r="I111" s="134"/>
    </row>
    <row r="112" spans="1:35" ht="18.75" customHeight="1" thickBot="1">
      <c r="A112" s="134"/>
      <c r="B112" s="134"/>
      <c r="C112" s="134"/>
      <c r="D112" s="134"/>
      <c r="E112" s="3278"/>
      <c r="F112" s="3279"/>
      <c r="G112" s="2015" t="s">
        <v>2120</v>
      </c>
      <c r="H112" s="2824" t="str">
        <f>IF(E111="——","——",N61)</f>
        <v>——</v>
      </c>
      <c r="I112" s="134"/>
    </row>
    <row r="113" spans="1:27" ht="18.75" customHeight="1">
      <c r="A113" s="134"/>
      <c r="B113" s="134"/>
      <c r="C113" s="134"/>
      <c r="D113" s="134"/>
      <c r="E113" s="3247" t="s">
        <v>2126</v>
      </c>
      <c r="F113" s="3247"/>
      <c r="G113" s="3247"/>
      <c r="H113" s="3247"/>
      <c r="I113" s="134"/>
    </row>
    <row r="114" spans="1:27" ht="3.75" customHeight="1">
      <c r="A114" s="1932"/>
      <c r="B114" s="1932"/>
      <c r="C114" s="1932"/>
      <c r="D114" s="1932"/>
      <c r="E114" s="1994"/>
      <c r="F114" s="1994"/>
      <c r="G114" s="1994"/>
      <c r="H114" s="1994"/>
      <c r="I114" s="1932"/>
    </row>
    <row r="115" spans="1:27" ht="18.75" customHeight="1">
      <c r="A115" s="3260" t="s">
        <v>2128</v>
      </c>
      <c r="B115" s="3261"/>
      <c r="C115" s="3261"/>
      <c r="D115" s="3261"/>
      <c r="E115" s="3261"/>
      <c r="F115" s="3261"/>
      <c r="G115" s="3261"/>
      <c r="H115" s="3261"/>
      <c r="I115" s="3262"/>
    </row>
    <row r="116" spans="1:27" ht="27" customHeight="1">
      <c r="A116" s="3213" t="s">
        <v>2129</v>
      </c>
      <c r="B116" s="3248" t="s">
        <v>2130</v>
      </c>
      <c r="C116" s="3248" t="s">
        <v>2131</v>
      </c>
      <c r="D116" s="3264" t="s">
        <v>2132</v>
      </c>
      <c r="E116" s="3265"/>
      <c r="F116" s="3256" t="s">
        <v>2133</v>
      </c>
      <c r="G116" s="3256"/>
      <c r="H116" s="3213" t="s">
        <v>2134</v>
      </c>
      <c r="I116" s="3213"/>
    </row>
    <row r="117" spans="1:27" ht="18.75" customHeight="1">
      <c r="A117" s="3213"/>
      <c r="B117" s="3249"/>
      <c r="C117" s="3249"/>
      <c r="D117" s="2551" t="s">
        <v>2135</v>
      </c>
      <c r="E117" s="2551" t="s">
        <v>2136</v>
      </c>
      <c r="F117" s="2551" t="s">
        <v>2135</v>
      </c>
      <c r="G117" s="2551" t="s">
        <v>2137</v>
      </c>
      <c r="H117" s="2551" t="s">
        <v>2135</v>
      </c>
      <c r="I117" s="2551" t="s">
        <v>2137</v>
      </c>
    </row>
    <row r="118" spans="1:27" ht="24.75" customHeight="1">
      <c r="A118" s="2825" t="str">
        <f>项目基本情况!S2</f>
        <v>房地产</v>
      </c>
      <c r="B118" s="2551">
        <f>M18</f>
        <v>37495.14</v>
      </c>
      <c r="C118" s="2551">
        <f>M19</f>
        <v>84875.29</v>
      </c>
      <c r="D118" s="2551">
        <f ca="1">ROUND(IF(D32="总价",C34,E118*B118/10000),0)</f>
        <v>28867</v>
      </c>
      <c r="E118" s="2551">
        <f ca="1">ROUND(IF(C33="自定义",IF(D32="楼面单价",C34,D118*10000/B118),I118-G118),0)</f>
        <v>7698</v>
      </c>
      <c r="F118" s="2551">
        <f ca="1">ROUND(IF(D32="总价",C35,G118*B118/10000),0)</f>
        <v>51097</v>
      </c>
      <c r="G118" s="2551">
        <f ca="1">ROUND(IF(D32="楼面单价",C35,F118*10000/B118),0)</f>
        <v>13628</v>
      </c>
      <c r="H118" s="2551">
        <f ca="1">ROUND(IF(D32="总价",C32,I118*B118/10000),0)</f>
        <v>79964</v>
      </c>
      <c r="I118" s="2551">
        <f ca="1">ROUND(IF(D32="楼面单价",C32,H118*10000/B118),0)</f>
        <v>21326</v>
      </c>
    </row>
    <row r="119" spans="1:27" ht="18.75" customHeight="1">
      <c r="A119" s="3213" t="s">
        <v>2138</v>
      </c>
      <c r="B119" s="3213"/>
      <c r="C119" s="3213"/>
      <c r="D119" s="3253" t="str">
        <f ca="1">NUMBERSTRING(INT(D118*10000),2)&amp;"元整"</f>
        <v>贰亿捌仟捌佰陆拾柒万元整</v>
      </c>
      <c r="E119" s="3255"/>
      <c r="F119" s="3253" t="str">
        <f ca="1">NUMBERSTRING(INT(F118*10000),2)&amp;"元整"</f>
        <v>伍亿壹仟零玖拾柒万元整</v>
      </c>
      <c r="G119" s="3255"/>
      <c r="H119" s="3253" t="str">
        <f ca="1">NUMBERSTRING(INT(H118*10000),2)&amp;"元整"</f>
        <v>柒亿玖仟玖佰陆拾肆万元整</v>
      </c>
      <c r="I119" s="3255"/>
    </row>
    <row r="120" spans="1:27" ht="18.75" customHeight="1">
      <c r="A120" s="3280" t="str">
        <f>IF(项目基本情况!B9="房地产市场价值","",MID(E103,3,LEN(E103)-2))</f>
        <v>估价师知悉的法定优先受偿款</v>
      </c>
      <c r="B120" s="3281"/>
      <c r="C120" s="3282"/>
      <c r="D120" s="3280">
        <f>H103</f>
        <v>0</v>
      </c>
      <c r="E120" s="3281"/>
      <c r="F120" s="3281"/>
      <c r="G120" s="3281"/>
      <c r="H120" s="3281"/>
      <c r="I120" s="3282"/>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57" t="s">
        <v>2138</v>
      </c>
      <c r="B121" s="3258"/>
      <c r="C121" s="3259"/>
      <c r="D121" s="3253" t="str">
        <f>IF(D120=0,"零元整",NUMBERSTRING(INT(D120*10000),2)&amp;"元整")</f>
        <v>零元整</v>
      </c>
      <c r="E121" s="3254"/>
      <c r="F121" s="3254"/>
      <c r="G121" s="3254"/>
      <c r="H121" s="3254"/>
      <c r="I121" s="3255"/>
      <c r="AA121" s="734"/>
    </row>
    <row r="122" spans="1:27" ht="18.75" customHeight="1">
      <c r="A122" s="3244" t="str">
        <f>IF(项目基本情况!B9="房地产市场价值","",MID(E107,3,LEN(E107)-2))</f>
        <v>房地产抵押价值</v>
      </c>
      <c r="B122" s="3244"/>
      <c r="C122" s="3244"/>
      <c r="D122" s="3280">
        <f ca="1">H107</f>
        <v>79964</v>
      </c>
      <c r="E122" s="3281"/>
      <c r="F122" s="3281"/>
      <c r="G122" s="3281"/>
      <c r="H122" s="3281"/>
      <c r="I122" s="3282"/>
      <c r="AA122" s="734"/>
    </row>
    <row r="123" spans="1:27" ht="18.75" customHeight="1">
      <c r="A123" s="3213" t="s">
        <v>2138</v>
      </c>
      <c r="B123" s="3213"/>
      <c r="C123" s="3213"/>
      <c r="D123" s="3253" t="str">
        <f ca="1">NUMBERSTRING(INT(D122*10000),2)&amp;"元整"</f>
        <v>柒亿玖仟玖佰陆拾肆万元整</v>
      </c>
      <c r="E123" s="3254"/>
      <c r="F123" s="3254"/>
      <c r="G123" s="3254"/>
      <c r="H123" s="3254"/>
      <c r="I123" s="3255"/>
      <c r="AA123" s="734"/>
    </row>
    <row r="124" spans="1:27" ht="18.75" customHeight="1">
      <c r="A124" s="3244" t="str">
        <f>IF(项目基本情况!B9="房地产市场价值","",MID(E109,3,LEN(E109)-2))</f>
        <v/>
      </c>
      <c r="B124" s="3244"/>
      <c r="C124" s="3244"/>
      <c r="D124" s="3280" t="str">
        <f>H109</f>
        <v>——</v>
      </c>
      <c r="E124" s="3281"/>
      <c r="F124" s="3281"/>
      <c r="G124" s="3281"/>
      <c r="H124" s="3281"/>
      <c r="I124" s="3282"/>
      <c r="AA124" s="734"/>
    </row>
    <row r="125" spans="1:27" ht="18.75" customHeight="1">
      <c r="A125" s="3213" t="s">
        <v>2138</v>
      </c>
      <c r="B125" s="3213"/>
      <c r="C125" s="3213"/>
      <c r="D125" s="3253" t="e">
        <f>NUMBERSTRING(INT(D124*10000),2)&amp;"元整"</f>
        <v>#VALUE!</v>
      </c>
      <c r="E125" s="3254"/>
      <c r="F125" s="3254"/>
      <c r="G125" s="3254"/>
      <c r="H125" s="3254"/>
      <c r="I125" s="3255"/>
      <c r="AA125" s="734"/>
    </row>
    <row r="126" spans="1:27" ht="18.75" customHeight="1">
      <c r="A126" s="3244" t="str">
        <f>IF(项目基本情况!B9="房地产市场价值","",MID(E111,3,LEN(E111)-2))</f>
        <v/>
      </c>
      <c r="B126" s="3244"/>
      <c r="C126" s="3244"/>
      <c r="D126" s="3280" t="str">
        <f>H111</f>
        <v>——</v>
      </c>
      <c r="E126" s="3281"/>
      <c r="F126" s="3281"/>
      <c r="G126" s="3281"/>
      <c r="H126" s="3281"/>
      <c r="I126" s="3282"/>
      <c r="AA126" s="734"/>
    </row>
    <row r="127" spans="1:27" ht="18.75" customHeight="1">
      <c r="A127" s="3213" t="s">
        <v>2138</v>
      </c>
      <c r="B127" s="3213"/>
      <c r="C127" s="3213"/>
      <c r="D127" s="3253" t="e">
        <f>NUMBERSTRING(INT(D126*10000),2)&amp;"元整"</f>
        <v>#VALUE!</v>
      </c>
      <c r="E127" s="3254"/>
      <c r="F127" s="3254"/>
      <c r="G127" s="3254"/>
      <c r="H127" s="3254"/>
      <c r="I127" s="3255"/>
      <c r="AA127" s="734"/>
    </row>
    <row r="128" spans="1:27" ht="21.75" customHeight="1">
      <c r="A128" s="3263" t="s">
        <v>2139</v>
      </c>
      <c r="B128" s="3263"/>
      <c r="C128" s="3263"/>
      <c r="D128" s="3263"/>
      <c r="E128" s="3263"/>
      <c r="F128" s="3263"/>
      <c r="G128" s="3263"/>
      <c r="H128" s="3263"/>
      <c r="I128" s="3263"/>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06" t="str">
        <f>项目基本情况!B1</f>
        <v>房地产抵押价值预评估</v>
      </c>
      <c r="C37" s="3106"/>
      <c r="D37" s="3106"/>
      <c r="E37" s="3106"/>
      <c r="F37" s="3106"/>
      <c r="G37" s="3106"/>
      <c r="H37" s="3106"/>
      <c r="I37" s="3106"/>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项目基本情况!K4</f>
        <v>（注册号：0)、（注册号：0)</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t="s">
        <v>3178</v>
      </c>
      <c r="C1" s="204"/>
      <c r="D1" s="204"/>
      <c r="E1" s="204"/>
      <c r="F1" s="204"/>
      <c r="G1" s="1288">
        <f>MATCH(B1,'数据-取费表'!A6:A16,0)+5</f>
        <v>6</v>
      </c>
    </row>
    <row r="2" spans="1:9" s="206" customFormat="1" ht="18" customHeight="1">
      <c r="A2" s="207" t="s">
        <v>2148</v>
      </c>
      <c r="B2" s="208">
        <f ca="1">IF(D2="——",C52,C52-E2)</f>
        <v>116512</v>
      </c>
      <c r="C2" s="205" t="s">
        <v>2149</v>
      </c>
      <c r="D2" s="2038" t="s">
        <v>70</v>
      </c>
      <c r="E2" s="1330" t="e">
        <f ca="1">SUMIF(INDIRECT("'"&amp;G2&amp;"'"&amp;"!A:A"),"承租人权益价值",INDIRECT("'"&amp;G2&amp;"'"&amp;"!c:c"))</f>
        <v>#REF!</v>
      </c>
      <c r="F2" s="2039" t="s">
        <v>2149</v>
      </c>
      <c r="G2" s="2040"/>
    </row>
    <row r="3" spans="1:9" s="206" customFormat="1" ht="18" customHeight="1" thickBot="1">
      <c r="A3" s="209" t="s">
        <v>2150</v>
      </c>
      <c r="B3" s="210">
        <f ca="1">ROUND(B2*10000/(IF(B1="",'数据-汇总表'!E3,INDIRECT("'数据-取费表'!k"&amp;$G$1))),0)</f>
        <v>31074</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31432</v>
      </c>
      <c r="D5" s="217" t="s">
        <v>2155</v>
      </c>
      <c r="E5" s="218" t="s">
        <v>2156</v>
      </c>
      <c r="F5" s="218" t="s">
        <v>2157</v>
      </c>
      <c r="G5" s="219"/>
    </row>
    <row r="6" spans="1:9" s="220" customFormat="1" ht="13.5" customHeight="1">
      <c r="A6" s="886" t="s">
        <v>2158</v>
      </c>
      <c r="B6" s="221" t="s">
        <v>2159</v>
      </c>
      <c r="C6" s="222">
        <f>ROUND('数据-汇总表'!D19*'土地比较法-住宅、综合'!C48/10000,0)</f>
        <v>29825</v>
      </c>
      <c r="D6" s="223"/>
      <c r="E6" s="224"/>
      <c r="F6" s="224"/>
      <c r="G6" s="225"/>
    </row>
    <row r="7" spans="1:9" s="220" customFormat="1" ht="13.5" customHeight="1">
      <c r="A7" s="886" t="s">
        <v>2160</v>
      </c>
      <c r="B7" s="221" t="s">
        <v>2161</v>
      </c>
      <c r="C7" s="226">
        <f>ROUND(C6*F7,0)</f>
        <v>910</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697</v>
      </c>
      <c r="D8" s="228"/>
      <c r="E8" s="226"/>
      <c r="F8" s="227"/>
      <c r="G8" s="2041" t="s">
        <v>3175</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2" t="s">
        <v>3176</v>
      </c>
      <c r="H9" s="3090">
        <f ca="1">C10</f>
        <v>697</v>
      </c>
      <c r="I9" s="2043" t="s">
        <v>2165</v>
      </c>
    </row>
    <row r="10" spans="1:9" s="220" customFormat="1" ht="13.5" customHeight="1">
      <c r="A10" s="887" t="s">
        <v>801</v>
      </c>
      <c r="B10" s="230" t="s">
        <v>2166</v>
      </c>
      <c r="C10" s="231">
        <f ca="1">ROUND(D10*E10/10000,0)</f>
        <v>697</v>
      </c>
      <c r="D10" s="954">
        <f ca="1">IF(B1="",'数据-汇总表'!E6,IF(INDIRECT("'数据-取费表'!c"&amp;$G$1)="住宅",INDIRECT("'数据-取费表'!s"&amp;$G$1),INDIRECT("'数据-取费表'!k"&amp;$G$1)+INDIRECT("'数据-取费表'!s"&amp;$G$1)))</f>
        <v>37495.14</v>
      </c>
      <c r="E10" s="231">
        <f>'数据-取费表'!B28</f>
        <v>185.8</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37495.14</v>
      </c>
      <c r="E19" s="217">
        <f>'数据-取费表'!B31</f>
        <v>200</v>
      </c>
      <c r="F19" s="237"/>
      <c r="G19" s="2041" t="s">
        <v>3177</v>
      </c>
    </row>
    <row r="20" spans="1:7" s="220" customFormat="1" ht="13.5" customHeight="1">
      <c r="A20" s="261" t="s">
        <v>2179</v>
      </c>
      <c r="B20" s="216" t="s">
        <v>2180</v>
      </c>
      <c r="C20" s="238">
        <f ca="1">ROUND((C5+C19)*F20,0)</f>
        <v>314</v>
      </c>
      <c r="D20" s="238"/>
      <c r="E20" s="238"/>
      <c r="F20" s="239">
        <f>'数据-取费表'!B37</f>
        <v>0.01</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2808</v>
      </c>
      <c r="D22" s="241">
        <f ca="1">C26</f>
        <v>4.0000000000000002E-4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2794</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14</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4762</v>
      </c>
      <c r="D27" s="241">
        <f ca="1">C29</f>
        <v>1.5E-3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4762</v>
      </c>
      <c r="D28" s="241"/>
      <c r="E28" s="242"/>
      <c r="F28" s="252"/>
      <c r="G28" s="253"/>
    </row>
    <row r="29" spans="1:7" s="220" customFormat="1" ht="13.5" customHeight="1">
      <c r="A29" s="888" t="s">
        <v>792</v>
      </c>
      <c r="B29" s="254" t="s">
        <v>2203</v>
      </c>
      <c r="C29" s="244">
        <f ca="1">ROUND(C21*F27*'数据-取费表'!B21/'数据-取费表'!B20,4)</f>
        <v>1.5E-3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42058</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59524</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56243</v>
      </c>
      <c r="D34" s="223"/>
      <c r="E34" s="226"/>
      <c r="F34" s="263">
        <f ca="1">IF('数据-取费表'!B24=0,1,IF(B1="",'数据-取费表'!N16,INDIRECT("'数据-取费表'!n"&amp;$G$1)))</f>
        <v>1</v>
      </c>
      <c r="G34" s="225" t="s">
        <v>2212</v>
      </c>
    </row>
    <row r="35" spans="1:7" ht="13.5" customHeight="1">
      <c r="A35" s="888" t="s">
        <v>796</v>
      </c>
      <c r="B35" s="221" t="s">
        <v>2213</v>
      </c>
      <c r="C35" s="226">
        <f ca="1">ROUND(C34*F35,0)</f>
        <v>1687</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750</v>
      </c>
      <c r="D37" s="223">
        <f ca="1">D19</f>
        <v>37495.14</v>
      </c>
      <c r="E37" s="255">
        <f>'数据-取费表'!B35</f>
        <v>200</v>
      </c>
      <c r="F37" s="265"/>
      <c r="G37" s="267" t="s">
        <v>2218</v>
      </c>
    </row>
    <row r="38" spans="1:7" ht="13.5" customHeight="1">
      <c r="A38" s="888" t="s">
        <v>799</v>
      </c>
      <c r="B38" s="221" t="s">
        <v>2219</v>
      </c>
      <c r="C38" s="226">
        <f ca="1">ROUND(C34*F38,0)</f>
        <v>844</v>
      </c>
      <c r="D38" s="226"/>
      <c r="E38" s="226"/>
      <c r="F38" s="265">
        <f>'数据-取费表'!B36</f>
        <v>1.4999999999999999E-2</v>
      </c>
      <c r="G38" s="225" t="s">
        <v>2214</v>
      </c>
    </row>
    <row r="39" spans="1:7" s="220" customFormat="1" ht="13.5" customHeight="1">
      <c r="A39" s="261" t="s">
        <v>2220</v>
      </c>
      <c r="B39" s="216" t="s">
        <v>2221</v>
      </c>
      <c r="C39" s="238">
        <f ca="1">ROUND(C33*F20,0)</f>
        <v>595</v>
      </c>
      <c r="D39" s="238"/>
      <c r="E39" s="238"/>
      <c r="F39" s="2534">
        <f>F20</f>
        <v>0.01</v>
      </c>
      <c r="G39" s="240" t="s">
        <v>2222</v>
      </c>
    </row>
    <row r="40" spans="1:7" s="220" customFormat="1" ht="13.5" customHeight="1">
      <c r="A40" s="261" t="s">
        <v>2223</v>
      </c>
      <c r="B40" s="216" t="s">
        <v>2224</v>
      </c>
      <c r="C40" s="1494">
        <f>F21</f>
        <v>0.01</v>
      </c>
      <c r="D40" s="242" t="s">
        <v>2225</v>
      </c>
      <c r="E40" s="238"/>
      <c r="F40" s="2534">
        <f>F21</f>
        <v>0.01</v>
      </c>
      <c r="G40" s="240" t="s">
        <v>2226</v>
      </c>
    </row>
    <row r="41" spans="1:7" s="220" customFormat="1" ht="13.5" customHeight="1">
      <c r="A41" s="261" t="s">
        <v>2227</v>
      </c>
      <c r="B41" s="216" t="s">
        <v>2228</v>
      </c>
      <c r="C41" s="238">
        <f ca="1">ROUND(SUM(C42:C43),0)</f>
        <v>2615</v>
      </c>
      <c r="D41" s="241">
        <f ca="1">C44</f>
        <v>4.0000000000000002E-4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2589</v>
      </c>
      <c r="D42" s="244"/>
      <c r="E42" s="244"/>
      <c r="F42" s="245"/>
      <c r="G42" s="3296" t="s">
        <v>2230</v>
      </c>
    </row>
    <row r="43" spans="1:7" ht="13.5" customHeight="1">
      <c r="A43" s="888" t="s">
        <v>792</v>
      </c>
      <c r="B43" s="221" t="s">
        <v>2231</v>
      </c>
      <c r="C43" s="244">
        <f ca="1">ROUND(IF('数据-取费表'!B22&lt;=1,C39*F22*'数据-取费表'!B21/2,C39*(POWER((1+F22),'数据-取费表'!B21/2)-1)),0)</f>
        <v>26</v>
      </c>
      <c r="D43" s="244"/>
      <c r="E43" s="244"/>
      <c r="F43" s="245"/>
      <c r="G43" s="3297"/>
    </row>
    <row r="44" spans="1:7" ht="13.5" customHeight="1">
      <c r="A44" s="888" t="s">
        <v>793</v>
      </c>
      <c r="B44" s="221" t="s">
        <v>2232</v>
      </c>
      <c r="C44" s="244">
        <f ca="1">ROUND(IF('数据-取费表'!B22&lt;=1,C40*F22*'数据-取费表'!B21/2,C40*(POWER((1+F22),'数据-取费表'!B21/2)-1)),4)</f>
        <v>4.0000000000000002E-4</v>
      </c>
      <c r="D44" s="244"/>
      <c r="E44" s="244"/>
      <c r="F44" s="245"/>
      <c r="G44" s="3298"/>
    </row>
    <row r="45" spans="1:7" s="220" customFormat="1" ht="13.5" customHeight="1">
      <c r="A45" s="261" t="s">
        <v>2233</v>
      </c>
      <c r="B45" s="250" t="s">
        <v>2199</v>
      </c>
      <c r="C45" s="251">
        <f ca="1">C46</f>
        <v>9018</v>
      </c>
      <c r="D45" s="241">
        <f ca="1">C47</f>
        <v>1.5E-3</v>
      </c>
      <c r="E45" s="242" t="s">
        <v>2225</v>
      </c>
      <c r="F45" s="2536">
        <f ca="1">F27</f>
        <v>0.15</v>
      </c>
      <c r="G45" s="253" t="s">
        <v>2234</v>
      </c>
    </row>
    <row r="46" spans="1:7" s="220" customFormat="1" ht="13.5" customHeight="1">
      <c r="A46" s="888" t="s">
        <v>791</v>
      </c>
      <c r="B46" s="254" t="s">
        <v>2235</v>
      </c>
      <c r="C46" s="255">
        <f ca="1">ROUND((C33+C39)*F27,0)</f>
        <v>9018</v>
      </c>
      <c r="D46" s="269"/>
      <c r="E46" s="242"/>
      <c r="F46" s="252"/>
      <c r="G46" s="253"/>
    </row>
    <row r="47" spans="1:7" s="220" customFormat="1" ht="13.5" customHeight="1">
      <c r="A47" s="888" t="s">
        <v>792</v>
      </c>
      <c r="B47" s="254" t="s">
        <v>2236</v>
      </c>
      <c r="C47" s="244">
        <f ca="1">ROUND(C40*F27,4)</f>
        <v>1.5E-3</v>
      </c>
      <c r="D47" s="269"/>
      <c r="E47" s="242"/>
      <c r="F47" s="252"/>
      <c r="G47" s="253"/>
    </row>
    <row r="48" spans="1:7" s="220" customFormat="1" ht="13.5" customHeight="1">
      <c r="A48" s="261" t="s">
        <v>2198</v>
      </c>
      <c r="B48" s="216" t="s">
        <v>2237</v>
      </c>
      <c r="C48" s="1494">
        <f>ROUND(F30/(1+'数据-取费表'!C42),4)</f>
        <v>5.33E-2</v>
      </c>
      <c r="D48" s="242" t="s">
        <v>2225</v>
      </c>
      <c r="E48" s="238"/>
      <c r="F48" s="2535">
        <f>F30</f>
        <v>5.6000000000000001E-2</v>
      </c>
      <c r="G48" s="240" t="s">
        <v>2238</v>
      </c>
    </row>
    <row r="49" spans="1:7" ht="16.5" customHeight="1">
      <c r="A49" s="261" t="s">
        <v>2204</v>
      </c>
      <c r="B49" s="216" t="s">
        <v>2239</v>
      </c>
      <c r="C49" s="238">
        <f ca="1">ROUND((C33+C39+C41+C45)/(1-C40-D41-D45-C48),0)</f>
        <v>76757</v>
      </c>
      <c r="D49" s="238"/>
      <c r="E49" s="238"/>
      <c r="F49" s="270"/>
      <c r="G49" s="240" t="s">
        <v>2240</v>
      </c>
    </row>
    <row r="50" spans="1:7" s="264" customFormat="1" ht="24">
      <c r="A50" s="261" t="s">
        <v>2241</v>
      </c>
      <c r="B50" s="216" t="s">
        <v>2242</v>
      </c>
      <c r="C50" s="238"/>
      <c r="D50" s="238"/>
      <c r="E50" s="238"/>
      <c r="F50" s="270">
        <f>IF('数据-取费表'!B24=0,'数据-取费表'!N16,1)</f>
        <v>0.97</v>
      </c>
      <c r="G50" s="253" t="s">
        <v>2243</v>
      </c>
    </row>
    <row r="51" spans="1:7" ht="16.5" customHeight="1">
      <c r="A51" s="261" t="s">
        <v>2244</v>
      </c>
      <c r="B51" s="216" t="s">
        <v>2245</v>
      </c>
      <c r="C51" s="238">
        <f ca="1">ROUND(C49*F50,0)</f>
        <v>74454</v>
      </c>
      <c r="D51" s="238"/>
      <c r="E51" s="238"/>
      <c r="F51" s="270"/>
      <c r="G51" s="240" t="s">
        <v>2246</v>
      </c>
    </row>
    <row r="52" spans="1:7" s="214" customFormat="1" ht="16.5" thickBot="1">
      <c r="A52" s="271" t="s">
        <v>2247</v>
      </c>
      <c r="B52" s="272"/>
      <c r="C52" s="273">
        <f ca="1">C31+C51</f>
        <v>116512</v>
      </c>
      <c r="D52" s="272"/>
      <c r="E52" s="272"/>
      <c r="F52" s="272"/>
      <c r="G52" s="274"/>
    </row>
    <row r="55" spans="1:7" ht="15">
      <c r="B55" s="276" t="s">
        <v>2248</v>
      </c>
      <c r="C55" s="277"/>
    </row>
    <row r="56" spans="1:7">
      <c r="B56" s="279" t="s">
        <v>1478</v>
      </c>
      <c r="C56" s="281">
        <f ca="1">1-C57</f>
        <v>0.36099999999999999</v>
      </c>
    </row>
    <row r="57" spans="1:7">
      <c r="B57" s="279" t="s">
        <v>1479</v>
      </c>
      <c r="C57" s="280">
        <f ca="1">ROUND(C51/C52,3)</f>
        <v>0.63900000000000001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c r="C1" s="2044" t="s">
        <v>2249</v>
      </c>
      <c r="D1" s="204"/>
      <c r="E1" s="204"/>
      <c r="F1" s="204"/>
      <c r="G1" s="1288">
        <f>MATCH(B1,'数据-取费表'!A6:A16,0)+5</f>
        <v>8</v>
      </c>
      <c r="H1" s="1192" t="str">
        <f>IF(ISERROR(FIND("住宅",B1)),"非住宅","住宅")</f>
        <v>非住宅</v>
      </c>
    </row>
    <row r="2" spans="1:8" s="206" customFormat="1" ht="18" customHeight="1">
      <c r="A2" s="207" t="s">
        <v>2148</v>
      </c>
      <c r="B2" s="208">
        <f ca="1">ROUND(IF(D2="——",C52/10000,C52/10000-E2),0)</f>
        <v>119782</v>
      </c>
      <c r="C2" s="205" t="s">
        <v>2149</v>
      </c>
      <c r="D2" s="2038" t="s">
        <v>70</v>
      </c>
      <c r="E2" s="1330" t="e">
        <f ca="1">SUMIF(INDIRECT("'"&amp;G2&amp;"'"&amp;"!A:A"),"承租人权益价值",INDIRECT("'"&amp;G2&amp;"'"&amp;"!c:c"))</f>
        <v>#REF!</v>
      </c>
      <c r="F2" s="2039" t="s">
        <v>2149</v>
      </c>
      <c r="G2" s="2040"/>
    </row>
    <row r="3" spans="1:8" s="206" customFormat="1" ht="18" customHeight="1" thickBot="1">
      <c r="A3" s="209" t="s">
        <v>2150</v>
      </c>
      <c r="B3" s="210">
        <f ca="1">ROUND(B2*10000/(IF(B1="",'数据-汇总表'!E3,INDIRECT("'数据-取费表'!k"&amp;$G$1))),0)</f>
        <v>20373</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10923998</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10923998</v>
      </c>
      <c r="D8" s="228"/>
      <c r="E8" s="226"/>
      <c r="F8" s="227"/>
      <c r="G8" s="2041"/>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10923998</v>
      </c>
      <c r="D10" s="954">
        <f ca="1">IF(B1="",'数据-汇总表'!E6,IF(INDIRECT("'数据-取费表'!c"&amp;$G$1)="住宅",INDIRECT("'数据-取费表'!s"&amp;$G$1),INDIRECT("'数据-取费表'!k"&amp;$G$1)+INDIRECT("'数据-取费表'!s"&amp;$G$1)))</f>
        <v>58794.39</v>
      </c>
      <c r="E10" s="231">
        <f>'数据-取费表'!B28</f>
        <v>185.8</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11758878</v>
      </c>
      <c r="D19" s="958">
        <f ca="1">D9+D10</f>
        <v>58794.39</v>
      </c>
      <c r="E19" s="217">
        <f>'数据-取费表'!B31</f>
        <v>200</v>
      </c>
      <c r="F19" s="237"/>
      <c r="G19" s="2041"/>
    </row>
    <row r="20" spans="1:7" s="220" customFormat="1" ht="13.5" customHeight="1">
      <c r="A20" s="261" t="s">
        <v>2260</v>
      </c>
      <c r="B20" s="216" t="s">
        <v>2261</v>
      </c>
      <c r="C20" s="238">
        <f ca="1">ROUND((C5+C19)*F20,0)</f>
        <v>226829</v>
      </c>
      <c r="D20" s="238"/>
      <c r="E20" s="238"/>
      <c r="F20" s="239">
        <f>'数据-取费表'!B37</f>
        <v>0.01</v>
      </c>
      <c r="G20" s="240" t="s">
        <v>2262</v>
      </c>
    </row>
    <row r="21" spans="1:7" s="220" customFormat="1" ht="13.5" customHeight="1">
      <c r="A21" s="261" t="s">
        <v>2263</v>
      </c>
      <c r="B21" s="216" t="s">
        <v>2264</v>
      </c>
      <c r="C21" s="241">
        <f>F21</f>
        <v>0.01</v>
      </c>
      <c r="D21" s="242" t="s">
        <v>2265</v>
      </c>
      <c r="E21" s="238"/>
      <c r="F21" s="239">
        <f>'数据-取费表'!B38</f>
        <v>0.01</v>
      </c>
      <c r="G21" s="240" t="s">
        <v>2266</v>
      </c>
    </row>
    <row r="22" spans="1:7" s="220" customFormat="1" ht="13.5" customHeight="1">
      <c r="A22" s="261" t="s">
        <v>2267</v>
      </c>
      <c r="B22" s="216" t="s">
        <v>2268</v>
      </c>
      <c r="C22" s="1289">
        <f ca="1">ROUND(SUM(C23:C25),0)</f>
        <v>2026199</v>
      </c>
      <c r="D22" s="241">
        <f ca="1">C26</f>
        <v>4.0000000000000002E-4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971059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1045273</v>
      </c>
      <c r="D24" s="244"/>
      <c r="E24" s="244"/>
      <c r="F24" s="245"/>
      <c r="G24" s="246" t="s">
        <v>2272</v>
      </c>
    </row>
    <row r="25" spans="1:7" s="220" customFormat="1" ht="24">
      <c r="A25" s="888" t="s">
        <v>2162</v>
      </c>
      <c r="B25" s="221" t="s">
        <v>2273</v>
      </c>
      <c r="C25" s="1290">
        <f ca="1">ROUND(IF('数据-取费表'!B22&lt;=1,C20*F22*'数据-取费表'!B22/2,C20*(POWER((1+F22),'数据-取费表'!B22/2)-1)),0)</f>
        <v>9867</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3436456</v>
      </c>
      <c r="D27" s="241">
        <f ca="1">C29</f>
        <v>1.5E-3</v>
      </c>
      <c r="E27" s="242" t="s">
        <v>2200</v>
      </c>
      <c r="F27" s="252">
        <f ca="1">IF(B1="",'数据-取费表'!Q16,INDIRECT("'数据-取费表'!q"&amp;$G$1))</f>
        <v>0.15</v>
      </c>
      <c r="G27" s="253" t="s">
        <v>2201</v>
      </c>
    </row>
    <row r="28" spans="1:7" s="220" customFormat="1" ht="13.5" customHeight="1">
      <c r="A28" s="888" t="s">
        <v>791</v>
      </c>
      <c r="B28" s="254" t="s">
        <v>2202</v>
      </c>
      <c r="C28" s="255">
        <f ca="1">ROUND((C5+C19+C20)*F27,0)</f>
        <v>3436456</v>
      </c>
      <c r="D28" s="241"/>
      <c r="E28" s="242"/>
      <c r="F28" s="252"/>
      <c r="G28" s="253"/>
    </row>
    <row r="29" spans="1:7" s="220" customFormat="1" ht="13.5" customHeight="1">
      <c r="A29" s="888" t="s">
        <v>792</v>
      </c>
      <c r="B29" s="254" t="s">
        <v>2203</v>
      </c>
      <c r="C29" s="244">
        <f ca="1">ROUND(C21*F27,4)</f>
        <v>1.5E-3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30351262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933360942</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881915850</v>
      </c>
      <c r="D34" s="223"/>
      <c r="E34" s="226"/>
      <c r="F34" s="263"/>
      <c r="G34" s="225"/>
    </row>
    <row r="35" spans="1:7" ht="13.5" customHeight="1">
      <c r="A35" s="888" t="s">
        <v>796</v>
      </c>
      <c r="B35" s="221" t="s">
        <v>2213</v>
      </c>
      <c r="C35" s="226">
        <f ca="1">ROUND(C34*F35,0)</f>
        <v>26457476</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8" t="s">
        <v>798</v>
      </c>
      <c r="B37" s="221" t="s">
        <v>2217</v>
      </c>
      <c r="C37" s="255">
        <f ca="1">ROUND(E37*D37,0)</f>
        <v>11758878</v>
      </c>
      <c r="D37" s="223">
        <f ca="1">D19</f>
        <v>58794.39</v>
      </c>
      <c r="E37" s="255">
        <f>'数据-取费表'!B35</f>
        <v>200</v>
      </c>
      <c r="F37" s="265"/>
      <c r="G37" s="267"/>
    </row>
    <row r="38" spans="1:7" ht="13.5" customHeight="1">
      <c r="A38" s="888" t="s">
        <v>799</v>
      </c>
      <c r="B38" s="221" t="s">
        <v>2219</v>
      </c>
      <c r="C38" s="226">
        <f ca="1">ROUND(C34*F38,0)</f>
        <v>13228738</v>
      </c>
      <c r="D38" s="226"/>
      <c r="E38" s="226"/>
      <c r="F38" s="265">
        <f>'数据-取费表'!B36</f>
        <v>1.4999999999999999E-2</v>
      </c>
      <c r="G38" s="225" t="s">
        <v>2214</v>
      </c>
    </row>
    <row r="39" spans="1:7" s="220" customFormat="1" ht="13.5" customHeight="1">
      <c r="A39" s="261" t="s">
        <v>2220</v>
      </c>
      <c r="B39" s="216" t="s">
        <v>2221</v>
      </c>
      <c r="C39" s="238">
        <f ca="1">ROUND(C33*F20,0)</f>
        <v>9333609</v>
      </c>
      <c r="D39" s="238"/>
      <c r="E39" s="238"/>
      <c r="F39" s="2534">
        <f>F20</f>
        <v>0.01</v>
      </c>
      <c r="G39" s="240" t="s">
        <v>2222</v>
      </c>
    </row>
    <row r="40" spans="1:7" s="220" customFormat="1" ht="13.5" customHeight="1">
      <c r="A40" s="261" t="s">
        <v>2223</v>
      </c>
      <c r="B40" s="216" t="s">
        <v>2224</v>
      </c>
      <c r="C40" s="1494">
        <f>F21</f>
        <v>0.01</v>
      </c>
      <c r="D40" s="242" t="s">
        <v>2225</v>
      </c>
      <c r="E40" s="238"/>
      <c r="F40" s="2534">
        <f>F21</f>
        <v>0.01</v>
      </c>
      <c r="G40" s="240" t="s">
        <v>2226</v>
      </c>
    </row>
    <row r="41" spans="1:7" s="220" customFormat="1" ht="13.5" customHeight="1">
      <c r="A41" s="261" t="s">
        <v>2227</v>
      </c>
      <c r="B41" s="216" t="s">
        <v>2228</v>
      </c>
      <c r="C41" s="238">
        <f ca="1">ROUND(SUM(C42:C43),0)</f>
        <v>41007213</v>
      </c>
      <c r="D41" s="241">
        <f ca="1">C44</f>
        <v>4.0000000000000002E-4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40601201</v>
      </c>
      <c r="D42" s="244"/>
      <c r="E42" s="244"/>
      <c r="F42" s="245"/>
      <c r="G42" s="3296" t="s">
        <v>2277</v>
      </c>
    </row>
    <row r="43" spans="1:7" ht="13.5" customHeight="1">
      <c r="A43" s="888" t="s">
        <v>792</v>
      </c>
      <c r="B43" s="221" t="s">
        <v>2231</v>
      </c>
      <c r="C43" s="244">
        <f ca="1">ROUND(IF('数据-取费表'!B22&lt;=1,C39*F22*'数据-取费表'!B20/2,C39*(POWER((1+F22),'数据-取费表'!B20/2)-1)),0)</f>
        <v>406012</v>
      </c>
      <c r="D43" s="244"/>
      <c r="E43" s="244"/>
      <c r="F43" s="245"/>
      <c r="G43" s="3297"/>
    </row>
    <row r="44" spans="1:7" ht="13.5" customHeight="1">
      <c r="A44" s="888" t="s">
        <v>793</v>
      </c>
      <c r="B44" s="221" t="s">
        <v>2232</v>
      </c>
      <c r="C44" s="244">
        <f ca="1">ROUND(IF('数据-取费表'!B22&lt;=1,C40*F22*'数据-取费表'!B20/2,C40*(POWER((1+F22),'数据-取费表'!B20/2)-1)),4)</f>
        <v>4.0000000000000002E-4</v>
      </c>
      <c r="D44" s="244"/>
      <c r="E44" s="244"/>
      <c r="F44" s="245"/>
      <c r="G44" s="3298"/>
    </row>
    <row r="45" spans="1:7" s="220" customFormat="1" ht="13.5" customHeight="1">
      <c r="A45" s="261" t="s">
        <v>2233</v>
      </c>
      <c r="B45" s="250" t="s">
        <v>2199</v>
      </c>
      <c r="C45" s="251">
        <f ca="1">C46</f>
        <v>141404183</v>
      </c>
      <c r="D45" s="241">
        <f ca="1">C47</f>
        <v>1.5E-3</v>
      </c>
      <c r="E45" s="242" t="s">
        <v>2225</v>
      </c>
      <c r="F45" s="2536">
        <f ca="1">F27</f>
        <v>0.15</v>
      </c>
      <c r="G45" s="253" t="s">
        <v>2234</v>
      </c>
    </row>
    <row r="46" spans="1:7" s="220" customFormat="1" ht="13.5" customHeight="1">
      <c r="A46" s="888" t="s">
        <v>791</v>
      </c>
      <c r="B46" s="254" t="s">
        <v>2235</v>
      </c>
      <c r="C46" s="255">
        <f ca="1">ROUND((C33+C39)*F27,0)</f>
        <v>141404183</v>
      </c>
      <c r="D46" s="269"/>
      <c r="E46" s="242"/>
      <c r="F46" s="252"/>
      <c r="G46" s="253"/>
    </row>
    <row r="47" spans="1:7" s="220" customFormat="1" ht="13.5" customHeight="1">
      <c r="A47" s="888" t="s">
        <v>792</v>
      </c>
      <c r="B47" s="254" t="s">
        <v>2236</v>
      </c>
      <c r="C47" s="244">
        <f ca="1">ROUND(C40*F27,4)</f>
        <v>1.5E-3</v>
      </c>
      <c r="D47" s="269"/>
      <c r="E47" s="242"/>
      <c r="F47" s="252"/>
      <c r="G47" s="253"/>
    </row>
    <row r="48" spans="1:7" s="220" customFormat="1" ht="13.5" customHeight="1">
      <c r="A48" s="261" t="s">
        <v>2198</v>
      </c>
      <c r="B48" s="216" t="s">
        <v>2237</v>
      </c>
      <c r="C48" s="268">
        <f>ROUND(F30/(1+'数据-取费表'!C42),4)</f>
        <v>5.33E-2</v>
      </c>
      <c r="D48" s="242" t="s">
        <v>2225</v>
      </c>
      <c r="E48" s="238"/>
      <c r="F48" s="2535">
        <f>F30</f>
        <v>5.6000000000000001E-2</v>
      </c>
      <c r="G48" s="240" t="s">
        <v>2238</v>
      </c>
    </row>
    <row r="49" spans="1:7" ht="16.5" customHeight="1">
      <c r="A49" s="261" t="s">
        <v>2204</v>
      </c>
      <c r="B49" s="216" t="s">
        <v>2278</v>
      </c>
      <c r="C49" s="238">
        <f ca="1">ROUND((C33+C39+C41+C45)/(1-C40-D41-D45-C48),0)</f>
        <v>1203579319</v>
      </c>
      <c r="D49" s="238"/>
      <c r="E49" s="238"/>
      <c r="F49" s="270"/>
      <c r="G49" s="240" t="s">
        <v>2240</v>
      </c>
    </row>
    <row r="50" spans="1:7" s="264" customFormat="1">
      <c r="A50" s="261" t="s">
        <v>2241</v>
      </c>
      <c r="B50" s="216" t="s">
        <v>2242</v>
      </c>
      <c r="C50" s="238"/>
      <c r="D50" s="238"/>
      <c r="E50" s="238"/>
      <c r="F50" s="270">
        <f>IF('数据-取费表'!B24=0,'数据-取费表'!N16,1)</f>
        <v>0.97</v>
      </c>
      <c r="G50" s="253"/>
    </row>
    <row r="51" spans="1:7" ht="16.5" customHeight="1">
      <c r="A51" s="261" t="s">
        <v>2244</v>
      </c>
      <c r="B51" s="216" t="s">
        <v>2279</v>
      </c>
      <c r="C51" s="238">
        <f ca="1">ROUND(C49*F50,0)</f>
        <v>1167471939</v>
      </c>
      <c r="D51" s="238"/>
      <c r="E51" s="238"/>
      <c r="F51" s="270"/>
      <c r="G51" s="240" t="s">
        <v>2246</v>
      </c>
    </row>
    <row r="52" spans="1:7" s="214" customFormat="1" ht="16.5" thickBot="1">
      <c r="A52" s="271" t="s">
        <v>2247</v>
      </c>
      <c r="B52" s="272"/>
      <c r="C52" s="273">
        <f ca="1">C31+C51</f>
        <v>1197823201</v>
      </c>
      <c r="D52" s="272"/>
      <c r="E52" s="272"/>
      <c r="F52" s="272"/>
      <c r="G52" s="274"/>
    </row>
    <row r="55" spans="1:7" ht="15">
      <c r="B55" s="276" t="s">
        <v>2248</v>
      </c>
      <c r="C55" s="277"/>
    </row>
    <row r="56" spans="1:7">
      <c r="B56" s="279" t="s">
        <v>1478</v>
      </c>
      <c r="C56" s="281">
        <f ca="1">1-C57</f>
        <v>2.5000000000000022E-2</v>
      </c>
    </row>
    <row r="57" spans="1:7">
      <c r="B57" s="279" t="s">
        <v>1479</v>
      </c>
      <c r="C57" s="280">
        <f ca="1">ROUND(C51/C52,3)</f>
        <v>0.97499999999999998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6"/>
      <c r="F1" s="3036"/>
      <c r="G1" s="2899"/>
      <c r="H1" s="3036"/>
      <c r="I1" s="3036"/>
      <c r="J1" s="3036"/>
      <c r="K1" s="3037">
        <f>MATCH(C1,'数据-取费表'!A6:A16,0)+5</f>
        <v>8</v>
      </c>
    </row>
    <row r="2" spans="1:33" ht="18" customHeight="1">
      <c r="A2" s="207" t="s">
        <v>2148</v>
      </c>
      <c r="B2" s="210">
        <f ca="1">C32</f>
        <v>-1232</v>
      </c>
      <c r="C2" s="282" t="s">
        <v>2281</v>
      </c>
      <c r="D2" s="282"/>
      <c r="E2" s="3036"/>
      <c r="F2" s="3036"/>
      <c r="G2" s="3036"/>
      <c r="H2" s="3036"/>
      <c r="I2" s="3036"/>
      <c r="J2" s="3036"/>
      <c r="K2" s="3036"/>
    </row>
    <row r="3" spans="1:33" ht="18" customHeight="1" thickBot="1">
      <c r="A3" s="209" t="s">
        <v>2150</v>
      </c>
      <c r="B3" s="210">
        <f ca="1">ROUND(B2*10000/IF(C1="",'数据-汇总表'!E3,INDIRECT("'数据-取费表'!K"&amp;$K$1)),0)</f>
        <v>-210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5" t="s">
        <v>2286</v>
      </c>
      <c r="D5" s="2045" t="s">
        <v>2287</v>
      </c>
      <c r="E5" s="2045" t="s">
        <v>2288</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58794.39</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58794.39</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1092</v>
      </c>
      <c r="D18" s="955"/>
      <c r="E18" s="24"/>
      <c r="F18" s="913"/>
      <c r="G18" s="2047"/>
      <c r="H18" s="1348"/>
      <c r="I18" s="2048"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2316</v>
      </c>
      <c r="C20" s="24">
        <f ca="1">ROUND(D20*E20/10000,0)</f>
        <v>1092</v>
      </c>
      <c r="D20" s="955">
        <f ca="1">IF(C1="",'数据-汇总表'!E6,IF(INDIRECT("'数据-取费表'!c"&amp;$K$1)="住宅",INDIRECT("'数据-取费表'!s"&amp;$K$1),INDIRECT("'数据-取费表'!k"&amp;$K$1)+INDIRECT("'数据-取费表'!s"&amp;$K$1)))</f>
        <v>58794.39</v>
      </c>
      <c r="E20" s="24">
        <f>'数据-取费表'!B28</f>
        <v>185.8</v>
      </c>
      <c r="F20" s="913"/>
      <c r="G20" s="15"/>
      <c r="H20" s="918"/>
      <c r="I20" s="918"/>
      <c r="J20" s="918"/>
      <c r="K20" s="919"/>
    </row>
    <row r="21" spans="1:33" s="912" customFormat="1" ht="13.5" customHeight="1">
      <c r="A21" s="898" t="s">
        <v>802</v>
      </c>
      <c r="B21" s="922" t="s">
        <v>2317</v>
      </c>
      <c r="C21" s="923">
        <f ca="1">C16+C17+C18</f>
        <v>1092</v>
      </c>
      <c r="D21" s="924"/>
      <c r="E21" s="287"/>
      <c r="F21" s="287"/>
      <c r="G21" s="136" t="s">
        <v>2318</v>
      </c>
      <c r="H21" s="916"/>
      <c r="I21" s="916"/>
      <c r="J21" s="916"/>
      <c r="K21" s="917"/>
    </row>
    <row r="22" spans="1:33" s="912" customFormat="1" ht="13.5" customHeight="1">
      <c r="A22" s="898" t="s">
        <v>2290</v>
      </c>
      <c r="B22" s="922" t="s">
        <v>2319</v>
      </c>
      <c r="C22" s="923">
        <f ca="1">ROUND(C21*F22,0)</f>
        <v>11</v>
      </c>
      <c r="D22" s="287"/>
      <c r="E22" s="287"/>
      <c r="F22" s="925">
        <f>'数据-取费表'!B37</f>
        <v>0.01</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0.01</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2330</v>
      </c>
      <c r="B28" s="2050" t="s">
        <v>2331</v>
      </c>
      <c r="C28" s="293">
        <f ca="1">C30</f>
        <v>165</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165</v>
      </c>
      <c r="D30" s="290"/>
      <c r="E30" s="291"/>
      <c r="F30" s="296"/>
      <c r="G30" s="136"/>
      <c r="H30" s="916"/>
      <c r="I30" s="916"/>
      <c r="J30" s="916"/>
      <c r="K30" s="917"/>
    </row>
    <row r="31" spans="1:33" s="912" customFormat="1" ht="13.5" customHeight="1" thickBot="1">
      <c r="A31" s="2051"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-1232</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132"/>
  <sheetViews>
    <sheetView view="pageBreakPreview" topLeftCell="A25" zoomScale="80" zoomScaleNormal="60" zoomScaleSheetLayoutView="80" workbookViewId="0">
      <selection activeCell="G50" sqref="G50"/>
    </sheetView>
  </sheetViews>
  <sheetFormatPr defaultColWidth="9" defaultRowHeight="14.25"/>
  <cols>
    <col min="1" max="1" width="14.375" style="363" customWidth="1"/>
    <col min="2" max="2" width="15.75" style="363" customWidth="1"/>
    <col min="3" max="3" width="15.8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46767</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7954</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303" t="s">
        <v>2467</v>
      </c>
      <c r="D4" s="3316"/>
      <c r="E4" s="3317" t="s">
        <v>2468</v>
      </c>
      <c r="F4" s="3318"/>
      <c r="G4" s="3303" t="s">
        <v>2469</v>
      </c>
      <c r="H4" s="3316"/>
      <c r="I4" s="3303" t="s">
        <v>2470</v>
      </c>
      <c r="J4" s="3316"/>
      <c r="K4" s="567" t="s">
        <v>2471</v>
      </c>
      <c r="L4" s="2943"/>
      <c r="M4" s="2944"/>
      <c r="N4" s="2944"/>
      <c r="O4" s="2944"/>
      <c r="P4" s="3319" t="s">
        <v>2472</v>
      </c>
      <c r="Q4" s="3320"/>
      <c r="R4" s="3325" t="s">
        <v>2468</v>
      </c>
      <c r="S4" s="3326"/>
      <c r="T4" s="3325" t="s">
        <v>2469</v>
      </c>
      <c r="U4" s="3326"/>
      <c r="V4" s="3312" t="s">
        <v>2470</v>
      </c>
      <c r="W4" s="3312"/>
      <c r="X4" s="1538"/>
      <c r="Y4" s="3325" t="s">
        <v>2472</v>
      </c>
      <c r="Z4" s="3326"/>
      <c r="AA4" s="3313" t="s">
        <v>2468</v>
      </c>
      <c r="AB4" s="3314" t="s">
        <v>2469</v>
      </c>
      <c r="AC4" s="3313" t="s">
        <v>2470</v>
      </c>
    </row>
    <row r="5" spans="1:30" ht="15">
      <c r="A5" s="364"/>
      <c r="B5" s="365"/>
      <c r="C5" s="3333" t="s">
        <v>2363</v>
      </c>
      <c r="D5" s="3334"/>
      <c r="E5" s="3340" t="str">
        <f>Sheet2!A6</f>
        <v>张店区中润大道以南、丰悦路以东、龙凤北巷以北、淄博市职业病防治院以西</v>
      </c>
      <c r="F5" s="3341"/>
      <c r="G5" s="3333" t="str">
        <f>Sheet2!A10</f>
        <v>淄博新区人民路以北、钱裕路以东</v>
      </c>
      <c r="H5" s="3334"/>
      <c r="I5" s="3333" t="str">
        <f>Sheet2!A14</f>
        <v>张店区华光路以南、人民路以北、心环西路以东</v>
      </c>
      <c r="J5" s="3334"/>
      <c r="K5" s="567"/>
      <c r="L5" s="2943"/>
      <c r="M5" s="2944"/>
      <c r="N5" s="2944"/>
      <c r="O5" s="2944"/>
      <c r="P5" s="3321"/>
      <c r="Q5" s="3322"/>
      <c r="R5" s="3327"/>
      <c r="S5" s="3328"/>
      <c r="T5" s="3327"/>
      <c r="U5" s="3328"/>
      <c r="V5" s="3312"/>
      <c r="W5" s="3312"/>
      <c r="X5" s="1538"/>
      <c r="Y5" s="3327"/>
      <c r="Z5" s="3328"/>
      <c r="AA5" s="3314"/>
      <c r="AB5" s="3314"/>
      <c r="AC5" s="3314"/>
    </row>
    <row r="6" spans="1:30" ht="15.75" thickBot="1">
      <c r="A6" s="366"/>
      <c r="B6" s="367"/>
      <c r="C6" s="3331" t="s">
        <v>2367</v>
      </c>
      <c r="D6" s="3332"/>
      <c r="E6" s="3338" t="s">
        <v>2367</v>
      </c>
      <c r="F6" s="3339"/>
      <c r="G6" s="3331" t="s">
        <v>2367</v>
      </c>
      <c r="H6" s="3332"/>
      <c r="I6" s="3331" t="s">
        <v>2367</v>
      </c>
      <c r="J6" s="3332"/>
      <c r="K6" s="567" t="s">
        <v>2368</v>
      </c>
      <c r="L6" s="2943"/>
      <c r="M6" s="2944"/>
      <c r="N6" s="2944"/>
      <c r="O6" s="2944"/>
      <c r="P6" s="3323"/>
      <c r="Q6" s="3324"/>
      <c r="R6" s="3327"/>
      <c r="S6" s="3328"/>
      <c r="T6" s="3329"/>
      <c r="U6" s="3330"/>
      <c r="V6" s="3312"/>
      <c r="W6" s="3312"/>
      <c r="X6" s="1538"/>
      <c r="Y6" s="3329"/>
      <c r="Z6" s="3330"/>
      <c r="AA6" s="3315"/>
      <c r="AB6" s="3315"/>
      <c r="AC6" s="3315"/>
    </row>
    <row r="7" spans="1:30" s="113" customFormat="1" ht="15.75" thickBot="1">
      <c r="A7" s="368" t="s">
        <v>2369</v>
      </c>
      <c r="B7" s="369"/>
      <c r="C7" s="370">
        <f>'数据-取费表'!B2</f>
        <v>44555</v>
      </c>
      <c r="D7" s="371">
        <v>100</v>
      </c>
      <c r="E7" s="372" t="str">
        <f>Sheet2!J6</f>
        <v>2020-12-14</v>
      </c>
      <c r="F7" s="373">
        <f>SUMIF(70:70,YEAR(E7)&amp;"-"&amp;INT((MONTH(E7)+2)/3),71:71)</f>
        <v>98</v>
      </c>
      <c r="G7" s="2159" t="str">
        <f>Sheet2!J10</f>
        <v>2020-07-03</v>
      </c>
      <c r="H7" s="371">
        <f>SUMIF(70:70,YEAR(G7)&amp;"-"&amp;INT((MONTH(G7)+2)/3),71:71)</f>
        <v>97.5</v>
      </c>
      <c r="I7" s="2159" t="str">
        <f>Sheet2!J14</f>
        <v>2019-09-02</v>
      </c>
      <c r="J7" s="371">
        <f>SUMIF(70:70,YEAR(I7)&amp;"-"&amp;INT((MONTH(I7)+2)/3),71:71)</f>
        <v>95.5</v>
      </c>
      <c r="K7" s="568"/>
      <c r="L7" s="2945"/>
      <c r="M7" s="2946"/>
      <c r="N7" s="2946"/>
      <c r="O7" s="2946"/>
      <c r="P7" s="3335" t="s">
        <v>2370</v>
      </c>
      <c r="Q7" s="3337"/>
      <c r="R7" s="710" t="s">
        <v>17</v>
      </c>
      <c r="S7" s="711">
        <f t="shared" ref="S7:S15" si="0">F7</f>
        <v>98</v>
      </c>
      <c r="T7" s="710" t="s">
        <v>17</v>
      </c>
      <c r="U7" s="711">
        <f t="shared" ref="U7:U15" si="1">H7</f>
        <v>97.5</v>
      </c>
      <c r="V7" s="710" t="s">
        <v>17</v>
      </c>
      <c r="W7" s="711">
        <f t="shared" ref="W7:W15" si="2">J7</f>
        <v>95.5</v>
      </c>
      <c r="X7" s="712"/>
      <c r="Y7" s="3335" t="s">
        <v>2370</v>
      </c>
      <c r="Z7" s="3336"/>
      <c r="AA7" s="713">
        <f>D7/F7</f>
        <v>1.0204081632653061</v>
      </c>
      <c r="AB7" s="713">
        <f>D7/H7</f>
        <v>1.0256410256410255</v>
      </c>
      <c r="AC7" s="713">
        <f>D7/J7</f>
        <v>1.0471204188481675</v>
      </c>
    </row>
    <row r="8" spans="1:30" s="113" customFormat="1" ht="15.75" thickBot="1">
      <c r="A8" s="368" t="s">
        <v>2371</v>
      </c>
      <c r="B8" s="369"/>
      <c r="C8" s="374" t="s">
        <v>2372</v>
      </c>
      <c r="D8" s="371">
        <v>100</v>
      </c>
      <c r="E8" s="3084" t="s">
        <v>3158</v>
      </c>
      <c r="F8" s="373">
        <f>SUMIF(73:73,E8,74:74)-SUMIF(73:73,C8,74:74)+100</f>
        <v>100</v>
      </c>
      <c r="G8" s="3084" t="s">
        <v>3158</v>
      </c>
      <c r="H8" s="371">
        <f>SUMIF(73:73,G8,74:74)-SUMIF(73:73,C8,74:74)+100</f>
        <v>100</v>
      </c>
      <c r="I8" s="3084" t="s">
        <v>3158</v>
      </c>
      <c r="J8" s="371">
        <f>SUMIF(73:73,I8,74:74)-SUMIF(73:73,C8,74:74)+100</f>
        <v>100</v>
      </c>
      <c r="K8" s="568"/>
      <c r="L8" s="2945"/>
      <c r="M8" s="2946"/>
      <c r="N8" s="2946"/>
      <c r="O8" s="2946"/>
      <c r="P8" s="3335" t="s">
        <v>2373</v>
      </c>
      <c r="Q8" s="3336"/>
      <c r="R8" s="710" t="s">
        <v>17</v>
      </c>
      <c r="S8" s="711">
        <f t="shared" si="0"/>
        <v>100</v>
      </c>
      <c r="T8" s="710" t="s">
        <v>17</v>
      </c>
      <c r="U8" s="711">
        <f t="shared" si="1"/>
        <v>100</v>
      </c>
      <c r="V8" s="710" t="s">
        <v>17</v>
      </c>
      <c r="W8" s="711">
        <f t="shared" si="2"/>
        <v>100</v>
      </c>
      <c r="X8" s="712"/>
      <c r="Y8" s="3335" t="s">
        <v>2373</v>
      </c>
      <c r="Z8" s="3336"/>
      <c r="AA8" s="713">
        <f t="shared" ref="AA8:AA45" si="3">D8/F8</f>
        <v>1</v>
      </c>
      <c r="AB8" s="713">
        <f t="shared" ref="AB8:AB45" si="4">D8/H8</f>
        <v>1</v>
      </c>
      <c r="AC8" s="713">
        <f t="shared" ref="AC8:AC45" si="5">D8/J8</f>
        <v>1</v>
      </c>
    </row>
    <row r="9" spans="1:30" s="113" customFormat="1" ht="15">
      <c r="A9" s="375" t="s">
        <v>2374</v>
      </c>
      <c r="B9" s="67" t="s">
        <v>2375</v>
      </c>
      <c r="C9" s="3102" t="s">
        <v>3191</v>
      </c>
      <c r="D9" s="131">
        <v>100</v>
      </c>
      <c r="E9" s="3102" t="s">
        <v>3192</v>
      </c>
      <c r="F9" s="131">
        <f>SUMIF(75:75,E9,76:76)-SUMIF(75:75,C9,76:76)+100</f>
        <v>105</v>
      </c>
      <c r="G9" s="3102" t="s">
        <v>3192</v>
      </c>
      <c r="H9" s="131">
        <f>SUMIF(75:75,G9,76:76)-SUMIF(75:75,C9,76:76)+100</f>
        <v>105</v>
      </c>
      <c r="I9" s="3102" t="s">
        <v>3192</v>
      </c>
      <c r="J9" s="131">
        <f>SUMIF(75:75,I9,76:76)-SUMIF(75:75,C9,76:76)+100</f>
        <v>105</v>
      </c>
      <c r="K9" s="568"/>
      <c r="L9" s="2945"/>
      <c r="M9" s="2946"/>
      <c r="N9" s="2946"/>
      <c r="O9" s="3000"/>
      <c r="P9" s="3306" t="s">
        <v>2376</v>
      </c>
      <c r="Q9" s="1526" t="str">
        <f t="shared" ref="Q9:Q15" si="6">B9</f>
        <v>用途</v>
      </c>
      <c r="R9" s="710" t="s">
        <v>17</v>
      </c>
      <c r="S9" s="711">
        <f t="shared" si="0"/>
        <v>105</v>
      </c>
      <c r="T9" s="710" t="s">
        <v>17</v>
      </c>
      <c r="U9" s="711">
        <f t="shared" si="1"/>
        <v>105</v>
      </c>
      <c r="V9" s="710" t="s">
        <v>17</v>
      </c>
      <c r="W9" s="711">
        <f t="shared" si="2"/>
        <v>105</v>
      </c>
      <c r="X9" s="712"/>
      <c r="Y9" s="3200" t="s">
        <v>2377</v>
      </c>
      <c r="Z9" s="55" t="str">
        <f t="shared" ref="Z9:Z15" si="7">Q9</f>
        <v>用途</v>
      </c>
      <c r="AA9" s="713">
        <f t="shared" si="3"/>
        <v>0.95238095238095233</v>
      </c>
      <c r="AB9" s="713">
        <f t="shared" si="4"/>
        <v>0.95238095238095233</v>
      </c>
      <c r="AC9" s="713">
        <f t="shared" si="5"/>
        <v>0.95238095238095233</v>
      </c>
    </row>
    <row r="10" spans="1:30" s="386" customFormat="1" ht="27">
      <c r="A10" s="380"/>
      <c r="B10" s="381" t="s">
        <v>2378</v>
      </c>
      <c r="C10" s="391"/>
      <c r="D10" s="132">
        <v>100</v>
      </c>
      <c r="E10" s="424"/>
      <c r="F10" s="132">
        <f>ROUND(100/'数据-取费表'!G16,0)</f>
        <v>104</v>
      </c>
      <c r="G10" s="422"/>
      <c r="H10" s="132">
        <f>ROUND(100/'数据-取费表'!G16,0)</f>
        <v>104</v>
      </c>
      <c r="I10" s="422"/>
      <c r="J10" s="132">
        <f>ROUND(100/'数据-取费表'!G16,0)</f>
        <v>104</v>
      </c>
      <c r="K10" s="628"/>
      <c r="L10" s="2947"/>
      <c r="M10" s="2948"/>
      <c r="N10" s="2948"/>
      <c r="O10" s="3001"/>
      <c r="P10" s="3306"/>
      <c r="Q10" s="1526" t="str">
        <f t="shared" si="6"/>
        <v>土地使用年限（年）</v>
      </c>
      <c r="R10" s="710" t="s">
        <v>17</v>
      </c>
      <c r="S10" s="711">
        <f t="shared" si="0"/>
        <v>104</v>
      </c>
      <c r="T10" s="710" t="s">
        <v>17</v>
      </c>
      <c r="U10" s="711">
        <f t="shared" si="1"/>
        <v>104</v>
      </c>
      <c r="V10" s="710" t="s">
        <v>17</v>
      </c>
      <c r="W10" s="711">
        <f t="shared" si="2"/>
        <v>104</v>
      </c>
      <c r="X10" s="712"/>
      <c r="Y10" s="3200"/>
      <c r="Z10" s="55" t="str">
        <f t="shared" si="7"/>
        <v>土地使用年限（年）</v>
      </c>
      <c r="AA10" s="713">
        <f t="shared" si="3"/>
        <v>0.96153846153846156</v>
      </c>
      <c r="AB10" s="713">
        <f t="shared" si="4"/>
        <v>0.96153846153846156</v>
      </c>
      <c r="AC10" s="713">
        <f t="shared" si="5"/>
        <v>0.96153846153846156</v>
      </c>
    </row>
    <row r="11" spans="1:30" ht="15">
      <c r="A11" s="387"/>
      <c r="B11" s="381" t="s">
        <v>2379</v>
      </c>
      <c r="C11" s="3446">
        <v>0.57999999999999996</v>
      </c>
      <c r="D11" s="132">
        <v>100</v>
      </c>
      <c r="E11" s="388">
        <v>2.5</v>
      </c>
      <c r="F11" s="132">
        <f>LOOKUP(E11,80:80,81:81)-LOOKUP(C11,80:80,81:81)+100</f>
        <v>104</v>
      </c>
      <c r="G11" s="389">
        <v>1.6759999999999999</v>
      </c>
      <c r="H11" s="132">
        <f>LOOKUP(G11,80:80,81:81)-LOOKUP(C11,80:80,81:81)+100</f>
        <v>102</v>
      </c>
      <c r="I11" s="388">
        <v>1.5</v>
      </c>
      <c r="J11" s="132">
        <f>LOOKUP(I11,80:80,81:81)-LOOKUP(C11,80:80,81:81)+100</f>
        <v>102</v>
      </c>
      <c r="K11" s="629">
        <v>2</v>
      </c>
      <c r="L11" s="2949"/>
      <c r="M11" s="2944"/>
      <c r="N11" s="2944"/>
      <c r="O11" s="3002"/>
      <c r="P11" s="3306"/>
      <c r="Q11" s="1526" t="str">
        <f t="shared" si="6"/>
        <v>容积率</v>
      </c>
      <c r="R11" s="710" t="s">
        <v>17</v>
      </c>
      <c r="S11" s="711">
        <f t="shared" si="0"/>
        <v>104</v>
      </c>
      <c r="T11" s="710" t="s">
        <v>17</v>
      </c>
      <c r="U11" s="711">
        <f t="shared" si="1"/>
        <v>102</v>
      </c>
      <c r="V11" s="710" t="s">
        <v>17</v>
      </c>
      <c r="W11" s="711">
        <f t="shared" si="2"/>
        <v>102</v>
      </c>
      <c r="X11" s="712"/>
      <c r="Y11" s="3200"/>
      <c r="Z11" s="55" t="str">
        <f t="shared" si="7"/>
        <v>容积率</v>
      </c>
      <c r="AA11" s="713">
        <f t="shared" si="3"/>
        <v>0.96153846153846156</v>
      </c>
      <c r="AB11" s="713">
        <f t="shared" si="4"/>
        <v>0.98039215686274506</v>
      </c>
      <c r="AC11" s="713">
        <f t="shared" si="5"/>
        <v>0.98039215686274506</v>
      </c>
    </row>
    <row r="12" spans="1:30" s="113" customFormat="1" ht="15">
      <c r="A12" s="390"/>
      <c r="B12" s="2078"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06"/>
      <c r="Q12" s="1526" t="str">
        <f t="shared" si="6"/>
        <v>配建</v>
      </c>
      <c r="R12" s="710" t="s">
        <v>17</v>
      </c>
      <c r="S12" s="711">
        <f t="shared" si="0"/>
        <v>100</v>
      </c>
      <c r="T12" s="710" t="s">
        <v>17</v>
      </c>
      <c r="U12" s="711">
        <f t="shared" si="1"/>
        <v>100</v>
      </c>
      <c r="V12" s="710" t="s">
        <v>17</v>
      </c>
      <c r="W12" s="711">
        <f t="shared" si="2"/>
        <v>100</v>
      </c>
      <c r="X12" s="712"/>
      <c r="Y12" s="3200"/>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06"/>
      <c r="Q13" s="1526">
        <f t="shared" si="6"/>
        <v>111</v>
      </c>
      <c r="R13" s="710" t="s">
        <v>17</v>
      </c>
      <c r="S13" s="711">
        <f t="shared" si="0"/>
        <v>100</v>
      </c>
      <c r="T13" s="710" t="s">
        <v>17</v>
      </c>
      <c r="U13" s="711">
        <f t="shared" si="1"/>
        <v>100</v>
      </c>
      <c r="V13" s="710" t="s">
        <v>17</v>
      </c>
      <c r="W13" s="711">
        <f t="shared" si="2"/>
        <v>100</v>
      </c>
      <c r="X13" s="712"/>
      <c r="Y13" s="3200"/>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06"/>
      <c r="Q14" s="1526">
        <f t="shared" si="6"/>
        <v>111</v>
      </c>
      <c r="R14" s="710" t="s">
        <v>17</v>
      </c>
      <c r="S14" s="711">
        <f t="shared" si="0"/>
        <v>100</v>
      </c>
      <c r="T14" s="710" t="s">
        <v>17</v>
      </c>
      <c r="U14" s="711">
        <f t="shared" si="1"/>
        <v>100</v>
      </c>
      <c r="V14" s="710" t="s">
        <v>17</v>
      </c>
      <c r="W14" s="711">
        <f t="shared" si="2"/>
        <v>100</v>
      </c>
      <c r="X14" s="712"/>
      <c r="Y14" s="3200"/>
      <c r="Z14" s="55">
        <f t="shared" si="7"/>
        <v>111</v>
      </c>
      <c r="AA14" s="713">
        <f>D14/F14</f>
        <v>1</v>
      </c>
      <c r="AB14" s="713">
        <f>D14/H14</f>
        <v>1</v>
      </c>
      <c r="AC14" s="713">
        <f>D14/J14</f>
        <v>1</v>
      </c>
    </row>
    <row r="15" spans="1:30" ht="85.5">
      <c r="A15" s="399" t="s">
        <v>2380</v>
      </c>
      <c r="B15" s="65" t="s">
        <v>1943</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08" t="s">
        <v>2381</v>
      </c>
      <c r="Q15" s="1535" t="str">
        <f t="shared" si="6"/>
        <v>居住社区成熟度</v>
      </c>
      <c r="R15" s="714" t="s">
        <v>17</v>
      </c>
      <c r="S15" s="715">
        <f t="shared" si="0"/>
        <v>100</v>
      </c>
      <c r="T15" s="714" t="s">
        <v>17</v>
      </c>
      <c r="U15" s="715">
        <f t="shared" si="1"/>
        <v>100</v>
      </c>
      <c r="V15" s="714" t="s">
        <v>17</v>
      </c>
      <c r="W15" s="715">
        <f t="shared" si="2"/>
        <v>100</v>
      </c>
      <c r="X15" s="1538"/>
      <c r="Y15" s="3308" t="s">
        <v>2381</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8"/>
      <c r="L16" s="2950"/>
      <c r="M16" s="2944"/>
      <c r="N16" s="2944"/>
      <c r="O16" s="3002"/>
      <c r="P16" s="3309"/>
      <c r="Q16" s="1535"/>
      <c r="R16" s="714"/>
      <c r="S16" s="715"/>
      <c r="T16" s="714"/>
      <c r="U16" s="715"/>
      <c r="V16" s="714"/>
      <c r="W16" s="715"/>
      <c r="X16" s="1538"/>
      <c r="Y16" s="3309"/>
      <c r="Z16" s="1539"/>
      <c r="AA16" s="1536">
        <v>1</v>
      </c>
      <c r="AB16" s="1536">
        <v>1</v>
      </c>
      <c r="AC16" s="1536">
        <v>1</v>
      </c>
    </row>
    <row r="17" spans="1:29" ht="57">
      <c r="A17" s="387"/>
      <c r="B17" s="410" t="s">
        <v>2474</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09"/>
      <c r="Q17" s="1535" t="str">
        <f>B17</f>
        <v>商业繁华度</v>
      </c>
      <c r="R17" s="714" t="s">
        <v>17</v>
      </c>
      <c r="S17" s="715">
        <f>F17</f>
        <v>100</v>
      </c>
      <c r="T17" s="714" t="s">
        <v>17</v>
      </c>
      <c r="U17" s="715">
        <f>H17</f>
        <v>100</v>
      </c>
      <c r="V17" s="714" t="s">
        <v>17</v>
      </c>
      <c r="W17" s="715">
        <f>J17</f>
        <v>100</v>
      </c>
      <c r="X17" s="1538"/>
      <c r="Y17" s="3309"/>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8"/>
      <c r="L18" s="2950"/>
      <c r="M18" s="2944"/>
      <c r="N18" s="2944"/>
      <c r="O18" s="3002"/>
      <c r="P18" s="3309"/>
      <c r="Q18" s="1535"/>
      <c r="R18" s="714"/>
      <c r="S18" s="715"/>
      <c r="T18" s="714"/>
      <c r="U18" s="715"/>
      <c r="V18" s="714"/>
      <c r="W18" s="715"/>
      <c r="X18" s="1538"/>
      <c r="Y18" s="3309"/>
      <c r="Z18" s="1539"/>
      <c r="AA18" s="1536">
        <v>1</v>
      </c>
      <c r="AB18" s="1536">
        <v>1</v>
      </c>
      <c r="AC18" s="1536">
        <v>1</v>
      </c>
    </row>
    <row r="19" spans="1:29" ht="71.25">
      <c r="A19" s="387"/>
      <c r="B19" s="410" t="s">
        <v>2508</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09"/>
      <c r="Q19" s="1535" t="str">
        <f>B19</f>
        <v>办公集聚程度</v>
      </c>
      <c r="R19" s="714" t="s">
        <v>17</v>
      </c>
      <c r="S19" s="715">
        <f>F19</f>
        <v>100</v>
      </c>
      <c r="T19" s="714" t="s">
        <v>17</v>
      </c>
      <c r="U19" s="715">
        <f>H19</f>
        <v>100</v>
      </c>
      <c r="V19" s="714" t="s">
        <v>17</v>
      </c>
      <c r="W19" s="715">
        <f>J19</f>
        <v>100</v>
      </c>
      <c r="X19" s="1538"/>
      <c r="Y19" s="3309"/>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8"/>
      <c r="L20" s="2950"/>
      <c r="M20" s="2944"/>
      <c r="N20" s="2944"/>
      <c r="O20" s="3002"/>
      <c r="P20" s="3309"/>
      <c r="Q20" s="1535"/>
      <c r="R20" s="714"/>
      <c r="S20" s="715"/>
      <c r="T20" s="714"/>
      <c r="U20" s="715"/>
      <c r="V20" s="714"/>
      <c r="W20" s="715"/>
      <c r="X20" s="1538"/>
      <c r="Y20" s="3309"/>
      <c r="Z20" s="1539"/>
      <c r="AA20" s="1536">
        <v>1</v>
      </c>
      <c r="AB20" s="1536">
        <v>1</v>
      </c>
      <c r="AC20" s="1536">
        <v>1</v>
      </c>
    </row>
    <row r="21" spans="1:29" ht="71.25">
      <c r="A21" s="387"/>
      <c r="B21" s="410" t="s">
        <v>2530</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09"/>
      <c r="Q21" s="1535" t="str">
        <f>B21</f>
        <v>交通便捷度</v>
      </c>
      <c r="R21" s="714" t="s">
        <v>17</v>
      </c>
      <c r="S21" s="715">
        <f>F21</f>
        <v>100</v>
      </c>
      <c r="T21" s="714" t="s">
        <v>17</v>
      </c>
      <c r="U21" s="715">
        <f>H21</f>
        <v>100</v>
      </c>
      <c r="V21" s="714" t="s">
        <v>17</v>
      </c>
      <c r="W21" s="715">
        <f>J21</f>
        <v>100</v>
      </c>
      <c r="X21" s="1538"/>
      <c r="Y21" s="3309"/>
      <c r="Z21" s="1539" t="str">
        <f>Q21</f>
        <v>交通便捷度</v>
      </c>
      <c r="AA21" s="1536">
        <f t="shared" si="3"/>
        <v>1</v>
      </c>
      <c r="AB21" s="1536">
        <f t="shared" si="4"/>
        <v>1</v>
      </c>
      <c r="AC21" s="1536">
        <f t="shared" si="5"/>
        <v>1</v>
      </c>
    </row>
    <row r="22" spans="1:29" ht="15">
      <c r="A22" s="387"/>
      <c r="B22" s="1293"/>
      <c r="C22" s="406"/>
      <c r="D22" s="409"/>
      <c r="E22" s="2083"/>
      <c r="F22" s="407"/>
      <c r="G22" s="2083"/>
      <c r="H22" s="407"/>
      <c r="I22" s="2082"/>
      <c r="J22" s="407"/>
      <c r="K22" s="628"/>
      <c r="L22" s="2950"/>
      <c r="M22" s="2944"/>
      <c r="N22" s="2944"/>
      <c r="O22" s="3002"/>
      <c r="P22" s="3309"/>
      <c r="Q22" s="1535"/>
      <c r="R22" s="714"/>
      <c r="S22" s="715"/>
      <c r="T22" s="714"/>
      <c r="U22" s="715"/>
      <c r="V22" s="714"/>
      <c r="W22" s="715"/>
      <c r="X22" s="1538"/>
      <c r="Y22" s="3309"/>
      <c r="Z22" s="1539"/>
      <c r="AA22" s="1536">
        <v>1</v>
      </c>
      <c r="AB22" s="1536">
        <v>1</v>
      </c>
      <c r="AC22" s="1536">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09"/>
      <c r="Q23" s="1535" t="str">
        <f t="shared" ref="Q23:Q37" si="8">B23</f>
        <v>区域土地利用方向</v>
      </c>
      <c r="R23" s="714" t="s">
        <v>17</v>
      </c>
      <c r="S23" s="715">
        <f>F23</f>
        <v>100</v>
      </c>
      <c r="T23" s="714" t="s">
        <v>17</v>
      </c>
      <c r="U23" s="715">
        <f>H23</f>
        <v>100</v>
      </c>
      <c r="V23" s="714" t="s">
        <v>17</v>
      </c>
      <c r="W23" s="715">
        <f>J23</f>
        <v>100</v>
      </c>
      <c r="X23" s="1538"/>
      <c r="Y23" s="3309"/>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1"/>
      <c r="L24" s="2950"/>
      <c r="M24" s="2944"/>
      <c r="N24" s="2944"/>
      <c r="O24" s="3002"/>
      <c r="P24" s="3309"/>
      <c r="Q24" s="1535"/>
      <c r="R24" s="714"/>
      <c r="S24" s="715"/>
      <c r="T24" s="714"/>
      <c r="U24" s="715"/>
      <c r="V24" s="714"/>
      <c r="W24" s="715"/>
      <c r="X24" s="1538"/>
      <c r="Y24" s="3309"/>
      <c r="Z24" s="1539"/>
      <c r="AA24" s="1536"/>
      <c r="AB24" s="1536"/>
      <c r="AC24" s="1536"/>
    </row>
    <row r="25" spans="1:29" ht="42.75">
      <c r="A25" s="364"/>
      <c r="B25" s="1293" t="s">
        <v>2570</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09"/>
      <c r="Q25" s="1535" t="str">
        <f t="shared" si="8"/>
        <v>自然及人文环境状况</v>
      </c>
      <c r="R25" s="714" t="s">
        <v>17</v>
      </c>
      <c r="S25" s="715">
        <f>F25</f>
        <v>100</v>
      </c>
      <c r="T25" s="714" t="s">
        <v>17</v>
      </c>
      <c r="U25" s="715">
        <f>H25</f>
        <v>100</v>
      </c>
      <c r="V25" s="714" t="s">
        <v>17</v>
      </c>
      <c r="W25" s="715">
        <f>J25</f>
        <v>100</v>
      </c>
      <c r="X25" s="1538"/>
      <c r="Y25" s="3309"/>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8"/>
      <c r="L26" s="2950"/>
      <c r="M26" s="2944"/>
      <c r="N26" s="2944"/>
      <c r="O26" s="3002"/>
      <c r="P26" s="3309"/>
      <c r="Q26" s="1535"/>
      <c r="R26" s="714"/>
      <c r="S26" s="715"/>
      <c r="T26" s="714"/>
      <c r="U26" s="715"/>
      <c r="V26" s="714"/>
      <c r="W26" s="715"/>
      <c r="X26" s="1538"/>
      <c r="Y26" s="3309"/>
      <c r="Z26" s="1539"/>
      <c r="AA26" s="1536">
        <v>1</v>
      </c>
      <c r="AB26" s="1536">
        <v>1</v>
      </c>
      <c r="AC26" s="1536">
        <v>1</v>
      </c>
    </row>
    <row r="27" spans="1:29" s="113" customFormat="1" ht="42.75">
      <c r="A27" s="605"/>
      <c r="B27" s="1293" t="s">
        <v>2475</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09"/>
      <c r="Q27" s="1526" t="str">
        <f t="shared" si="8"/>
        <v>公共配套设施</v>
      </c>
      <c r="R27" s="710" t="s">
        <v>17</v>
      </c>
      <c r="S27" s="711">
        <f>F27</f>
        <v>100</v>
      </c>
      <c r="T27" s="710" t="s">
        <v>17</v>
      </c>
      <c r="U27" s="711">
        <f>H27</f>
        <v>100</v>
      </c>
      <c r="V27" s="710" t="s">
        <v>17</v>
      </c>
      <c r="W27" s="711">
        <f>J27</f>
        <v>100</v>
      </c>
      <c r="X27" s="712"/>
      <c r="Y27" s="3309"/>
      <c r="Z27" s="55" t="str">
        <f>Q27</f>
        <v>公共配套设施</v>
      </c>
      <c r="AA27" s="1536">
        <f>D27/F27</f>
        <v>1</v>
      </c>
      <c r="AB27" s="1536">
        <f>D27/H27</f>
        <v>1</v>
      </c>
      <c r="AC27" s="1536">
        <f>D27/J27</f>
        <v>1</v>
      </c>
    </row>
    <row r="28" spans="1:29" s="113" customFormat="1" ht="15">
      <c r="A28" s="605"/>
      <c r="B28" s="415"/>
      <c r="C28" s="2163"/>
      <c r="D28" s="407"/>
      <c r="E28" s="2089"/>
      <c r="F28" s="407"/>
      <c r="G28" s="2089"/>
      <c r="H28" s="407"/>
      <c r="I28" s="406"/>
      <c r="J28" s="407"/>
      <c r="K28" s="628"/>
      <c r="L28" s="2945"/>
      <c r="M28" s="2946"/>
      <c r="N28" s="2946"/>
      <c r="O28" s="3000"/>
      <c r="P28" s="3309"/>
      <c r="Q28" s="1526"/>
      <c r="R28" s="710"/>
      <c r="S28" s="711"/>
      <c r="T28" s="710"/>
      <c r="U28" s="711"/>
      <c r="V28" s="710"/>
      <c r="W28" s="711"/>
      <c r="X28" s="712"/>
      <c r="Y28" s="3309"/>
      <c r="Z28" s="55"/>
      <c r="AA28" s="1536">
        <v>1</v>
      </c>
      <c r="AB28" s="1536">
        <v>1</v>
      </c>
      <c r="AC28" s="1536">
        <v>1</v>
      </c>
    </row>
    <row r="29" spans="1:29" s="113" customFormat="1" ht="28.5">
      <c r="A29" s="605"/>
      <c r="B29" s="1293" t="s">
        <v>2476</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09"/>
      <c r="Q29" s="1526" t="str">
        <f t="shared" ref="Q29" si="9">B29</f>
        <v>基础设施水平</v>
      </c>
      <c r="R29" s="710" t="s">
        <v>17</v>
      </c>
      <c r="S29" s="711">
        <f>F29</f>
        <v>100</v>
      </c>
      <c r="T29" s="710" t="s">
        <v>17</v>
      </c>
      <c r="U29" s="711">
        <f>H29</f>
        <v>100</v>
      </c>
      <c r="V29" s="710" t="s">
        <v>17</v>
      </c>
      <c r="W29" s="711">
        <f>J29</f>
        <v>100</v>
      </c>
      <c r="X29" s="712"/>
      <c r="Y29" s="3309"/>
      <c r="Z29" s="55" t="str">
        <f>Q29</f>
        <v>基础设施水平</v>
      </c>
      <c r="AA29" s="1536">
        <f>D29/F29</f>
        <v>1</v>
      </c>
      <c r="AB29" s="1536">
        <f>D29/H29</f>
        <v>1</v>
      </c>
      <c r="AC29" s="1536">
        <f>D29/J29</f>
        <v>1</v>
      </c>
    </row>
    <row r="30" spans="1:29" s="113" customFormat="1" ht="15">
      <c r="A30" s="605"/>
      <c r="B30" s="415"/>
      <c r="C30" s="2163"/>
      <c r="D30" s="407"/>
      <c r="E30" s="2164"/>
      <c r="F30" s="407"/>
      <c r="G30" s="2164"/>
      <c r="H30" s="407"/>
      <c r="I30" s="2164"/>
      <c r="J30" s="407"/>
      <c r="K30" s="628"/>
      <c r="L30" s="2945"/>
      <c r="M30" s="2946"/>
      <c r="N30" s="2946"/>
      <c r="O30" s="3000"/>
      <c r="P30" s="3309"/>
      <c r="Q30" s="1526"/>
      <c r="R30" s="710"/>
      <c r="S30" s="711"/>
      <c r="T30" s="710"/>
      <c r="U30" s="711"/>
      <c r="V30" s="710"/>
      <c r="W30" s="711"/>
      <c r="X30" s="712"/>
      <c r="Y30" s="3309"/>
      <c r="Z30" s="55"/>
      <c r="AA30" s="1536">
        <v>1</v>
      </c>
      <c r="AB30" s="1536">
        <v>1</v>
      </c>
      <c r="AC30" s="1536">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09"/>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09"/>
      <c r="Z31" s="1539" t="str">
        <f t="shared" ref="Z31:Z45" si="13">Q31</f>
        <v>临街状况</v>
      </c>
      <c r="AA31" s="1536">
        <f t="shared" si="3"/>
        <v>1</v>
      </c>
      <c r="AB31" s="1536">
        <f t="shared" si="4"/>
        <v>1</v>
      </c>
      <c r="AC31" s="1536">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09"/>
      <c r="Q32" s="1535" t="str">
        <f t="shared" si="8"/>
        <v>毗邻道路的类型与等级</v>
      </c>
      <c r="R32" s="714" t="s">
        <v>17</v>
      </c>
      <c r="S32" s="715">
        <f t="shared" si="10"/>
        <v>100</v>
      </c>
      <c r="T32" s="714" t="s">
        <v>17</v>
      </c>
      <c r="U32" s="715">
        <f t="shared" si="11"/>
        <v>100</v>
      </c>
      <c r="V32" s="714" t="s">
        <v>17</v>
      </c>
      <c r="W32" s="715">
        <f t="shared" si="12"/>
        <v>100</v>
      </c>
      <c r="X32" s="1538"/>
      <c r="Y32" s="3309"/>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50"/>
      <c r="M33" s="2944"/>
      <c r="N33" s="2944"/>
      <c r="O33" s="3002"/>
      <c r="P33" s="3309"/>
      <c r="Q33" s="1535"/>
      <c r="R33" s="714"/>
      <c r="S33" s="715"/>
      <c r="T33" s="714"/>
      <c r="U33" s="715"/>
      <c r="V33" s="714"/>
      <c r="W33" s="715"/>
      <c r="X33" s="1538"/>
      <c r="Y33" s="3309"/>
      <c r="Z33" s="1539"/>
      <c r="AA33" s="1536">
        <v>1</v>
      </c>
      <c r="AB33" s="1536">
        <v>1</v>
      </c>
      <c r="AC33" s="1536">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09"/>
      <c r="Q34" s="1535" t="str">
        <f t="shared" si="8"/>
        <v>土地级别</v>
      </c>
      <c r="R34" s="714" t="s">
        <v>17</v>
      </c>
      <c r="S34" s="715">
        <f t="shared" si="10"/>
        <v>100</v>
      </c>
      <c r="T34" s="714" t="s">
        <v>17</v>
      </c>
      <c r="U34" s="715">
        <f t="shared" si="11"/>
        <v>100</v>
      </c>
      <c r="V34" s="714" t="s">
        <v>17</v>
      </c>
      <c r="W34" s="715">
        <f t="shared" si="12"/>
        <v>100</v>
      </c>
      <c r="X34" s="1538"/>
      <c r="Y34" s="3309"/>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09"/>
      <c r="Q35" s="1535">
        <f t="shared" si="8"/>
        <v>111</v>
      </c>
      <c r="R35" s="714" t="s">
        <v>17</v>
      </c>
      <c r="S35" s="715">
        <f t="shared" si="10"/>
        <v>100</v>
      </c>
      <c r="T35" s="714" t="s">
        <v>17</v>
      </c>
      <c r="U35" s="715">
        <f t="shared" si="11"/>
        <v>100</v>
      </c>
      <c r="V35" s="714" t="s">
        <v>17</v>
      </c>
      <c r="W35" s="715">
        <f t="shared" si="12"/>
        <v>100</v>
      </c>
      <c r="X35" s="1538"/>
      <c r="Y35" s="3309"/>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10" t="s">
        <v>2386</v>
      </c>
      <c r="Q36" s="1535">
        <f t="shared" si="8"/>
        <v>111</v>
      </c>
      <c r="R36" s="714" t="s">
        <v>17</v>
      </c>
      <c r="S36" s="715">
        <f t="shared" si="10"/>
        <v>100</v>
      </c>
      <c r="T36" s="714" t="s">
        <v>17</v>
      </c>
      <c r="U36" s="715">
        <f t="shared" si="11"/>
        <v>100</v>
      </c>
      <c r="V36" s="714" t="s">
        <v>17</v>
      </c>
      <c r="W36" s="715">
        <f t="shared" si="12"/>
        <v>100</v>
      </c>
      <c r="X36" s="1538"/>
      <c r="Y36" s="3311" t="s">
        <v>2386</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11"/>
      <c r="Q37" s="1535">
        <f t="shared" si="8"/>
        <v>111</v>
      </c>
      <c r="R37" s="717" t="s">
        <v>17</v>
      </c>
      <c r="S37" s="718">
        <f t="shared" si="10"/>
        <v>100</v>
      </c>
      <c r="T37" s="717" t="s">
        <v>17</v>
      </c>
      <c r="U37" s="718">
        <f t="shared" si="11"/>
        <v>100</v>
      </c>
      <c r="V37" s="717" t="s">
        <v>17</v>
      </c>
      <c r="W37" s="718">
        <f t="shared" si="12"/>
        <v>100</v>
      </c>
      <c r="X37" s="719"/>
      <c r="Y37" s="3311"/>
      <c r="Z37" s="720">
        <f t="shared" si="13"/>
        <v>111</v>
      </c>
      <c r="AA37" s="1536">
        <f t="shared" si="3"/>
        <v>1</v>
      </c>
      <c r="AB37" s="1536">
        <f t="shared" si="4"/>
        <v>1</v>
      </c>
      <c r="AC37" s="1536">
        <f t="shared" si="5"/>
        <v>1</v>
      </c>
    </row>
    <row r="38" spans="1:29" ht="15">
      <c r="A38" s="431" t="s">
        <v>2384</v>
      </c>
      <c r="B38" s="415" t="s">
        <v>2572</v>
      </c>
      <c r="C38" s="3447">
        <f>面积!C6</f>
        <v>131807</v>
      </c>
      <c r="D38" s="426">
        <v>100</v>
      </c>
      <c r="E38" s="635">
        <f>Sheet2!D6</f>
        <v>10059</v>
      </c>
      <c r="F38" s="426">
        <f>LOOKUP(E38,117:117,118:118)-LOOKUP(C38,117:117,118:118)+100</f>
        <v>96</v>
      </c>
      <c r="G38" s="635">
        <f>Sheet2!D10</f>
        <v>13191.24</v>
      </c>
      <c r="H38" s="426">
        <f>LOOKUP(G38,117:117,118:118)-LOOKUP(C38,117:117,118:118)+100</f>
        <v>96</v>
      </c>
      <c r="I38" s="487">
        <f>Sheet2!D14</f>
        <v>139020</v>
      </c>
      <c r="J38" s="426">
        <f>LOOKUP(I38,117:117,118:118)-LOOKUP(C38,117:117,118:118)+100</f>
        <v>100</v>
      </c>
      <c r="K38" s="570"/>
      <c r="L38" s="2950"/>
      <c r="M38" s="2944"/>
      <c r="N38" s="2944"/>
      <c r="O38" s="3002"/>
      <c r="P38" s="3311"/>
      <c r="Q38" s="1535" t="str">
        <f>B38</f>
        <v>宗地面积</v>
      </c>
      <c r="R38" s="714" t="s">
        <v>17</v>
      </c>
      <c r="S38" s="715">
        <f t="shared" si="10"/>
        <v>96</v>
      </c>
      <c r="T38" s="714" t="s">
        <v>17</v>
      </c>
      <c r="U38" s="715">
        <f t="shared" si="11"/>
        <v>96</v>
      </c>
      <c r="V38" s="714" t="s">
        <v>17</v>
      </c>
      <c r="W38" s="715">
        <f t="shared" si="12"/>
        <v>100</v>
      </c>
      <c r="X38" s="1538"/>
      <c r="Y38" s="3311"/>
      <c r="Z38" s="1539" t="str">
        <f t="shared" si="13"/>
        <v>宗地面积</v>
      </c>
      <c r="AA38" s="1536">
        <f t="shared" si="3"/>
        <v>1.0416666666666667</v>
      </c>
      <c r="AB38" s="1536">
        <f t="shared" si="4"/>
        <v>1.0416666666666667</v>
      </c>
      <c r="AC38" s="1536">
        <f t="shared" si="5"/>
        <v>1</v>
      </c>
    </row>
    <row r="39" spans="1:29" ht="15">
      <c r="A39" s="431"/>
      <c r="B39" s="381" t="s">
        <v>2573</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311"/>
      <c r="Q39" s="1535" t="str">
        <f t="shared" ref="Q39:Q45" si="14">B39</f>
        <v>宗地形状</v>
      </c>
      <c r="R39" s="714" t="s">
        <v>17</v>
      </c>
      <c r="S39" s="715">
        <f t="shared" si="10"/>
        <v>100</v>
      </c>
      <c r="T39" s="714" t="s">
        <v>17</v>
      </c>
      <c r="U39" s="715">
        <f t="shared" si="11"/>
        <v>100</v>
      </c>
      <c r="V39" s="714" t="s">
        <v>17</v>
      </c>
      <c r="W39" s="715">
        <f t="shared" si="12"/>
        <v>100</v>
      </c>
      <c r="X39" s="1538"/>
      <c r="Y39" s="3311"/>
      <c r="Z39" s="1539" t="str">
        <f t="shared" si="13"/>
        <v>宗地形状</v>
      </c>
      <c r="AA39" s="1536">
        <f t="shared" si="3"/>
        <v>1</v>
      </c>
      <c r="AB39" s="1536">
        <f t="shared" si="4"/>
        <v>1</v>
      </c>
      <c r="AC39" s="1536">
        <f t="shared" si="5"/>
        <v>1</v>
      </c>
    </row>
    <row r="40" spans="1:29" ht="15">
      <c r="A40" s="431"/>
      <c r="B40" s="381" t="s">
        <v>2574</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311"/>
      <c r="Q40" s="1535" t="str">
        <f t="shared" si="14"/>
        <v>临街宽度及深度</v>
      </c>
      <c r="R40" s="714" t="s">
        <v>17</v>
      </c>
      <c r="S40" s="715">
        <f t="shared" si="10"/>
        <v>100</v>
      </c>
      <c r="T40" s="714" t="s">
        <v>17</v>
      </c>
      <c r="U40" s="715">
        <f t="shared" si="11"/>
        <v>100</v>
      </c>
      <c r="V40" s="714" t="s">
        <v>17</v>
      </c>
      <c r="W40" s="715">
        <f t="shared" si="12"/>
        <v>100</v>
      </c>
      <c r="X40" s="1538"/>
      <c r="Y40" s="3311"/>
      <c r="Z40" s="1539" t="str">
        <f t="shared" si="13"/>
        <v>临街宽度及深度</v>
      </c>
      <c r="AA40" s="1536">
        <f t="shared" si="3"/>
        <v>1</v>
      </c>
      <c r="AB40" s="1536">
        <f t="shared" si="4"/>
        <v>1</v>
      </c>
      <c r="AC40" s="1536">
        <f t="shared" si="5"/>
        <v>1</v>
      </c>
    </row>
    <row r="41" spans="1:29" s="113" customFormat="1" ht="15">
      <c r="A41" s="432"/>
      <c r="B41" s="381" t="s">
        <v>2575</v>
      </c>
      <c r="C41" s="3104" t="s">
        <v>3194</v>
      </c>
      <c r="D41" s="132">
        <v>100</v>
      </c>
      <c r="E41" s="3104" t="s">
        <v>3195</v>
      </c>
      <c r="F41" s="394">
        <f>SUMIF(123:123,E41,124:124)-SUMIF(123:123,C41,124:124)+100</f>
        <v>96</v>
      </c>
      <c r="G41" s="3104" t="s">
        <v>3195</v>
      </c>
      <c r="H41" s="394">
        <f>SUMIF(123:123,G41,124:124)-SUMIF(123:123,C41,124:124)+100</f>
        <v>96</v>
      </c>
      <c r="I41" s="3104" t="s">
        <v>3195</v>
      </c>
      <c r="J41" s="394">
        <f>SUMIF(123:123,I41,124:124)-SUMIF(123:123,C41,124:124)+100</f>
        <v>96</v>
      </c>
      <c r="K41" s="569">
        <v>2</v>
      </c>
      <c r="L41" s="2945"/>
      <c r="M41" s="2946"/>
      <c r="N41" s="2946"/>
      <c r="O41" s="3000"/>
      <c r="P41" s="3311"/>
      <c r="Q41" s="1535" t="str">
        <f t="shared" si="14"/>
        <v>宗地开发程度</v>
      </c>
      <c r="R41" s="710" t="s">
        <v>17</v>
      </c>
      <c r="S41" s="711">
        <f t="shared" si="10"/>
        <v>96</v>
      </c>
      <c r="T41" s="710" t="s">
        <v>17</v>
      </c>
      <c r="U41" s="711">
        <f t="shared" si="11"/>
        <v>96</v>
      </c>
      <c r="V41" s="710" t="s">
        <v>17</v>
      </c>
      <c r="W41" s="711">
        <f t="shared" si="12"/>
        <v>96</v>
      </c>
      <c r="X41" s="712"/>
      <c r="Y41" s="3311"/>
      <c r="Z41" s="55" t="str">
        <f t="shared" si="13"/>
        <v>宗地开发程度</v>
      </c>
      <c r="AA41" s="713">
        <f t="shared" si="3"/>
        <v>1.0416666666666667</v>
      </c>
      <c r="AB41" s="713">
        <f t="shared" si="4"/>
        <v>1.0416666666666667</v>
      </c>
      <c r="AC41" s="713">
        <f t="shared" si="5"/>
        <v>1.0416666666666667</v>
      </c>
    </row>
    <row r="42" spans="1:29" ht="15">
      <c r="A42" s="431"/>
      <c r="B42" s="381" t="s">
        <v>2576</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311" t="s">
        <v>2386</v>
      </c>
      <c r="Q42" s="1535" t="str">
        <f t="shared" si="14"/>
        <v>工程地质条件</v>
      </c>
      <c r="R42" s="714" t="s">
        <v>17</v>
      </c>
      <c r="S42" s="715">
        <f t="shared" si="10"/>
        <v>100</v>
      </c>
      <c r="T42" s="714" t="s">
        <v>17</v>
      </c>
      <c r="U42" s="715">
        <f t="shared" si="11"/>
        <v>100</v>
      </c>
      <c r="V42" s="714" t="s">
        <v>17</v>
      </c>
      <c r="W42" s="715">
        <f t="shared" si="12"/>
        <v>100</v>
      </c>
      <c r="X42" s="1538"/>
      <c r="Y42" s="3311" t="s">
        <v>2386</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11"/>
      <c r="Q43" s="1535">
        <f t="shared" si="14"/>
        <v>111</v>
      </c>
      <c r="R43" s="714" t="s">
        <v>17</v>
      </c>
      <c r="S43" s="715">
        <f t="shared" si="10"/>
        <v>100</v>
      </c>
      <c r="T43" s="714" t="s">
        <v>17</v>
      </c>
      <c r="U43" s="715">
        <f t="shared" si="11"/>
        <v>100</v>
      </c>
      <c r="V43" s="714" t="s">
        <v>17</v>
      </c>
      <c r="W43" s="715">
        <f t="shared" si="12"/>
        <v>100</v>
      </c>
      <c r="X43" s="1538"/>
      <c r="Y43" s="3311"/>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11"/>
      <c r="Q44" s="1535">
        <f t="shared" si="14"/>
        <v>111</v>
      </c>
      <c r="R44" s="714" t="s">
        <v>17</v>
      </c>
      <c r="S44" s="715">
        <f t="shared" si="10"/>
        <v>100</v>
      </c>
      <c r="T44" s="714" t="s">
        <v>17</v>
      </c>
      <c r="U44" s="715">
        <f t="shared" si="11"/>
        <v>100</v>
      </c>
      <c r="V44" s="714" t="s">
        <v>17</v>
      </c>
      <c r="W44" s="715">
        <f t="shared" si="12"/>
        <v>100</v>
      </c>
      <c r="X44" s="1538"/>
      <c r="Y44" s="3311"/>
      <c r="Z44" s="1539">
        <f t="shared" si="13"/>
        <v>111</v>
      </c>
      <c r="AA44" s="1536">
        <f t="shared" si="3"/>
        <v>1</v>
      </c>
      <c r="AB44" s="1536">
        <f t="shared" si="4"/>
        <v>1</v>
      </c>
      <c r="AC44" s="1536">
        <f t="shared" si="5"/>
        <v>1</v>
      </c>
    </row>
    <row r="45" spans="1:29" s="430" customFormat="1" ht="15.75" thickBot="1">
      <c r="A45" s="427"/>
      <c r="B45" s="1296">
        <v>1.0551999999999999</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11"/>
      <c r="Q45" s="1535">
        <f t="shared" si="14"/>
        <v>1.0551999999999999</v>
      </c>
      <c r="R45" s="717" t="s">
        <v>17</v>
      </c>
      <c r="S45" s="718">
        <f t="shared" si="10"/>
        <v>100</v>
      </c>
      <c r="T45" s="717" t="s">
        <v>17</v>
      </c>
      <c r="U45" s="718">
        <f t="shared" si="11"/>
        <v>100</v>
      </c>
      <c r="V45" s="717" t="s">
        <v>17</v>
      </c>
      <c r="W45" s="718">
        <f t="shared" si="12"/>
        <v>100</v>
      </c>
      <c r="X45" s="719"/>
      <c r="Y45" s="3311"/>
      <c r="Z45" s="720">
        <f t="shared" si="13"/>
        <v>1.0551999999999999</v>
      </c>
      <c r="AA45" s="1536">
        <f t="shared" si="3"/>
        <v>1</v>
      </c>
      <c r="AB45" s="1536">
        <f t="shared" si="4"/>
        <v>1</v>
      </c>
      <c r="AC45" s="1536">
        <f t="shared" si="5"/>
        <v>1</v>
      </c>
    </row>
    <row r="46" spans="1:29" ht="15">
      <c r="A46" s="438" t="s">
        <v>2541</v>
      </c>
      <c r="B46" s="2167" t="s">
        <v>3159</v>
      </c>
      <c r="C46" s="638" t="s">
        <v>1</v>
      </c>
      <c r="D46" s="440"/>
      <c r="E46" s="441">
        <f>ROUND(Sheet2!O6*B45,0)</f>
        <v>4115</v>
      </c>
      <c r="F46" s="442"/>
      <c r="G46" s="443">
        <f>ROUND(Sheet2!O10*B45,0)</f>
        <v>3641</v>
      </c>
      <c r="H46" s="444"/>
      <c r="I46" s="441">
        <f>ROUND(Sheet2!O14*B45,0)</f>
        <v>2952</v>
      </c>
      <c r="J46" s="444"/>
      <c r="K46" s="723"/>
      <c r="L46" s="2952"/>
      <c r="M46" s="2953"/>
      <c r="N46" s="2944"/>
      <c r="O46" s="2953"/>
      <c r="P46" s="3306" t="str">
        <f>A46</f>
        <v>成交单价</v>
      </c>
      <c r="Q46" s="3306"/>
      <c r="R46" s="3312">
        <f>E46</f>
        <v>4115</v>
      </c>
      <c r="S46" s="3312"/>
      <c r="T46" s="3312">
        <f>G46</f>
        <v>3641</v>
      </c>
      <c r="U46" s="3312"/>
      <c r="V46" s="3312">
        <f>I46</f>
        <v>2952</v>
      </c>
      <c r="W46" s="3312"/>
      <c r="X46" s="699"/>
      <c r="Y46" s="721"/>
      <c r="Z46" s="699"/>
      <c r="AA46" s="699"/>
      <c r="AB46" s="699"/>
      <c r="AC46" s="699"/>
    </row>
    <row r="47" spans="1:29" ht="15.75" thickBot="1">
      <c r="A47" s="445" t="s">
        <v>2490</v>
      </c>
      <c r="B47" s="639"/>
      <c r="C47" s="448">
        <f>R48</f>
        <v>3514</v>
      </c>
      <c r="D47" s="2537" t="s">
        <v>2880</v>
      </c>
      <c r="E47" s="448">
        <f>R47</f>
        <v>4012</v>
      </c>
      <c r="F47" s="2538"/>
      <c r="G47" s="447">
        <f>T47</f>
        <v>3638</v>
      </c>
      <c r="H47" s="2538"/>
      <c r="I47" s="448">
        <f>V47</f>
        <v>2891</v>
      </c>
      <c r="J47" s="2538"/>
      <c r="K47" s="2540">
        <f>F47+H47+J47</f>
        <v>0</v>
      </c>
      <c r="L47" s="2952"/>
      <c r="M47" s="2953"/>
      <c r="N47" s="2953"/>
      <c r="O47" s="2953"/>
      <c r="P47" s="3306" t="str">
        <f>A47</f>
        <v>比较价值（元/平方米）</v>
      </c>
      <c r="Q47" s="3306"/>
      <c r="R47" s="3299">
        <f>ROUND(PRODUCT(R46,AA7:AA45),0)</f>
        <v>4012</v>
      </c>
      <c r="S47" s="3299"/>
      <c r="T47" s="3299">
        <f>ROUND(PRODUCT(T46,AB7:AB45),0)</f>
        <v>3638</v>
      </c>
      <c r="U47" s="3299"/>
      <c r="V47" s="3299">
        <f>ROUND(PRODUCT(V46,AC7:AC45),0)</f>
        <v>2891</v>
      </c>
      <c r="W47" s="3299"/>
      <c r="X47" s="699"/>
      <c r="Y47" s="699"/>
      <c r="Z47" s="699"/>
      <c r="AA47" s="699"/>
      <c r="AB47" s="699"/>
      <c r="AC47" s="699"/>
    </row>
    <row r="48" spans="1:29" ht="15.75" thickBot="1">
      <c r="A48" s="449" t="s">
        <v>2577</v>
      </c>
      <c r="B48" s="450"/>
      <c r="C48" s="451">
        <f>R48</f>
        <v>3514</v>
      </c>
      <c r="D48" s="451"/>
      <c r="E48" s="451"/>
      <c r="F48" s="451"/>
      <c r="G48" s="451"/>
      <c r="H48" s="451"/>
      <c r="I48" s="451"/>
      <c r="J48" s="451"/>
      <c r="K48" s="724"/>
      <c r="L48" s="2952"/>
      <c r="M48" s="2953"/>
      <c r="N48" s="2953"/>
      <c r="O48" s="2953"/>
      <c r="P48" s="3300" t="str">
        <f>A48</f>
        <v>估价对象XX用房的比较价值（楼面单价，元/平方米）</v>
      </c>
      <c r="Q48" s="3301"/>
      <c r="R48" s="3302">
        <f>ROUND(IF(D47="简单平均",AVERAGE(R47:W47),R47*F47+T47*H47+V47*J47),0)</f>
        <v>3514</v>
      </c>
      <c r="S48" s="3302"/>
      <c r="T48" s="3302"/>
      <c r="U48" s="3302"/>
      <c r="V48" s="3302"/>
      <c r="W48" s="3302"/>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f>IF(E46&lt;E47,E47/E46-1,E46/E47-1)</f>
        <v>2.5672981056829469E-2</v>
      </c>
      <c r="F51" s="457" t="str">
        <f>IF(OR(E51&gt;=0.3,E51&lt;=-0.3),"超过30%","")</f>
        <v/>
      </c>
      <c r="G51" s="456">
        <f>IF(G46&lt;G47,G47/G46-1,G46/G47-1)</f>
        <v>8.2462891698731333E-4</v>
      </c>
      <c r="H51" s="457" t="str">
        <f>IF(OR(G51&gt;=0.3,G51&lt;=-0.3),"超过30%","")</f>
        <v/>
      </c>
      <c r="I51" s="456">
        <f>IF(I46&lt;I47,I47/I46-1,I46/I47-1)</f>
        <v>2.1099965409892674E-2</v>
      </c>
      <c r="J51" s="457" t="str">
        <f>IF(OR(I51&gt;=0.3,I51&lt;=-0.3),"超过30%","")</f>
        <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f>IF(E47&lt;G47,G47/E47-1,E47/G47-1)</f>
        <v>0.10280373831775691</v>
      </c>
      <c r="F52" s="457" t="str">
        <f>IF(OR(E52&gt;=0.2,E52&lt;=-0.2),"超过20%","")</f>
        <v/>
      </c>
      <c r="G52" s="456">
        <f>IF(G47&lt;I47,I47/G47-1,G47/I47-1)</f>
        <v>0.25838810100311305</v>
      </c>
      <c r="H52" s="457" t="str">
        <f>IF(OR(G52&gt;=0.2,G52&lt;=-0.2),"超过20%","")</f>
        <v>超过20%</v>
      </c>
      <c r="I52" s="456">
        <f>IF(I47&lt;E47,E47/I47-1,I47/E47-1)</f>
        <v>0.38775510204081631</v>
      </c>
      <c r="J52" s="457" t="str">
        <f>IF(OR(I52&gt;=0.2,I52&lt;=-0.2),"超过20%","")</f>
        <v>超过20%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f>IF(E46&lt;G46,G46/E46-1,E46/G46-1)</f>
        <v>0.13018401538038993</v>
      </c>
      <c r="F53" s="457" t="str">
        <f>IF(OR(E53&gt;=0.3,E53&lt;=-0.3),"超过30%","")</f>
        <v/>
      </c>
      <c r="G53" s="456">
        <f>IF(G46&lt;I46,I46/G46-1,G46/I46-1)</f>
        <v>0.23340108401084003</v>
      </c>
      <c r="H53" s="457" t="str">
        <f>IF(OR(G53&gt;=0.3,G53&lt;=-0.3),"超过30%","")</f>
        <v/>
      </c>
      <c r="I53" s="456">
        <f>IF(I46&lt;E46,E46/I46-1,I46/E46-1)</f>
        <v>0.39397018970189701</v>
      </c>
      <c r="J53" s="457" t="str">
        <f>IF(OR(I53&gt;=0.3,I53&lt;=-0.3),"超过30%","")</f>
        <v>超过30%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2578</v>
      </c>
      <c r="B55" s="641" t="s">
        <v>2579</v>
      </c>
      <c r="C55" s="2168" t="s">
        <v>2580</v>
      </c>
      <c r="D55" s="2169" t="s">
        <v>2581</v>
      </c>
      <c r="E55" s="642" t="s">
        <v>2582</v>
      </c>
      <c r="F55" s="1021" t="s">
        <v>2583</v>
      </c>
      <c r="G55" s="3303" t="s">
        <v>2584</v>
      </c>
      <c r="H55" s="3304"/>
      <c r="I55" s="140" t="s">
        <v>2585</v>
      </c>
      <c r="J55" s="2170">
        <f>项目基本情况!F35</f>
        <v>0</v>
      </c>
      <c r="K55" s="2171" t="s">
        <v>2586</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2587</v>
      </c>
      <c r="B56" s="645">
        <f>C48</f>
        <v>3514</v>
      </c>
      <c r="C56" s="646">
        <v>1</v>
      </c>
      <c r="D56" s="1075">
        <v>1</v>
      </c>
      <c r="E56" s="646">
        <f>'数据-汇总表'!E8+'数据-汇总表'!E9</f>
        <v>58794.39</v>
      </c>
      <c r="F56" s="1017">
        <f t="shared" ref="F56:F65" si="15">ROUND(B56*E56/10000,0)</f>
        <v>20660</v>
      </c>
      <c r="G56" s="3305"/>
      <c r="H56" s="3306"/>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2588</v>
      </c>
      <c r="B57" s="224">
        <f>ROUND($C$48*C57*D57,0)</f>
        <v>0</v>
      </c>
      <c r="C57" s="176">
        <f t="shared" ref="C57:C65" si="16">IF($C$55="北京市系数",I57,J57)</f>
        <v>0</v>
      </c>
      <c r="D57" s="1076">
        <v>0.25</v>
      </c>
      <c r="E57" s="650"/>
      <c r="F57" s="1017">
        <f t="shared" si="15"/>
        <v>0</v>
      </c>
      <c r="G57" s="3307" t="s">
        <v>2589</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2590</v>
      </c>
      <c r="B58" s="224">
        <f t="shared" ref="B58:B65" si="17">ROUND($C$48*C58*D58,0)</f>
        <v>0</v>
      </c>
      <c r="C58" s="176">
        <f t="shared" si="16"/>
        <v>0</v>
      </c>
      <c r="D58" s="1076">
        <v>0.25</v>
      </c>
      <c r="E58" s="650"/>
      <c r="F58" s="1017">
        <f t="shared" si="15"/>
        <v>0</v>
      </c>
      <c r="G58" s="3307"/>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2591</v>
      </c>
      <c r="B59" s="224">
        <f t="shared" si="17"/>
        <v>0</v>
      </c>
      <c r="C59" s="176">
        <f t="shared" si="16"/>
        <v>0</v>
      </c>
      <c r="D59" s="1076">
        <v>0.25</v>
      </c>
      <c r="E59" s="650"/>
      <c r="F59" s="1017">
        <f t="shared" si="15"/>
        <v>0</v>
      </c>
      <c r="G59" s="3307"/>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2592</v>
      </c>
      <c r="B60" s="224">
        <f t="shared" si="17"/>
        <v>0</v>
      </c>
      <c r="C60" s="176">
        <f t="shared" si="16"/>
        <v>0</v>
      </c>
      <c r="D60" s="1076">
        <v>0.25</v>
      </c>
      <c r="E60" s="650"/>
      <c r="F60" s="1017">
        <f t="shared" si="15"/>
        <v>0</v>
      </c>
      <c r="G60" s="3307"/>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2593</v>
      </c>
      <c r="B61" s="224">
        <f t="shared" si="17"/>
        <v>0</v>
      </c>
      <c r="C61" s="176">
        <f t="shared" si="16"/>
        <v>0</v>
      </c>
      <c r="D61" s="1076">
        <v>0.25</v>
      </c>
      <c r="E61" s="223">
        <f>'数据-汇总表'!E11</f>
        <v>0</v>
      </c>
      <c r="F61" s="1017">
        <f t="shared" si="15"/>
        <v>0</v>
      </c>
      <c r="G61" s="2172" t="s">
        <v>2594</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2595</v>
      </c>
      <c r="B62" s="224">
        <f t="shared" si="17"/>
        <v>0</v>
      </c>
      <c r="C62" s="176">
        <f t="shared" si="16"/>
        <v>0</v>
      </c>
      <c r="D62" s="1076">
        <v>0.25</v>
      </c>
      <c r="E62" s="223">
        <f>'数据-汇总表'!E12</f>
        <v>0</v>
      </c>
      <c r="F62" s="1017">
        <f t="shared" si="15"/>
        <v>0</v>
      </c>
      <c r="G62" s="1023" t="s">
        <v>2596</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2597</v>
      </c>
      <c r="B63" s="224">
        <f t="shared" si="17"/>
        <v>0</v>
      </c>
      <c r="C63" s="176">
        <f t="shared" si="16"/>
        <v>0</v>
      </c>
      <c r="D63" s="1076">
        <v>0.25</v>
      </c>
      <c r="E63" s="223">
        <f>'数据-汇总表'!E13</f>
        <v>0</v>
      </c>
      <c r="F63" s="1017">
        <f t="shared" si="15"/>
        <v>0</v>
      </c>
      <c r="G63" s="1023" t="s">
        <v>2598</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2599</v>
      </c>
      <c r="B64" s="224">
        <f t="shared" si="17"/>
        <v>0</v>
      </c>
      <c r="C64" s="176">
        <f t="shared" si="16"/>
        <v>0</v>
      </c>
      <c r="D64" s="1076">
        <v>0.25</v>
      </c>
      <c r="E64" s="223">
        <f>'数据-汇总表'!E14</f>
        <v>0</v>
      </c>
      <c r="F64" s="1017">
        <f t="shared" si="15"/>
        <v>0</v>
      </c>
      <c r="G64" s="2172" t="s">
        <v>2589</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2600</v>
      </c>
      <c r="B65" s="224">
        <f t="shared" si="17"/>
        <v>0</v>
      </c>
      <c r="C65" s="176">
        <f t="shared" si="16"/>
        <v>0</v>
      </c>
      <c r="D65" s="1076">
        <v>0.25</v>
      </c>
      <c r="E65" s="223">
        <f>'数据-汇总表'!E15</f>
        <v>0</v>
      </c>
      <c r="F65" s="1017">
        <f t="shared" si="15"/>
        <v>0</v>
      </c>
      <c r="G65" s="2173" t="s">
        <v>2594</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2601</v>
      </c>
      <c r="B66" s="652" t="s">
        <v>28</v>
      </c>
      <c r="C66" s="652" t="s">
        <v>29</v>
      </c>
      <c r="D66" s="652" t="s">
        <v>997</v>
      </c>
      <c r="E66" s="652">
        <f>IF(B46="楼面地价",SUM(E56:E65),'数据-汇总表'!D3)</f>
        <v>133089</v>
      </c>
      <c r="F66" s="653">
        <f>IF(B46="楼面地价",SUM(F56:F65),ROUND(C48*E66/10000,0))</f>
        <v>46767</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2602</v>
      </c>
      <c r="B70" s="1269"/>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4"/>
      <c r="Q70" s="2969"/>
      <c r="R70" s="2969"/>
      <c r="S70" s="2969"/>
      <c r="T70" s="2969"/>
      <c r="U70" s="2969"/>
      <c r="V70" s="2969"/>
      <c r="W70" s="2969"/>
      <c r="X70" s="2969"/>
      <c r="Y70" s="2969"/>
      <c r="Z70" s="2969"/>
      <c r="AA70" s="2969"/>
      <c r="AB70" s="2969"/>
      <c r="AC70" s="2969"/>
    </row>
    <row r="71" spans="1:29" s="113" customFormat="1" ht="30" customHeight="1">
      <c r="A71" s="2175" t="s">
        <v>2603</v>
      </c>
      <c r="B71" s="294" t="str">
        <f>"北京市平均增长率"&amp;TEXT(SUMIF(基准地价修正!N21:N25,A71,基准地价修正!P21:P25),"0.00%")</f>
        <v>北京市平均增长率1.83%</v>
      </c>
      <c r="C71" s="560">
        <v>100</v>
      </c>
      <c r="D71" s="552">
        <v>99.5</v>
      </c>
      <c r="E71" s="552">
        <v>99</v>
      </c>
      <c r="F71" s="552">
        <v>98.5</v>
      </c>
      <c r="G71" s="552">
        <v>98</v>
      </c>
      <c r="H71" s="552">
        <v>97.5</v>
      </c>
      <c r="I71" s="552">
        <v>97</v>
      </c>
      <c r="J71" s="552">
        <v>96.5</v>
      </c>
      <c r="K71" s="552">
        <v>96</v>
      </c>
      <c r="L71" s="552">
        <v>95.5</v>
      </c>
      <c r="M71" s="552">
        <v>95</v>
      </c>
      <c r="N71" s="552">
        <v>94.5</v>
      </c>
      <c r="O71" s="1340"/>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3103" t="s">
        <v>3192</v>
      </c>
      <c r="D75" s="3103" t="s">
        <v>3193</v>
      </c>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v>100</v>
      </c>
      <c r="D76" s="493">
        <v>95</v>
      </c>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0（含）-1</v>
      </c>
      <c r="D79" s="504" t="str">
        <f t="shared" ref="D79:L79" si="20">D80&amp;"（含）"&amp;"-"&amp;E80</f>
        <v>1（含）-2</v>
      </c>
      <c r="E79" s="504" t="str">
        <f t="shared" si="20"/>
        <v>2（含）-3</v>
      </c>
      <c r="F79" s="504" t="str">
        <f t="shared" si="20"/>
        <v>3（含）-4</v>
      </c>
      <c r="G79" s="504" t="str">
        <f t="shared" si="20"/>
        <v>4（含）-5</v>
      </c>
      <c r="H79" s="504" t="str">
        <f t="shared" si="20"/>
        <v>5（含）-6</v>
      </c>
      <c r="I79" s="504" t="str">
        <f t="shared" si="20"/>
        <v>6（含）-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v>0</v>
      </c>
      <c r="D80" s="506">
        <v>1</v>
      </c>
      <c r="E80" s="506">
        <v>2</v>
      </c>
      <c r="F80" s="506">
        <v>3</v>
      </c>
      <c r="G80" s="506">
        <v>4</v>
      </c>
      <c r="H80" s="506">
        <v>5</v>
      </c>
      <c r="I80" s="506">
        <v>6</v>
      </c>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102</v>
      </c>
      <c r="E81" s="501">
        <f t="shared" si="21"/>
        <v>104</v>
      </c>
      <c r="F81" s="501">
        <f t="shared" si="21"/>
        <v>106</v>
      </c>
      <c r="G81" s="501">
        <f t="shared" si="21"/>
        <v>108</v>
      </c>
      <c r="H81" s="501">
        <f t="shared" si="21"/>
        <v>110</v>
      </c>
      <c r="I81" s="501">
        <f t="shared" si="21"/>
        <v>112</v>
      </c>
      <c r="J81" s="501">
        <f t="shared" si="21"/>
        <v>114</v>
      </c>
      <c r="K81" s="501">
        <f t="shared" si="21"/>
        <v>116</v>
      </c>
      <c r="L81" s="501">
        <f t="shared" si="21"/>
        <v>118</v>
      </c>
      <c r="M81" s="501">
        <f t="shared" si="21"/>
        <v>120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2604</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2605</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2606</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ht="28.5">
      <c r="A116" s="484" t="s">
        <v>2384</v>
      </c>
      <c r="B116" s="485" t="s">
        <v>2611</v>
      </c>
      <c r="C116" s="486" t="str">
        <f>C117&amp;"(含)"&amp;"-"&amp;D117</f>
        <v>0(含)-50000</v>
      </c>
      <c r="D116" s="486" t="str">
        <f t="shared" ref="D116:M116" si="25">D117&amp;"(含)"&amp;"-"&amp;E117</f>
        <v>50000(含)-100000</v>
      </c>
      <c r="E116" s="486" t="str">
        <f t="shared" si="25"/>
        <v>100000(含)-150000</v>
      </c>
      <c r="F116" s="486" t="str">
        <f t="shared" si="25"/>
        <v>150000(含)-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v>0</v>
      </c>
      <c r="D117" s="552">
        <v>50000</v>
      </c>
      <c r="E117" s="552">
        <v>100000</v>
      </c>
      <c r="F117" s="552">
        <v>150000</v>
      </c>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v>100</v>
      </c>
      <c r="D118" s="548">
        <v>102</v>
      </c>
      <c r="E118" s="548">
        <v>104</v>
      </c>
      <c r="F118" s="548">
        <v>106</v>
      </c>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2612</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2613</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2614</v>
      </c>
      <c r="C123" s="3105" t="s">
        <v>3194</v>
      </c>
      <c r="D123" s="3105" t="s">
        <v>3196</v>
      </c>
      <c r="E123" s="3105" t="s">
        <v>3195</v>
      </c>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98</v>
      </c>
      <c r="E124" s="501">
        <f t="shared" ref="E124:M124" si="28">D124-$K41</f>
        <v>96</v>
      </c>
      <c r="F124" s="501">
        <f t="shared" si="28"/>
        <v>94</v>
      </c>
      <c r="G124" s="501">
        <f t="shared" si="28"/>
        <v>92</v>
      </c>
      <c r="H124" s="501">
        <f t="shared" si="28"/>
        <v>90</v>
      </c>
      <c r="I124" s="501">
        <f t="shared" si="28"/>
        <v>88</v>
      </c>
      <c r="J124" s="501">
        <f t="shared" si="28"/>
        <v>86</v>
      </c>
      <c r="K124" s="501">
        <f t="shared" si="28"/>
        <v>84</v>
      </c>
      <c r="L124" s="501">
        <f t="shared" si="28"/>
        <v>82</v>
      </c>
      <c r="M124" s="502">
        <f t="shared" si="28"/>
        <v>80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2615</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1.0551999999999999</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xr:uid="{00000000-0002-0000-1600-000000000000}">
      <formula1>住宅朝向</formula1>
    </dataValidation>
    <dataValidation type="list" allowBlank="1" showInputMessage="1" showErrorMessage="1" sqref="E28 C28 G28 I28" xr:uid="{00000000-0002-0000-1600-000001000000}">
      <formula1>公共配套设施</formula1>
    </dataValidation>
    <dataValidation type="list" allowBlank="1" showInputMessage="1" showErrorMessage="1" sqref="E22 C22 G22 I22" xr:uid="{00000000-0002-0000-1600-000002000000}">
      <formula1>交通便捷度</formula1>
    </dataValidation>
    <dataValidation type="list" allowBlank="1" showInputMessage="1" showErrorMessage="1" sqref="E16 G16 I16 C16" xr:uid="{00000000-0002-0000-1600-000003000000}">
      <formula1>居住社区成熟度</formula1>
    </dataValidation>
    <dataValidation type="list" allowBlank="1" showInputMessage="1" showErrorMessage="1" sqref="C26 E26 G26 I26" xr:uid="{00000000-0002-0000-1600-000004000000}">
      <formula1>环境</formula1>
    </dataValidation>
    <dataValidation type="list" allowBlank="1" showInputMessage="1" showErrorMessage="1" sqref="B46" xr:uid="{00000000-0002-0000-1600-000005000000}">
      <formula1>单价内涵</formula1>
    </dataValidation>
    <dataValidation type="list" allowBlank="1" showInputMessage="1" showErrorMessage="1" sqref="C8 E8 G8 I8" xr:uid="{00000000-0002-0000-1600-000006000000}">
      <formula1>套综交易情况</formula1>
    </dataValidation>
    <dataValidation type="list" allowBlank="1" showInputMessage="1" showErrorMessage="1" sqref="C9 E9 G9 I9" xr:uid="{00000000-0002-0000-1600-000007000000}">
      <formula1>套综用途</formula1>
    </dataValidation>
    <dataValidation type="list" allowBlank="1" showInputMessage="1" showErrorMessage="1" sqref="E18 C18 G18 I18" xr:uid="{00000000-0002-0000-1600-000008000000}">
      <formula1>商业繁华度</formula1>
    </dataValidation>
    <dataValidation type="list" allowBlank="1" showInputMessage="1" showErrorMessage="1" sqref="E20 C20 G20 I20" xr:uid="{00000000-0002-0000-1600-000009000000}">
      <formula1>办公集聚程度</formula1>
    </dataValidation>
    <dataValidation type="list" allowBlank="1" showInputMessage="1" showErrorMessage="1" sqref="C33 E33 G33 I33" xr:uid="{00000000-0002-0000-1600-00000A000000}">
      <formula1>套综道路等级</formula1>
    </dataValidation>
    <dataValidation type="list" allowBlank="1" showInputMessage="1" showErrorMessage="1" sqref="C34 E34 G34 I34" xr:uid="{00000000-0002-0000-1600-00000B000000}">
      <formula1>套综土地级别</formula1>
    </dataValidation>
    <dataValidation type="list" allowBlank="1" showInputMessage="1" showErrorMessage="1" sqref="C39 E39 G39 I39" xr:uid="{00000000-0002-0000-1600-00000C000000}">
      <formula1>套综宗地形状</formula1>
    </dataValidation>
    <dataValidation type="list" allowBlank="1" showInputMessage="1" showErrorMessage="1" sqref="C40 E40 G40 I40" xr:uid="{00000000-0002-0000-1600-00000D000000}">
      <formula1>套综临街宽度及深度</formula1>
    </dataValidation>
    <dataValidation type="list" allowBlank="1" showInputMessage="1" showErrorMessage="1" sqref="C41 E41 G41 I41" xr:uid="{00000000-0002-0000-1600-00000E000000}">
      <formula1>套综宗地内开发程度</formula1>
    </dataValidation>
    <dataValidation type="list" allowBlank="1" showInputMessage="1" showErrorMessage="1" sqref="C42 E42 G42 I42" xr:uid="{00000000-0002-0000-1600-00000F000000}">
      <formula1>套综工程地质条件</formula1>
    </dataValidation>
    <dataValidation type="list" allowBlank="1" showInputMessage="1" showErrorMessage="1" sqref="C31 E31 G31 I31" xr:uid="{00000000-0002-0000-1600-000010000000}">
      <formula1>临街状况</formula1>
    </dataValidation>
    <dataValidation type="list" allowBlank="1" showInputMessage="1" showErrorMessage="1" sqref="E24 G24 I24 C24" xr:uid="{00000000-0002-0000-1600-000011000000}">
      <formula1>区域土地利用方向</formula1>
    </dataValidation>
    <dataValidation type="list" allowBlank="1" showInputMessage="1" showErrorMessage="1" sqref="C55" xr:uid="{00000000-0002-0000-1600-000012000000}">
      <formula1>"北京市系数,其他省市系数"</formula1>
    </dataValidation>
    <dataValidation type="list" allowBlank="1" showInputMessage="1" showErrorMessage="1" sqref="G62" xr:uid="{00000000-0002-0000-1600-000013000000}">
      <formula1>"商业,办公,住宅,工业"</formula1>
    </dataValidation>
    <dataValidation type="list" allowBlank="1" showInputMessage="1" showErrorMessage="1" sqref="G63" xr:uid="{00000000-0002-0000-1600-000014000000}">
      <formula1>"住宅,工业"</formula1>
    </dataValidation>
    <dataValidation type="list" allowBlank="1" showInputMessage="1" showErrorMessage="1" sqref="D57:D65" xr:uid="{00000000-0002-0000-1600-000015000000}">
      <formula1>"25%,1"</formula1>
    </dataValidation>
    <dataValidation type="list" allowBlank="1" showInputMessage="1" showErrorMessage="1" sqref="C30 E30 G30 I30" xr:uid="{00000000-0002-0000-1600-000016000000}">
      <formula1>基础设施水平</formula1>
    </dataValidation>
    <dataValidation type="list" allowBlank="1" showInputMessage="1" showErrorMessage="1" sqref="A71" xr:uid="{00000000-0002-0000-1600-000017000000}">
      <formula1>"综合,商业,办公,住宅"</formula1>
    </dataValidation>
    <dataValidation type="list" allowBlank="1" showInputMessage="1" showErrorMessage="1" sqref="D47"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B28" zoomScale="70" zoomScaleNormal="70" zoomScaleSheetLayoutView="70"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3178</v>
      </c>
      <c r="D1" s="1545" t="s">
        <v>70</v>
      </c>
      <c r="E1" s="1546" t="s">
        <v>1352</v>
      </c>
      <c r="F1" s="1193">
        <f ca="1">J53</f>
        <v>42.08</v>
      </c>
      <c r="G1" s="1561">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12088</v>
      </c>
      <c r="C2" s="1570" t="s">
        <v>1481</v>
      </c>
      <c r="D2" s="1570"/>
      <c r="E2" s="1571"/>
      <c r="F2" s="1572"/>
      <c r="G2" s="2934"/>
      <c r="H2" s="2923"/>
      <c r="I2" s="2923"/>
      <c r="J2" s="2923"/>
      <c r="K2" s="2924"/>
      <c r="L2" s="2923"/>
      <c r="M2" s="2923"/>
    </row>
    <row r="3" spans="1:37" ht="18" customHeight="1" thickBot="1">
      <c r="A3" s="1573" t="s">
        <v>1482</v>
      </c>
      <c r="B3" s="1574">
        <f ca="1">IF(ISERROR(B2*10000/F43),0,ROUND(B2*10000/F43,0))</f>
        <v>3224</v>
      </c>
      <c r="C3" s="1570" t="s">
        <v>1483</v>
      </c>
      <c r="D3" s="1570"/>
      <c r="E3" s="1571"/>
      <c r="F3" s="1572"/>
      <c r="G3" s="2934"/>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1918</v>
      </c>
      <c r="D5" s="1547" t="s">
        <v>1367</v>
      </c>
      <c r="E5" s="1203"/>
      <c r="F5" s="1204"/>
      <c r="G5" s="1567"/>
      <c r="H5" s="305">
        <v>1</v>
      </c>
      <c r="I5" s="306" t="s">
        <v>1366</v>
      </c>
      <c r="J5" s="1202">
        <f ca="1">J6+J10+J12</f>
        <v>0</v>
      </c>
      <c r="K5" s="1547" t="s">
        <v>1367</v>
      </c>
      <c r="L5" s="1203"/>
      <c r="M5" s="1204"/>
    </row>
    <row r="6" spans="1:37" ht="18" customHeight="1">
      <c r="A6" s="1201" t="s">
        <v>1003</v>
      </c>
      <c r="B6" s="3344" t="s">
        <v>1368</v>
      </c>
      <c r="C6" s="1206">
        <f ca="1">ROUND(F6*F8*F7*(1-F9)/10000,0)</f>
        <v>1916</v>
      </c>
      <c r="D6" s="160" t="s">
        <v>2850</v>
      </c>
      <c r="E6" s="308" t="s">
        <v>1370</v>
      </c>
      <c r="F6" s="309">
        <f ca="1">INDIRECT("'数据-取费表'!u"&amp;$G$1)</f>
        <v>2</v>
      </c>
      <c r="G6" s="1567"/>
      <c r="H6" s="1201" t="s">
        <v>1003</v>
      </c>
      <c r="I6" s="3344" t="s">
        <v>1368</v>
      </c>
      <c r="J6" s="307">
        <f ca="1">ROUND(M6*M8*M7*(1-M9)/10000,0)</f>
        <v>0</v>
      </c>
      <c r="K6" s="160" t="s">
        <v>2849</v>
      </c>
      <c r="L6" s="308" t="s">
        <v>1370</v>
      </c>
      <c r="M6" s="309">
        <f ca="1">INDIRECT("'数据-取费表'!z"&amp;$G$1)</f>
        <v>0</v>
      </c>
    </row>
    <row r="7" spans="1:37" ht="18" customHeight="1">
      <c r="A7" s="1205"/>
      <c r="B7" s="3345"/>
      <c r="C7" s="1207"/>
      <c r="D7" s="313"/>
      <c r="E7" s="1208" t="s">
        <v>1371</v>
      </c>
      <c r="F7" s="309">
        <f ca="1">IF(INDIRECT("'数据-取费表'!ah"&amp;$G$1)="",INDIRECT("'数据-取费表'!k"&amp;$G$1),INDIRECT("'数据-取费表'!ah"&amp;$G$1))</f>
        <v>37495.14</v>
      </c>
      <c r="G7" s="1567"/>
      <c r="H7" s="310"/>
      <c r="I7" s="3345"/>
      <c r="J7" s="312"/>
      <c r="K7" s="313"/>
      <c r="L7" s="308" t="s">
        <v>1371</v>
      </c>
      <c r="M7" s="309">
        <f ca="1">F7</f>
        <v>37495.14</v>
      </c>
    </row>
    <row r="8" spans="1:37" ht="18" customHeight="1">
      <c r="A8" s="310"/>
      <c r="B8" s="3345"/>
      <c r="C8" s="312"/>
      <c r="D8" s="313"/>
      <c r="E8" s="308" t="s">
        <v>1372</v>
      </c>
      <c r="F8" s="309">
        <f ca="1">INDIRECT("'数据-取费表'!ai"&amp;$G$1)</f>
        <v>365</v>
      </c>
      <c r="G8" s="1567"/>
      <c r="H8" s="310"/>
      <c r="I8" s="3345"/>
      <c r="J8" s="312"/>
      <c r="K8" s="313"/>
      <c r="L8" s="308" t="s">
        <v>1372</v>
      </c>
      <c r="M8" s="309">
        <f ca="1">INDIRECT("'数据-取费表'!ai"&amp;$G$1)</f>
        <v>365</v>
      </c>
    </row>
    <row r="9" spans="1:37" ht="18" customHeight="1">
      <c r="A9" s="310"/>
      <c r="B9" s="3346"/>
      <c r="C9" s="312"/>
      <c r="D9" s="313"/>
      <c r="E9" s="308" t="s">
        <v>1373</v>
      </c>
      <c r="F9" s="318">
        <f ca="1">INDIRECT("'数据-取费表'!w"&amp;$G$1)</f>
        <v>0.3</v>
      </c>
      <c r="G9" s="1567"/>
      <c r="H9" s="310"/>
      <c r="I9" s="3346"/>
      <c r="J9" s="312"/>
      <c r="K9" s="313"/>
      <c r="L9" s="319" t="s">
        <v>1373</v>
      </c>
      <c r="M9" s="320">
        <f ca="1">INDIRECT("'数据-取费表'!ab"&amp;$G$1)</f>
        <v>0</v>
      </c>
    </row>
    <row r="10" spans="1:37" ht="18" customHeight="1">
      <c r="A10" s="1201" t="s">
        <v>1007</v>
      </c>
      <c r="B10" s="1548" t="s">
        <v>1374</v>
      </c>
      <c r="C10" s="322">
        <f ca="1">ROUND(IF(F10="押一",C6/12*F11,IF(F10="押二",C6/12*2*F11,IF(F10="押三",C6/12*3*F11,C11*F11))),0)</f>
        <v>2</v>
      </c>
      <c r="D10" s="1549" t="s">
        <v>2858</v>
      </c>
      <c r="E10" s="319" t="s">
        <v>1375</v>
      </c>
      <c r="F10" s="1276" t="s">
        <v>3171</v>
      </c>
      <c r="G10" s="1567"/>
      <c r="H10" s="1201" t="s">
        <v>1007</v>
      </c>
      <c r="I10" s="1548" t="s">
        <v>1374</v>
      </c>
      <c r="J10" s="307">
        <f ca="1">ROUND(IF(M10="押一",J6/12*M11,IF(M10="押二",J6/12*2*M11,IF(M10="押三",J6/12*3*M11,J11*M11))),0)</f>
        <v>0</v>
      </c>
      <c r="K10" s="1549" t="s">
        <v>2857</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74454</v>
      </c>
      <c r="D13" s="1241" t="s">
        <v>1380</v>
      </c>
      <c r="E13" s="1241" t="s">
        <v>1381</v>
      </c>
      <c r="F13" s="1242">
        <f ca="1">INDIRECT("'数据-取费表'!y"&amp;$G$1)</f>
        <v>0.97</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56243</v>
      </c>
      <c r="D14" s="1528" t="s">
        <v>1383</v>
      </c>
      <c r="E14" s="1525"/>
      <c r="F14" s="325"/>
      <c r="G14" s="1567"/>
      <c r="H14" s="1113" t="s">
        <v>1003</v>
      </c>
      <c r="I14" s="308" t="s">
        <v>1384</v>
      </c>
      <c r="J14" s="24">
        <f ca="1">C29</f>
        <v>76757</v>
      </c>
      <c r="K14" s="15"/>
      <c r="L14" s="916"/>
      <c r="M14" s="917"/>
    </row>
    <row r="15" spans="1:37" s="1580" customFormat="1" ht="18" customHeight="1" thickBot="1">
      <c r="A15" s="1113" t="s">
        <v>1004</v>
      </c>
      <c r="B15" s="308" t="s">
        <v>1385</v>
      </c>
      <c r="C15" s="24">
        <f ca="1">ROUND(C14*F15,0)</f>
        <v>1687</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1508</v>
      </c>
      <c r="K16" s="1247" t="s">
        <v>1390</v>
      </c>
      <c r="L16" s="1248"/>
      <c r="M16" s="1204"/>
    </row>
    <row r="17" spans="1:37" s="1580" customFormat="1" ht="18" customHeight="1">
      <c r="A17" s="1113" t="s">
        <v>1355</v>
      </c>
      <c r="B17" s="308" t="s">
        <v>1391</v>
      </c>
      <c r="C17" s="24">
        <f ca="1">ROUND(F17*(F43+INDIRECT("'数据-取费表'!S"&amp;$G$1))/10000,0)</f>
        <v>750</v>
      </c>
      <c r="D17" s="308" t="s">
        <v>1392</v>
      </c>
      <c r="E17" s="308" t="s">
        <v>1393</v>
      </c>
      <c r="F17" s="26">
        <f>'数据-取费表'!B35</f>
        <v>200</v>
      </c>
      <c r="G17" s="1579"/>
      <c r="H17" s="1113" t="s">
        <v>1003</v>
      </c>
      <c r="I17" s="308" t="s">
        <v>1394</v>
      </c>
      <c r="J17" s="2533">
        <f ca="1">ROUND(IF(AND(项目基本情况!B11="自然人",项目基本情况!B10="北京市"),J6*M17/(1+'数据-取费表'!C42),J18+J19+J20),0)</f>
        <v>740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844</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59524</v>
      </c>
      <c r="D19" s="136" t="s">
        <v>1401</v>
      </c>
      <c r="E19" s="1543"/>
      <c r="F19" s="26"/>
      <c r="G19" s="1567"/>
      <c r="H19" s="1113" t="s">
        <v>1004</v>
      </c>
      <c r="I19" s="308" t="s">
        <v>1402</v>
      </c>
      <c r="J19" s="24">
        <f ca="1">IF(K19="按租金收入计税",ROUND(J6*M19/(1+'数据-取费表'!C42),2),ROUND(C29*M19*0.7,2))</f>
        <v>644.76</v>
      </c>
      <c r="K19" s="1553" t="s">
        <v>1403</v>
      </c>
      <c r="L19" s="308" t="s">
        <v>1387</v>
      </c>
      <c r="M19" s="328">
        <f>IF(K19="按租金收入计税",'数据-取费表'!B51,'数据-取费表'!B50)</f>
        <v>1.2E-2</v>
      </c>
    </row>
    <row r="20" spans="1:37" s="1580" customFormat="1" ht="18" customHeight="1">
      <c r="A20" s="1113" t="s">
        <v>1007</v>
      </c>
      <c r="B20" s="308" t="s">
        <v>1404</v>
      </c>
      <c r="C20" s="24">
        <f ca="1">ROUND(C19*F20,0)</f>
        <v>595</v>
      </c>
      <c r="D20" s="329" t="s">
        <v>1405</v>
      </c>
      <c r="E20" s="308" t="s">
        <v>1387</v>
      </c>
      <c r="F20" s="328">
        <f>'数据-取费表'!B37</f>
        <v>0.01</v>
      </c>
      <c r="G20" s="1579"/>
      <c r="H20" s="1113" t="s">
        <v>1354</v>
      </c>
      <c r="I20" s="160" t="s">
        <v>1406</v>
      </c>
      <c r="J20" s="25">
        <f ca="1">ROUND(M20*M21/10000,2)</f>
        <v>95.06</v>
      </c>
      <c r="K20" s="330" t="s">
        <v>1407</v>
      </c>
      <c r="L20" s="308" t="s">
        <v>1408</v>
      </c>
      <c r="M20" s="331">
        <f>'数据-取费表'!B52</f>
        <v>11.2</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0.01</v>
      </c>
      <c r="G21" s="1579"/>
      <c r="H21" s="332"/>
      <c r="I21" s="317"/>
      <c r="J21" s="29"/>
      <c r="K21" s="333"/>
      <c r="L21" s="308" t="s">
        <v>1412</v>
      </c>
      <c r="M21" s="309">
        <f ca="1">INDIRECT("'数据-取费表'!r"&amp;$G$1)</f>
        <v>84875.29</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767.6</v>
      </c>
      <c r="K22" s="1527" t="s">
        <v>1415</v>
      </c>
      <c r="L22" s="308" t="s">
        <v>1387</v>
      </c>
      <c r="M22" s="334">
        <f ca="1">INDIRECT("'数据-取费表'!Ak"&amp;$G$1)</f>
        <v>0.01</v>
      </c>
    </row>
    <row r="23" spans="1:37" s="1580" customFormat="1" ht="18" customHeight="1">
      <c r="A23" s="1113" t="s">
        <v>1002</v>
      </c>
      <c r="B23" s="308" t="s">
        <v>1416</v>
      </c>
      <c r="C23" s="24">
        <f ca="1">IF('数据-取费表'!B22&lt;=1,ROUND(C19*F24*F23/2,0)+ROUND(C20*F24*F23/2,0),ROUND(C19*(POWER((1+F24),F23/2)-1),0)+ROUND(C20*(POWER((1+F24),F23/2)-1),0))</f>
        <v>2615</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ROUND(J5*M24,1)</f>
        <v>0</v>
      </c>
      <c r="K24" s="1252" t="s">
        <v>1424</v>
      </c>
      <c r="L24" s="1250" t="s">
        <v>1420</v>
      </c>
      <c r="M24" s="1246">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-1508</v>
      </c>
      <c r="K25" s="1255" t="s">
        <v>1429</v>
      </c>
      <c r="L25" s="1256"/>
      <c r="M25" s="1257"/>
    </row>
    <row r="26" spans="1:37">
      <c r="A26" s="1113" t="s">
        <v>1002</v>
      </c>
      <c r="B26" s="308" t="s">
        <v>1430</v>
      </c>
      <c r="C26" s="24">
        <f ca="1">ROUND((C19+C20)*F26,0)</f>
        <v>9018</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1.5E-3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76757</v>
      </c>
      <c r="D29" s="1252"/>
      <c r="E29" s="1250"/>
      <c r="F29" s="1253"/>
      <c r="G29" s="1579"/>
      <c r="H29" s="340" t="s">
        <v>1001</v>
      </c>
      <c r="I29" s="341" t="s">
        <v>1444</v>
      </c>
      <c r="J29" s="342">
        <f ca="1">ROUND(J26/(1+F40)^F41,0)</f>
        <v>0</v>
      </c>
      <c r="K29" s="343" t="s">
        <v>1445</v>
      </c>
      <c r="L29" s="344"/>
      <c r="M29" s="345">
        <f ca="1">INDIRECT("'数据-取费表'!k"&amp;$G$1)</f>
        <v>37495.14</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1315</v>
      </c>
      <c r="D30" s="1247" t="s">
        <v>1390</v>
      </c>
      <c r="E30" s="1248"/>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416</v>
      </c>
      <c r="D31" s="1528" t="s">
        <v>1395</v>
      </c>
      <c r="E31" s="1527"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3" t="s">
        <v>1002</v>
      </c>
      <c r="B32" s="308" t="s">
        <v>1398</v>
      </c>
      <c r="C32" s="24">
        <f ca="1">IF(项目基本情况!B11="自然人","——",ROUND(C6*F32/(1+'数据-取费表'!C42),2))</f>
        <v>102.19</v>
      </c>
      <c r="D32" s="1527"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218.97</v>
      </c>
      <c r="D33" s="1553" t="s">
        <v>3172</v>
      </c>
      <c r="E33" s="308" t="s">
        <v>1387</v>
      </c>
      <c r="F33" s="328">
        <f>IF(D33="按票据","——",IF(D33="按租金收入计税",'数据-取费表'!B51,'数据-取费表'!B50))</f>
        <v>0.12</v>
      </c>
      <c r="G33" s="1567"/>
      <c r="H33" s="2928"/>
      <c r="I33" s="1581"/>
      <c r="J33" s="1582"/>
      <c r="K33" s="2929"/>
      <c r="L33" s="2928"/>
      <c r="M33" s="2928"/>
    </row>
    <row r="34" spans="1:18" ht="18" customHeight="1">
      <c r="A34" s="1201" t="s">
        <v>1354</v>
      </c>
      <c r="B34" s="160" t="s">
        <v>1406</v>
      </c>
      <c r="C34" s="25">
        <f ca="1">IF(项目基本情况!B11="自然人","——",ROUND(F34*F35/10000,2))</f>
        <v>95.06</v>
      </c>
      <c r="D34" s="330" t="s">
        <v>1407</v>
      </c>
      <c r="E34" s="308" t="s">
        <v>1408</v>
      </c>
      <c r="F34" s="331">
        <f>'数据-取费表'!B52</f>
        <v>11.2</v>
      </c>
      <c r="G34" s="1567"/>
      <c r="H34" s="2925"/>
      <c r="I34" s="1581"/>
      <c r="J34" s="1582"/>
      <c r="K34" s="2930"/>
      <c r="L34" s="2931"/>
      <c r="M34" s="2931"/>
    </row>
    <row r="35" spans="1:18" ht="18" customHeight="1">
      <c r="A35" s="1263"/>
      <c r="B35" s="1261"/>
      <c r="C35" s="29"/>
      <c r="D35" s="333"/>
      <c r="E35" s="308" t="s">
        <v>1412</v>
      </c>
      <c r="F35" s="309">
        <f ca="1">INDIRECT("'数据-取费表'!r"&amp;$G$1)</f>
        <v>84875.29</v>
      </c>
      <c r="G35" s="1567"/>
      <c r="H35" s="2925"/>
      <c r="I35" s="1581"/>
      <c r="J35" s="1582"/>
      <c r="K35" s="2929"/>
      <c r="L35" s="2928"/>
      <c r="M35" s="2928"/>
    </row>
    <row r="36" spans="1:18" ht="18" customHeight="1">
      <c r="A36" s="1262" t="s">
        <v>1007</v>
      </c>
      <c r="B36" s="308" t="s">
        <v>1414</v>
      </c>
      <c r="C36" s="24">
        <f ca="1">ROUND(C29*F36,1)</f>
        <v>767.6</v>
      </c>
      <c r="D36" s="1527" t="s">
        <v>1447</v>
      </c>
      <c r="E36" s="308" t="s">
        <v>1387</v>
      </c>
      <c r="F36" s="334">
        <f ca="1">INDIRECT("'数据-取费表'!Ak"&amp;$G$1)</f>
        <v>0.01</v>
      </c>
      <c r="G36" s="1567"/>
      <c r="H36" s="2928"/>
      <c r="I36" s="1581"/>
      <c r="J36" s="1582"/>
      <c r="K36" s="2769"/>
      <c r="L36" s="2928"/>
      <c r="M36" s="2928"/>
    </row>
    <row r="37" spans="1:18" ht="18" customHeight="1">
      <c r="A37" s="1113" t="s">
        <v>1043</v>
      </c>
      <c r="B37" s="308" t="s">
        <v>1418</v>
      </c>
      <c r="C37" s="24">
        <f ca="1">ROUND(C13*F37,1)</f>
        <v>111.7</v>
      </c>
      <c r="D37" s="1527" t="s">
        <v>1419</v>
      </c>
      <c r="E37" s="308" t="s">
        <v>1420</v>
      </c>
      <c r="F37" s="336">
        <f ca="1">INDIRECT("'数据-取费表'!Al"&amp;$G$1)</f>
        <v>1.5E-3</v>
      </c>
      <c r="G37" s="1567"/>
      <c r="H37" s="2928"/>
      <c r="I37" s="1581"/>
      <c r="J37" s="1582"/>
      <c r="K37" s="2769"/>
      <c r="L37" s="2928"/>
      <c r="M37" s="2928"/>
    </row>
    <row r="38" spans="1:18" ht="18" customHeight="1" thickBot="1">
      <c r="A38" s="1249" t="s">
        <v>1358</v>
      </c>
      <c r="B38" s="1250" t="s">
        <v>1404</v>
      </c>
      <c r="C38" s="1251">
        <f ca="1">ROUND(C5*F38,1)</f>
        <v>19.2</v>
      </c>
      <c r="D38" s="1252" t="s">
        <v>1424</v>
      </c>
      <c r="E38" s="1250" t="s">
        <v>1420</v>
      </c>
      <c r="F38" s="1246">
        <f ca="1">INDIRECT("'数据-取费表'!Am"&amp;$G$1)</f>
        <v>0.01</v>
      </c>
      <c r="G38" s="1567"/>
      <c r="H38" s="2928"/>
      <c r="I38" s="1581"/>
      <c r="J38" s="1582"/>
      <c r="K38" s="2932"/>
      <c r="L38" s="2928"/>
      <c r="M38" s="2928"/>
    </row>
    <row r="39" spans="1:18" ht="24.6" customHeight="1" thickTop="1">
      <c r="A39" s="1239" t="s">
        <v>999</v>
      </c>
      <c r="B39" s="1254" t="s">
        <v>1448</v>
      </c>
      <c r="C39" s="316">
        <f ca="1">C5-C30</f>
        <v>603</v>
      </c>
      <c r="D39" s="1255" t="s">
        <v>1449</v>
      </c>
      <c r="E39" s="1256"/>
      <c r="F39" s="1257"/>
      <c r="G39" s="1567"/>
      <c r="H39" s="2928"/>
      <c r="I39" s="1581"/>
      <c r="J39" s="1582"/>
      <c r="K39" s="2932"/>
      <c r="L39" s="2928"/>
      <c r="M39" s="2928"/>
    </row>
    <row r="40" spans="1:18" ht="18" customHeight="1">
      <c r="A40" s="305" t="s">
        <v>1000</v>
      </c>
      <c r="B40" s="306" t="s">
        <v>1450</v>
      </c>
      <c r="C40" s="307">
        <f ca="1">ROUND(C39*(1-((1+F42)/(1+F40))^F41)/(F40-F42),0)</f>
        <v>12088</v>
      </c>
      <c r="D40" s="330" t="s">
        <v>1434</v>
      </c>
      <c r="E40" s="308" t="s">
        <v>1435</v>
      </c>
      <c r="F40" s="318">
        <f ca="1">INDIRECT("'数据-取费表'!I"&amp;$G$1)</f>
        <v>0.06</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42.08</v>
      </c>
      <c r="G41" s="1567"/>
      <c r="H41" s="1352"/>
      <c r="I41" s="1581"/>
      <c r="J41" s="1582"/>
      <c r="K41" s="2769"/>
      <c r="L41" s="1352"/>
      <c r="M41" s="1352"/>
    </row>
    <row r="42" spans="1:18" ht="18" customHeight="1">
      <c r="A42" s="314"/>
      <c r="B42" s="315"/>
      <c r="C42" s="316"/>
      <c r="D42" s="333"/>
      <c r="E42" s="308" t="s">
        <v>1442</v>
      </c>
      <c r="F42" s="318">
        <f ca="1">INDIRECT("'数据-取费表'!v"&amp;$G$1)</f>
        <v>0.02</v>
      </c>
      <c r="G42" s="1567"/>
      <c r="H42" s="1352"/>
      <c r="I42" s="1581"/>
      <c r="J42" s="1582"/>
      <c r="K42" s="2769"/>
      <c r="L42" s="1352"/>
      <c r="M42" s="1352"/>
    </row>
    <row r="43" spans="1:18" ht="18" customHeight="1" thickBot="1">
      <c r="A43" s="340" t="s">
        <v>1001</v>
      </c>
      <c r="B43" s="341" t="s">
        <v>1452</v>
      </c>
      <c r="C43" s="342">
        <f ca="1">ROUND(C40*10000/F43,0)</f>
        <v>3224</v>
      </c>
      <c r="D43" s="343" t="s">
        <v>1453</v>
      </c>
      <c r="E43" s="344" t="s">
        <v>1454</v>
      </c>
      <c r="F43" s="345">
        <f ca="1">INDIRECT("'数据-取费表'!k"&amp;$G$1)</f>
        <v>37495.14</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1484</v>
      </c>
      <c r="P45" s="1644"/>
      <c r="Q45" s="1644"/>
      <c r="R45" s="1644"/>
    </row>
    <row r="46" spans="1:18" s="1567" customFormat="1" ht="13.5" thickBot="1">
      <c r="A46" s="1587" t="s">
        <v>1485</v>
      </c>
      <c r="C46" s="1588">
        <f ca="1">C68-C40</f>
        <v>-125134</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3174</v>
      </c>
      <c r="K47" s="1599" t="s">
        <v>1492</v>
      </c>
      <c r="L47" s="1600">
        <f ca="1">INDIRECT("'数据-取费表'!d"&amp;$G$1)</f>
        <v>50</v>
      </c>
      <c r="M47" s="1563" t="str">
        <f>IF(ISNUMBER(FIND("住宅",C1)),"住宅","非住宅")</f>
        <v>非住宅</v>
      </c>
      <c r="O47" s="1601" t="s">
        <v>1008</v>
      </c>
      <c r="P47" s="1602" t="s">
        <v>1493</v>
      </c>
      <c r="Q47" s="1603">
        <f ca="1">C40+J29</f>
        <v>12088</v>
      </c>
      <c r="R47" s="1603" t="s">
        <v>1494</v>
      </c>
    </row>
    <row r="48" spans="1:18" s="1567" customFormat="1" ht="28.5" thickBot="1">
      <c r="A48" s="1270" t="s">
        <v>1103</v>
      </c>
      <c r="B48" s="306" t="s">
        <v>1366</v>
      </c>
      <c r="C48" s="1542">
        <f ca="1">C49+C53+C55</f>
        <v>0</v>
      </c>
      <c r="D48" s="1272"/>
      <c r="E48" s="1273"/>
      <c r="F48" s="1093"/>
      <c r="G48" s="731"/>
      <c r="H48" s="732"/>
      <c r="I48" s="1604" t="s">
        <v>1495</v>
      </c>
      <c r="J48" s="1605" t="s">
        <v>3173</v>
      </c>
      <c r="K48" s="1606" t="s">
        <v>1496</v>
      </c>
      <c r="L48" s="1607">
        <f ca="1">INDIRECT("'数据-取费表'!f"&amp;$G$1)</f>
        <v>42.08</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2851</v>
      </c>
      <c r="E49" s="1555" t="s">
        <v>1456</v>
      </c>
      <c r="F49" s="1191"/>
      <c r="G49" s="1608"/>
      <c r="H49" s="732"/>
      <c r="I49" s="1604" t="s">
        <v>1499</v>
      </c>
      <c r="J49" s="1609">
        <v>2019</v>
      </c>
      <c r="K49" s="1606" t="s">
        <v>1500</v>
      </c>
      <c r="L49" s="1610"/>
      <c r="O49" s="1611" t="s">
        <v>1010</v>
      </c>
      <c r="P49" s="1602" t="s">
        <v>1501</v>
      </c>
      <c r="Q49" s="1603">
        <f ca="1">C29</f>
        <v>76757</v>
      </c>
      <c r="R49" s="1603" t="s">
        <v>1494</v>
      </c>
    </row>
    <row r="50" spans="1:18" s="1567" customFormat="1" ht="13.5" thickBot="1">
      <c r="A50" s="1107"/>
      <c r="B50" s="1110"/>
      <c r="C50" s="1278"/>
      <c r="D50" s="1084"/>
      <c r="E50" s="1187" t="s">
        <v>1371</v>
      </c>
      <c r="F50" s="1188">
        <f ca="1">F7</f>
        <v>37495.14</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58</v>
      </c>
      <c r="K51" s="1617" t="s">
        <v>1506</v>
      </c>
      <c r="L51" s="1618">
        <f ca="1">ROUND(-PV(INDIRECT("'数据-取费表'!h"&amp;$G$1),J51,(C39-C13*C76),0),0)</f>
        <v>-86507</v>
      </c>
      <c r="M51" s="1619"/>
      <c r="O51" s="1611" t="s">
        <v>1012</v>
      </c>
      <c r="P51" s="1602" t="s">
        <v>1507</v>
      </c>
      <c r="Q51" s="1614">
        <f>J52</f>
        <v>0.08</v>
      </c>
      <c r="R51" s="1603"/>
    </row>
    <row r="52" spans="1:18" s="1567" customFormat="1" ht="13.5" thickBot="1">
      <c r="A52" s="1108"/>
      <c r="B52" s="1110"/>
      <c r="C52" s="1111"/>
      <c r="D52" s="1084"/>
      <c r="E52" s="1112" t="s">
        <v>1373</v>
      </c>
      <c r="F52" s="1185"/>
      <c r="I52" s="1620" t="s">
        <v>1508</v>
      </c>
      <c r="J52" s="1621">
        <v>0.08</v>
      </c>
      <c r="K52" s="1620" t="s">
        <v>1509</v>
      </c>
      <c r="L52" s="1621"/>
      <c r="O52" s="1611" t="s">
        <v>1013</v>
      </c>
      <c r="P52" s="1602" t="s">
        <v>1510</v>
      </c>
      <c r="Q52" s="1603">
        <f ca="1">J53</f>
        <v>42.08</v>
      </c>
      <c r="R52" s="1603" t="s">
        <v>1511</v>
      </c>
    </row>
    <row r="53" spans="1:18" s="1567" customFormat="1" ht="24.75" thickBot="1">
      <c r="A53" s="1313" t="s">
        <v>1105</v>
      </c>
      <c r="B53" s="1556" t="s">
        <v>1374</v>
      </c>
      <c r="C53" s="322">
        <f ca="1">ROUND(IF(F53="押一",C49/12*F11,IF(F53="押二",C49/12*2*F11,IF(F53="押三",C49/12*3*F11,C54*F11))),0)</f>
        <v>0</v>
      </c>
      <c r="D53" s="1549" t="s">
        <v>2857</v>
      </c>
      <c r="E53" s="319" t="s">
        <v>1375</v>
      </c>
      <c r="F53" s="1276"/>
      <c r="I53" s="1622" t="s">
        <v>1512</v>
      </c>
      <c r="J53" s="2385">
        <f ca="1">IF(M47="住宅",IF(D1="——",MAX(J51,L48),MAX(J51,L48-'数据-取费表'!B24)),IF(D1="——",MIN(J51,L48),MIN(J51,L48-'数据-取费表'!B24)))</f>
        <v>42.08</v>
      </c>
      <c r="K53" s="3342" t="s">
        <v>1513</v>
      </c>
      <c r="L53" s="3343"/>
      <c r="O53" s="1601" t="s">
        <v>1014</v>
      </c>
      <c r="P53" s="1602" t="s">
        <v>1514</v>
      </c>
      <c r="Q53" s="1603">
        <f ca="1">Q47+Q48</f>
        <v>12088</v>
      </c>
      <c r="R53" s="1603" t="s">
        <v>1015</v>
      </c>
    </row>
    <row r="54" spans="1:18" s="1567" customFormat="1" ht="13.5" thickBot="1">
      <c r="A54" s="1314"/>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74454</v>
      </c>
      <c r="D56" s="1630"/>
      <c r="E56" s="1631"/>
      <c r="F56" s="1623"/>
      <c r="I56" s="1632" t="s">
        <v>1519</v>
      </c>
      <c r="J56" s="3448" t="s">
        <v>3160</v>
      </c>
      <c r="K56" s="1604" t="s">
        <v>1520</v>
      </c>
      <c r="L56" s="1607" t="str">
        <f ca="1">IF(L48&lt;J51,"——",L48-J53)</f>
        <v>——</v>
      </c>
      <c r="O56" s="1601" t="s">
        <v>1008</v>
      </c>
      <c r="P56" s="1602" t="s">
        <v>1493</v>
      </c>
      <c r="Q56" s="1603">
        <f ca="1">C40+J29</f>
        <v>12088</v>
      </c>
      <c r="R56" s="1603" t="s">
        <v>1494</v>
      </c>
    </row>
    <row r="57" spans="1:18" s="1567" customFormat="1" ht="24.75" thickBot="1">
      <c r="A57" s="1634"/>
      <c r="B57" s="1081" t="s">
        <v>1443</v>
      </c>
      <c r="C57" s="244">
        <f ca="1">C29</f>
        <v>76757</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7422</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6543</v>
      </c>
      <c r="D59" s="1094" t="s">
        <v>1395</v>
      </c>
      <c r="E59" s="1095"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6447.59</v>
      </c>
      <c r="D61" s="1553" t="s">
        <v>1403</v>
      </c>
      <c r="E61" s="1081" t="s">
        <v>1459</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95.06</v>
      </c>
      <c r="D62" s="1096" t="s">
        <v>1462</v>
      </c>
      <c r="E62" s="1081" t="s">
        <v>1463</v>
      </c>
      <c r="F62" s="331">
        <f t="shared" si="0"/>
        <v>11.2</v>
      </c>
      <c r="I62" s="1645" t="s">
        <v>1535</v>
      </c>
      <c r="J62" s="1646" t="s">
        <v>1536</v>
      </c>
      <c r="K62" s="1646" t="s">
        <v>1537</v>
      </c>
      <c r="L62" s="1646" t="s">
        <v>1538</v>
      </c>
      <c r="M62" s="1647" t="s">
        <v>1539</v>
      </c>
      <c r="O62" s="1601" t="s">
        <v>1014</v>
      </c>
      <c r="P62" s="1602" t="s">
        <v>1540</v>
      </c>
      <c r="Q62" s="1603">
        <f ca="1">Q56+Q57</f>
        <v>12088</v>
      </c>
      <c r="R62" s="1603" t="s">
        <v>1015</v>
      </c>
    </row>
    <row r="63" spans="1:18" s="1567" customFormat="1" ht="13.5" thickBot="1">
      <c r="A63" s="332"/>
      <c r="B63" s="1087"/>
      <c r="C63" s="29"/>
      <c r="D63" s="1097"/>
      <c r="E63" s="1081" t="s">
        <v>1464</v>
      </c>
      <c r="F63" s="309">
        <f t="shared" ca="1" si="0"/>
        <v>84875.29</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767.6</v>
      </c>
      <c r="D64" s="1095" t="s">
        <v>1467</v>
      </c>
      <c r="E64" s="1081" t="s">
        <v>1459</v>
      </c>
      <c r="F64" s="334">
        <f t="shared" ca="1" si="0"/>
        <v>0.01</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111.7</v>
      </c>
      <c r="D65" s="1095" t="s">
        <v>1419</v>
      </c>
      <c r="E65" s="1081" t="s">
        <v>1420</v>
      </c>
      <c r="F65" s="336">
        <f t="shared" ca="1" si="0"/>
        <v>1.5E-3</v>
      </c>
      <c r="I65" s="1645" t="s">
        <v>1544</v>
      </c>
      <c r="J65" s="1646">
        <v>40</v>
      </c>
      <c r="K65" s="1646">
        <v>30</v>
      </c>
      <c r="L65" s="1646">
        <v>50</v>
      </c>
      <c r="M65" s="1648">
        <v>0.02</v>
      </c>
      <c r="O65" s="1601" t="s">
        <v>1008</v>
      </c>
      <c r="P65" s="1602" t="s">
        <v>1545</v>
      </c>
      <c r="Q65" s="1603">
        <f ca="1">C40+J29</f>
        <v>12088</v>
      </c>
      <c r="R65" s="1603" t="s">
        <v>1494</v>
      </c>
    </row>
    <row r="66" spans="1:18" s="1567" customFormat="1" ht="16.5" thickBot="1">
      <c r="A66" s="1113" t="s">
        <v>1469</v>
      </c>
      <c r="B66" s="1081" t="s">
        <v>1404</v>
      </c>
      <c r="C66" s="24">
        <f ca="1">ROUND(C48*F66,1)</f>
        <v>0</v>
      </c>
      <c r="D66" s="1095" t="s">
        <v>1470</v>
      </c>
      <c r="E66" s="1081" t="s">
        <v>1387</v>
      </c>
      <c r="F66" s="318">
        <f t="shared" ca="1" si="0"/>
        <v>0.01</v>
      </c>
      <c r="O66" s="1601" t="s">
        <v>1009</v>
      </c>
      <c r="P66" s="1602" t="s">
        <v>1523</v>
      </c>
      <c r="Q66" s="1603">
        <f ca="1">L60</f>
        <v>0</v>
      </c>
      <c r="R66" s="1603" t="s">
        <v>1546</v>
      </c>
    </row>
    <row r="67" spans="1:18" s="1567" customFormat="1" ht="16.5" thickBot="1">
      <c r="A67" s="1088" t="s">
        <v>999</v>
      </c>
      <c r="B67" s="1098" t="s">
        <v>1428</v>
      </c>
      <c r="C67" s="322">
        <f ca="1">C48-C58</f>
        <v>-7422</v>
      </c>
      <c r="D67" s="1094" t="s">
        <v>1429</v>
      </c>
      <c r="E67" s="1099"/>
      <c r="F67" s="1100"/>
      <c r="O67" s="1611" t="s">
        <v>1010</v>
      </c>
      <c r="P67" s="1602" t="s">
        <v>1527</v>
      </c>
      <c r="Q67" s="1649">
        <f ca="1">L51</f>
        <v>-86507</v>
      </c>
      <c r="R67" s="1603" t="s">
        <v>1547</v>
      </c>
    </row>
    <row r="68" spans="1:18" s="1567" customFormat="1" ht="16.5" thickBot="1">
      <c r="A68" s="1078" t="s">
        <v>1000</v>
      </c>
      <c r="B68" s="1079" t="s">
        <v>1450</v>
      </c>
      <c r="C68" s="307">
        <f ca="1">ROUND(C67*(1-((1+F70)/(1+F68))^F69)/(F68-F70),0)</f>
        <v>-113046</v>
      </c>
      <c r="D68" s="1096" t="s">
        <v>1434</v>
      </c>
      <c r="E68" s="1081" t="s">
        <v>1435</v>
      </c>
      <c r="F68" s="318">
        <f ca="1">F40</f>
        <v>0.06</v>
      </c>
      <c r="O68" s="1611" t="s">
        <v>1011</v>
      </c>
      <c r="P68" s="1650" t="s">
        <v>1548</v>
      </c>
      <c r="Q68" s="1603">
        <f ca="1">ROUND(Q69-Q70*Q71,0)</f>
        <v>-4981</v>
      </c>
      <c r="R68" s="1603" t="s">
        <v>1019</v>
      </c>
    </row>
    <row r="69" spans="1:18" s="1567" customFormat="1" ht="13.5" thickBot="1">
      <c r="A69" s="1082"/>
      <c r="B69" s="1083"/>
      <c r="C69" s="312"/>
      <c r="D69" s="1101" t="s">
        <v>1438</v>
      </c>
      <c r="E69" s="1081" t="s">
        <v>1439</v>
      </c>
      <c r="F69" s="339">
        <f ca="1">F41</f>
        <v>42.08</v>
      </c>
      <c r="O69" s="1611" t="s">
        <v>1016</v>
      </c>
      <c r="P69" s="1650" t="s">
        <v>1549</v>
      </c>
      <c r="Q69" s="1603">
        <f ca="1">C39</f>
        <v>603</v>
      </c>
      <c r="R69" s="1603" t="s">
        <v>1494</v>
      </c>
    </row>
    <row r="70" spans="1:18" s="1567" customFormat="1" ht="13.5" thickBot="1">
      <c r="A70" s="1085"/>
      <c r="B70" s="1086"/>
      <c r="C70" s="316"/>
      <c r="D70" s="1097"/>
      <c r="E70" s="1081" t="s">
        <v>1442</v>
      </c>
      <c r="F70" s="1185"/>
      <c r="O70" s="1611" t="s">
        <v>1017</v>
      </c>
      <c r="P70" s="1650" t="s">
        <v>1550</v>
      </c>
      <c r="Q70" s="1603">
        <f ca="1">C13</f>
        <v>74454</v>
      </c>
      <c r="R70" s="1603" t="s">
        <v>1494</v>
      </c>
    </row>
    <row r="71" spans="1:18" s="1567" customFormat="1" ht="13.5" thickBot="1">
      <c r="A71" s="1102" t="s">
        <v>1001</v>
      </c>
      <c r="B71" s="1103" t="s">
        <v>1452</v>
      </c>
      <c r="C71" s="342">
        <f ca="1">ROUND(C68*10000/F71,0)</f>
        <v>-30150</v>
      </c>
      <c r="D71" s="1104" t="s">
        <v>1453</v>
      </c>
      <c r="E71" s="1105" t="s">
        <v>1454</v>
      </c>
      <c r="F71" s="345">
        <f ca="1">F43</f>
        <v>37495.14</v>
      </c>
      <c r="O71" s="1611" t="s">
        <v>1018</v>
      </c>
      <c r="P71" s="1650" t="s">
        <v>1551</v>
      </c>
      <c r="Q71" s="1614">
        <f ca="1">C76</f>
        <v>7.4999999999999997E-2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5584</v>
      </c>
      <c r="D75" s="1567"/>
      <c r="E75" s="1567"/>
      <c r="F75" s="1567"/>
      <c r="K75" s="1585"/>
      <c r="L75" s="1567"/>
      <c r="O75" s="1601" t="s">
        <v>1014</v>
      </c>
      <c r="P75" s="1602" t="s">
        <v>1514</v>
      </c>
      <c r="Q75" s="1603">
        <f ca="1">Q65+Q66</f>
        <v>12088</v>
      </c>
      <c r="R75" s="1603" t="s">
        <v>1015</v>
      </c>
    </row>
    <row r="76" spans="1:18">
      <c r="B76" s="348" t="s">
        <v>1472</v>
      </c>
      <c r="C76" s="349">
        <f ca="1">INDIRECT("'数据-取费表'!j"&amp;$G$1)</f>
        <v>7.4999999999999997E-2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-8.26</v>
      </c>
    </row>
    <row r="80" spans="1:18">
      <c r="B80" s="346" t="s">
        <v>1476</v>
      </c>
      <c r="C80" s="280">
        <f ca="1">ROUND(C75/C39,3)</f>
        <v>9.26</v>
      </c>
    </row>
    <row r="81" spans="2:3">
      <c r="B81" s="276" t="s">
        <v>1477</v>
      </c>
      <c r="C81" s="244"/>
    </row>
    <row r="82" spans="2:3">
      <c r="B82" s="279" t="s">
        <v>1478</v>
      </c>
      <c r="C82" s="281">
        <f ca="1">1-C83</f>
        <v>-5.1589999999999998</v>
      </c>
    </row>
    <row r="83" spans="2:3">
      <c r="B83" s="279" t="s">
        <v>1479</v>
      </c>
      <c r="C83" s="280">
        <f ca="1">ROUND(C13/C40,3)</f>
        <v>6.1589999999999998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0</v>
      </c>
      <c r="G1" s="1561">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344" t="s">
        <v>1368</v>
      </c>
      <c r="C6" s="1206">
        <f ca="1">ROUND(F6*F8*F7*(1-F9),0)</f>
        <v>0</v>
      </c>
      <c r="D6" s="160" t="s">
        <v>2847</v>
      </c>
      <c r="E6" s="308" t="s">
        <v>1370</v>
      </c>
      <c r="F6" s="309">
        <f ca="1">INDIRECT("'数据-取费表'!u"&amp;$G$1)</f>
        <v>0</v>
      </c>
      <c r="G6" s="1567"/>
      <c r="H6" s="1201" t="s">
        <v>1003</v>
      </c>
      <c r="I6" s="3344" t="s">
        <v>1368</v>
      </c>
      <c r="J6" s="307">
        <f ca="1">ROUND(M6*M8*M7*(1-M9),0)</f>
        <v>0</v>
      </c>
      <c r="K6" s="1559" t="s">
        <v>2848</v>
      </c>
      <c r="L6" s="308" t="s">
        <v>1370</v>
      </c>
      <c r="M6" s="309">
        <f ca="1">INDIRECT("'数据-取费表'!z"&amp;$G$1)</f>
        <v>0</v>
      </c>
    </row>
    <row r="7" spans="1:37" ht="18" customHeight="1">
      <c r="A7" s="1205"/>
      <c r="B7" s="3345"/>
      <c r="C7" s="1207"/>
      <c r="D7" s="313"/>
      <c r="E7" s="1208" t="s">
        <v>1371</v>
      </c>
      <c r="F7" s="309">
        <f ca="1">IF(INDIRECT("'数据-取费表'!ah"&amp;$G$1)="",INDIRECT("'数据-取费表'!k"&amp;$G$1),INDIRECT("'数据-取费表'!ah"&amp;$G$1))</f>
        <v>0</v>
      </c>
      <c r="G7" s="1567"/>
      <c r="H7" s="310"/>
      <c r="I7" s="3345"/>
      <c r="J7" s="312"/>
      <c r="K7" s="313"/>
      <c r="L7" s="308" t="s">
        <v>1371</v>
      </c>
      <c r="M7" s="309">
        <f ca="1">F7</f>
        <v>0</v>
      </c>
    </row>
    <row r="8" spans="1:37" ht="18" customHeight="1">
      <c r="A8" s="310"/>
      <c r="B8" s="3345"/>
      <c r="C8" s="312"/>
      <c r="D8" s="313"/>
      <c r="E8" s="308" t="s">
        <v>1372</v>
      </c>
      <c r="F8" s="309">
        <f ca="1">INDIRECT("'数据-取费表'!ai"&amp;$G$1)</f>
        <v>0</v>
      </c>
      <c r="G8" s="1567"/>
      <c r="H8" s="310"/>
      <c r="I8" s="3345"/>
      <c r="J8" s="312"/>
      <c r="K8" s="313"/>
      <c r="L8" s="308" t="s">
        <v>1372</v>
      </c>
      <c r="M8" s="309">
        <f ca="1">INDIRECT("'数据-取费表'!ai"&amp;$G$1)</f>
        <v>0</v>
      </c>
    </row>
    <row r="9" spans="1:37" ht="18" customHeight="1">
      <c r="A9" s="310"/>
      <c r="B9" s="3346"/>
      <c r="C9" s="312"/>
      <c r="D9" s="313"/>
      <c r="E9" s="308" t="s">
        <v>1373</v>
      </c>
      <c r="F9" s="318">
        <f ca="1">INDIRECT("'数据-取费表'!w"&amp;$G$1)</f>
        <v>0</v>
      </c>
      <c r="G9" s="1567"/>
      <c r="H9" s="310"/>
      <c r="I9" s="3346"/>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2857</v>
      </c>
      <c r="E10" s="319" t="s">
        <v>1375</v>
      </c>
      <c r="F10" s="1276"/>
      <c r="G10" s="1567"/>
      <c r="H10" s="1201" t="s">
        <v>1007</v>
      </c>
      <c r="I10" s="1548" t="s">
        <v>1374</v>
      </c>
      <c r="J10" s="307">
        <f ca="1">ROUND(IF(M10="押一",J6/12*M11,IF(M10="押二",J6/12*2*M11,IF(M10="押三",J6/12*3*M11,J11*M11))),0)</f>
        <v>0</v>
      </c>
      <c r="K10" s="1560" t="s">
        <v>2859</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0.01</v>
      </c>
      <c r="G20" s="1579"/>
      <c r="H20" s="1113" t="s">
        <v>1354</v>
      </c>
      <c r="I20" s="160" t="s">
        <v>1406</v>
      </c>
      <c r="J20" s="25">
        <f ca="1">ROUND(M20*M21,0)</f>
        <v>0</v>
      </c>
      <c r="K20" s="330" t="s">
        <v>1407</v>
      </c>
      <c r="L20" s="308" t="s">
        <v>1408</v>
      </c>
      <c r="M20" s="331">
        <f>'数据-取费表'!B52</f>
        <v>11.2</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0.01</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3" t="s">
        <v>1002</v>
      </c>
      <c r="B32" s="308" t="s">
        <v>1398</v>
      </c>
      <c r="C32" s="24">
        <f ca="1">IF(项目基本情况!B11="自然人","——",ROUND(C6*F32/(1+'数据-取费表'!C42),0))</f>
        <v>0</v>
      </c>
      <c r="D32" s="1527"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8"/>
      <c r="I33" s="1581"/>
      <c r="J33" s="1582"/>
      <c r="K33" s="2929"/>
      <c r="L33" s="2928"/>
      <c r="M33" s="2928"/>
    </row>
    <row r="34" spans="1:18" ht="18" customHeight="1">
      <c r="A34" s="1201" t="s">
        <v>1354</v>
      </c>
      <c r="B34" s="160" t="s">
        <v>1406</v>
      </c>
      <c r="C34" s="25">
        <f ca="1">IF(项目基本情况!B11="自然人","——",ROUND(F34*F35,))</f>
        <v>0</v>
      </c>
      <c r="D34" s="330" t="s">
        <v>1407</v>
      </c>
      <c r="E34" s="308" t="s">
        <v>1408</v>
      </c>
      <c r="F34" s="331">
        <f>'数据-取费表'!B52</f>
        <v>11.2</v>
      </c>
      <c r="G34" s="1567"/>
      <c r="H34" s="2925"/>
      <c r="I34" s="1581"/>
      <c r="J34" s="1582"/>
      <c r="K34" s="2930"/>
      <c r="L34" s="2931"/>
      <c r="M34" s="2931"/>
    </row>
    <row r="35" spans="1:18" ht="18" customHeight="1">
      <c r="A35" s="1263"/>
      <c r="B35" s="1261"/>
      <c r="C35" s="29"/>
      <c r="D35" s="333"/>
      <c r="E35" s="308" t="s">
        <v>1412</v>
      </c>
      <c r="F35" s="309">
        <f ca="1">INDIRECT("'数据-取费表'!r"&amp;$G$1)</f>
        <v>0</v>
      </c>
      <c r="G35" s="1567"/>
      <c r="H35" s="2925"/>
      <c r="I35" s="1581"/>
      <c r="J35" s="1582"/>
      <c r="K35" s="2929"/>
      <c r="L35" s="2928"/>
      <c r="M35" s="2928"/>
    </row>
    <row r="36" spans="1:18" ht="18" customHeight="1">
      <c r="A36" s="1262" t="s">
        <v>1007</v>
      </c>
      <c r="B36" s="308" t="s">
        <v>1414</v>
      </c>
      <c r="C36" s="24">
        <f ca="1">ROUND(C29*F36,0)</f>
        <v>0</v>
      </c>
      <c r="D36" s="1527" t="s">
        <v>1447</v>
      </c>
      <c r="E36" s="308" t="s">
        <v>1387</v>
      </c>
      <c r="F36" s="334">
        <f ca="1">INDIRECT("'数据-取费表'!Ak"&amp;$G$1)</f>
        <v>0</v>
      </c>
      <c r="G36" s="1567"/>
      <c r="H36" s="2928"/>
      <c r="I36" s="1581"/>
      <c r="J36" s="1582"/>
      <c r="K36" s="2769"/>
      <c r="L36" s="2928"/>
      <c r="M36" s="2928"/>
    </row>
    <row r="37" spans="1:18" ht="18" customHeight="1">
      <c r="A37" s="1113" t="s">
        <v>1043</v>
      </c>
      <c r="B37" s="308" t="s">
        <v>1418</v>
      </c>
      <c r="C37" s="24">
        <f ca="1">ROUND(C13*F37,0)</f>
        <v>0</v>
      </c>
      <c r="D37" s="1527" t="s">
        <v>1419</v>
      </c>
      <c r="E37" s="308" t="s">
        <v>1420</v>
      </c>
      <c r="F37" s="336">
        <f ca="1">INDIRECT("'数据-取费表'!Al"&amp;$G$1)</f>
        <v>0</v>
      </c>
      <c r="G37" s="1567"/>
      <c r="H37" s="2928"/>
      <c r="I37" s="1581"/>
      <c r="J37" s="1582"/>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7"/>
      <c r="H38" s="2928"/>
      <c r="I38" s="1581"/>
      <c r="J38" s="1582"/>
      <c r="K38" s="2932"/>
      <c r="L38" s="2928"/>
      <c r="M38" s="2928"/>
    </row>
    <row r="39" spans="1:18" ht="24.6" customHeight="1" thickTop="1">
      <c r="A39" s="1239" t="s">
        <v>999</v>
      </c>
      <c r="B39" s="1254" t="s">
        <v>1448</v>
      </c>
      <c r="C39" s="316">
        <f ca="1">C5-C30</f>
        <v>0</v>
      </c>
      <c r="D39" s="1255" t="s">
        <v>1449</v>
      </c>
      <c r="E39" s="1256"/>
      <c r="F39" s="1257"/>
      <c r="G39" s="1567"/>
      <c r="H39" s="2928"/>
      <c r="I39" s="1581"/>
      <c r="J39" s="1582"/>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9"/>
      <c r="L41" s="1352"/>
      <c r="M41" s="1352"/>
    </row>
    <row r="42" spans="1:18" ht="18" customHeight="1">
      <c r="A42" s="314"/>
      <c r="B42" s="315"/>
      <c r="C42" s="316"/>
      <c r="D42" s="333"/>
      <c r="E42" s="308" t="s">
        <v>1442</v>
      </c>
      <c r="F42" s="318">
        <f ca="1">INDIRECT("'数据-取费表'!v"&amp;$G$1)</f>
        <v>0</v>
      </c>
      <c r="G42" s="1567"/>
      <c r="H42" s="1352"/>
      <c r="I42" s="1581"/>
      <c r="J42" s="1582"/>
      <c r="K42" s="2769"/>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0</v>
      </c>
      <c r="R52" s="1603" t="s">
        <v>1511</v>
      </c>
    </row>
    <row r="53" spans="1:18" s="1567" customFormat="1" ht="30.75" customHeight="1" thickBot="1">
      <c r="A53" s="1271" t="s">
        <v>1105</v>
      </c>
      <c r="B53" s="329" t="s">
        <v>1374</v>
      </c>
      <c r="C53" s="322">
        <f ca="1">ROUND(IF(F53="押一",C49/12*F11,IF(F53="押二",C49/12*2*F11,IF(F53="押三",C49/12*3*F11,C54*F11))),0)</f>
        <v>0</v>
      </c>
      <c r="D53" s="1549" t="s">
        <v>2860</v>
      </c>
      <c r="E53" s="319" t="s">
        <v>1375</v>
      </c>
      <c r="F53" s="1276"/>
      <c r="I53" s="1622" t="s">
        <v>1512</v>
      </c>
      <c r="J53" s="2385">
        <f ca="1">IF(M47="住宅",IF(D1="——",MAX(J51,L48),MAX(J51,L48-'数据-取费表'!B24)),IF(D1="——",MIN(J51,L48),MIN(J51,L48-'数据-取费表'!B24)))</f>
        <v>0</v>
      </c>
      <c r="K53" s="3342" t="s">
        <v>1513</v>
      </c>
      <c r="L53" s="3343"/>
      <c r="O53" s="1601" t="s">
        <v>1014</v>
      </c>
      <c r="P53" s="1602" t="s">
        <v>1514</v>
      </c>
      <c r="Q53" s="1603" t="e">
        <f ca="1">Q47+Q48</f>
        <v>#DIV/0!</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11.2</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18964</v>
      </c>
      <c r="C2" s="2057" t="s">
        <v>2340</v>
      </c>
      <c r="D2" s="2058" t="s">
        <v>2341</v>
      </c>
      <c r="E2" s="2832">
        <f>SUM(E6:E13)</f>
        <v>58794.39</v>
      </c>
      <c r="F2" s="2935"/>
      <c r="G2" s="1673"/>
      <c r="H2" s="1673"/>
      <c r="I2" s="1673"/>
      <c r="J2" s="1673"/>
      <c r="K2" s="1673"/>
      <c r="L2" s="1673"/>
      <c r="M2" s="1673"/>
      <c r="N2" s="1673"/>
      <c r="O2" s="1673"/>
      <c r="P2" s="1673"/>
      <c r="Q2" s="1673"/>
      <c r="R2" s="1673"/>
      <c r="S2" s="1673"/>
    </row>
    <row r="3" spans="1:22" ht="15.75">
      <c r="A3" s="2055" t="s">
        <v>1360</v>
      </c>
      <c r="B3" s="2826">
        <f ca="1">ROUND(B2*10000/E2,0)</f>
        <v>3225</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347" t="s">
        <v>2343</v>
      </c>
      <c r="C5" s="3348"/>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v>
      </c>
      <c r="B6" s="2827">
        <f ca="1">IF(F6="是",'数据-取费表'!AO6,0)</f>
        <v>12088</v>
      </c>
      <c r="C6" s="2057" t="s">
        <v>2340</v>
      </c>
      <c r="D6" s="2937"/>
      <c r="E6" s="2831">
        <f>IF(OR(A6=0,F6="否"),0,'数据-取费表'!K6+'数据-取费表'!S6)</f>
        <v>37495.14</v>
      </c>
      <c r="F6" s="2061" t="s">
        <v>2346</v>
      </c>
      <c r="G6" s="1673"/>
      <c r="H6" s="1673"/>
      <c r="I6" s="1673"/>
      <c r="J6" s="1673"/>
      <c r="K6" s="1673"/>
      <c r="L6" s="1673"/>
      <c r="M6" s="1673"/>
      <c r="N6" s="1673"/>
      <c r="O6" s="1673"/>
      <c r="P6" s="1673"/>
      <c r="Q6" s="1673"/>
      <c r="R6" s="1673"/>
      <c r="S6" s="1673"/>
    </row>
    <row r="7" spans="1:22">
      <c r="A7" s="2829" t="str">
        <f>'数据-取费表'!AN7</f>
        <v>收益法-C2</v>
      </c>
      <c r="B7" s="2827">
        <f ca="1">IF(F7="是",'数据-取费表'!AO7,0)</f>
        <v>6876</v>
      </c>
      <c r="C7" s="2057" t="s">
        <v>2340</v>
      </c>
      <c r="D7" s="2937"/>
      <c r="E7" s="2831">
        <f>IF(OR(A7=0,F7="否"),0,'数据-取费表'!K7+'数据-取费表'!S7)</f>
        <v>21299.25</v>
      </c>
      <c r="F7" s="2061" t="s">
        <v>2346</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2340</v>
      </c>
      <c r="D8" s="2937"/>
      <c r="E8" s="2831">
        <f>IF(OR(A8=0,F8="否"),0,'数据-取费表'!K8+'数据-取费表'!S8)</f>
        <v>0</v>
      </c>
      <c r="F8" s="2061" t="s">
        <v>2346</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2340</v>
      </c>
      <c r="D9" s="2937"/>
      <c r="E9" s="2831">
        <f>IF(OR(A9=0,F9="否"),0,'数据-取费表'!K9+'数据-取费表'!S9)</f>
        <v>0</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5" t="s">
        <v>1044</v>
      </c>
      <c r="B1" s="3366"/>
      <c r="C1" s="3367"/>
      <c r="D1" s="3368">
        <f>SUM(I10,I15,I20,I21,I23)</f>
        <v>0</v>
      </c>
      <c r="E1" s="3368"/>
      <c r="F1" s="3368"/>
      <c r="G1" s="3368"/>
      <c r="H1" s="3368"/>
      <c r="I1" s="3369"/>
    </row>
    <row r="2" spans="1:9">
      <c r="A2" s="3355" t="s">
        <v>1045</v>
      </c>
      <c r="B2" s="3356" t="s">
        <v>1046</v>
      </c>
      <c r="C2" s="3356"/>
      <c r="D2" s="1211" t="s">
        <v>1047</v>
      </c>
      <c r="E2" s="1211" t="s">
        <v>1048</v>
      </c>
      <c r="F2" s="1211" t="s">
        <v>1049</v>
      </c>
      <c r="G2" s="1211" t="s">
        <v>1050</v>
      </c>
      <c r="H2" s="1211" t="s">
        <v>1051</v>
      </c>
      <c r="I2" s="1212" t="s">
        <v>1052</v>
      </c>
    </row>
    <row r="3" spans="1:9">
      <c r="A3" s="3355"/>
      <c r="B3" s="3356" t="s">
        <v>1053</v>
      </c>
      <c r="C3" s="3356"/>
      <c r="D3" s="1213"/>
      <c r="E3" s="1211"/>
      <c r="F3" s="1214"/>
      <c r="G3" s="1214"/>
      <c r="H3" s="1215"/>
      <c r="I3" s="1216">
        <f>ROUND(D3*E3*F3*G3*H3/10000,0)</f>
        <v>0</v>
      </c>
    </row>
    <row r="4" spans="1:9">
      <c r="A4" s="3355"/>
      <c r="B4" s="3356" t="s">
        <v>1054</v>
      </c>
      <c r="C4" s="3356"/>
      <c r="D4" s="1213"/>
      <c r="E4" s="1211"/>
      <c r="F4" s="1214"/>
      <c r="G4" s="1214"/>
      <c r="H4" s="1215"/>
      <c r="I4" s="1216">
        <f t="shared" ref="I4:I9" si="0">ROUND(D4*E4*F4*G4*H4/10000,0)</f>
        <v>0</v>
      </c>
    </row>
    <row r="5" spans="1:9">
      <c r="A5" s="3355"/>
      <c r="B5" s="3356" t="s">
        <v>1055</v>
      </c>
      <c r="C5" s="3356"/>
      <c r="D5" s="1213"/>
      <c r="E5" s="1211"/>
      <c r="F5" s="1214"/>
      <c r="G5" s="1214"/>
      <c r="H5" s="1215"/>
      <c r="I5" s="1216">
        <f t="shared" si="0"/>
        <v>0</v>
      </c>
    </row>
    <row r="6" spans="1:9">
      <c r="A6" s="3355"/>
      <c r="B6" s="3356" t="s">
        <v>1056</v>
      </c>
      <c r="C6" s="3356"/>
      <c r="D6" s="1213"/>
      <c r="E6" s="1211"/>
      <c r="F6" s="1214"/>
      <c r="G6" s="1214"/>
      <c r="H6" s="1215"/>
      <c r="I6" s="1216">
        <f t="shared" si="0"/>
        <v>0</v>
      </c>
    </row>
    <row r="7" spans="1:9">
      <c r="A7" s="3355"/>
      <c r="B7" s="3356" t="s">
        <v>1057</v>
      </c>
      <c r="C7" s="3356"/>
      <c r="D7" s="1213"/>
      <c r="E7" s="1211"/>
      <c r="F7" s="1214"/>
      <c r="G7" s="1214"/>
      <c r="H7" s="1215"/>
      <c r="I7" s="1216">
        <f t="shared" si="0"/>
        <v>0</v>
      </c>
    </row>
    <row r="8" spans="1:9">
      <c r="A8" s="3355"/>
      <c r="B8" s="3356" t="s">
        <v>1058</v>
      </c>
      <c r="C8" s="3356"/>
      <c r="D8" s="1213"/>
      <c r="E8" s="1211"/>
      <c r="F8" s="1214"/>
      <c r="G8" s="1214"/>
      <c r="H8" s="1215"/>
      <c r="I8" s="1216">
        <f t="shared" si="0"/>
        <v>0</v>
      </c>
    </row>
    <row r="9" spans="1:9">
      <c r="A9" s="3355"/>
      <c r="B9" s="3356" t="s">
        <v>1059</v>
      </c>
      <c r="C9" s="3356"/>
      <c r="D9" s="1213"/>
      <c r="E9" s="1211"/>
      <c r="F9" s="1214"/>
      <c r="G9" s="1214"/>
      <c r="H9" s="1215"/>
      <c r="I9" s="1216">
        <f t="shared" si="0"/>
        <v>0</v>
      </c>
    </row>
    <row r="10" spans="1:9">
      <c r="A10" s="3355"/>
      <c r="B10" s="3357" t="s">
        <v>1060</v>
      </c>
      <c r="C10" s="3357"/>
      <c r="D10" s="1217"/>
      <c r="E10" s="1217" t="e">
        <f>ROUND(D1*10000/D10/H9,0)</f>
        <v>#DIV/0!</v>
      </c>
      <c r="F10" s="1218"/>
      <c r="G10" s="1218"/>
      <c r="H10" s="1219"/>
      <c r="I10" s="1220">
        <f>SUM(I3:I9)</f>
        <v>0</v>
      </c>
    </row>
    <row r="11" spans="1:9" ht="14.25">
      <c r="A11" s="3355" t="s">
        <v>1061</v>
      </c>
      <c r="B11" s="3356" t="s">
        <v>1062</v>
      </c>
      <c r="C11" s="3356"/>
      <c r="D11" s="1213" t="s">
        <v>1063</v>
      </c>
      <c r="E11" s="1213" t="s">
        <v>1064</v>
      </c>
      <c r="F11" s="1214" t="s">
        <v>1065</v>
      </c>
      <c r="G11" s="1214" t="s">
        <v>1051</v>
      </c>
      <c r="H11" s="1221" t="s">
        <v>1066</v>
      </c>
      <c r="I11" s="1212" t="s">
        <v>1052</v>
      </c>
    </row>
    <row r="12" spans="1:9">
      <c r="A12" s="3355"/>
      <c r="B12" s="3356" t="s">
        <v>1067</v>
      </c>
      <c r="C12" s="3356"/>
      <c r="D12" s="1213"/>
      <c r="E12" s="1213"/>
      <c r="F12" s="1214"/>
      <c r="G12" s="1215"/>
      <c r="H12" s="1222"/>
      <c r="I12" s="1212">
        <f>ROUND(D12*E12*F12*G12/10000,0)</f>
        <v>0</v>
      </c>
    </row>
    <row r="13" spans="1:9">
      <c r="A13" s="3355"/>
      <c r="B13" s="3356" t="s">
        <v>1068</v>
      </c>
      <c r="C13" s="3356"/>
      <c r="D13" s="1213"/>
      <c r="E13" s="1213"/>
      <c r="F13" s="1214"/>
      <c r="G13" s="1215"/>
      <c r="H13" s="1222"/>
      <c r="I13" s="1212">
        <f>ROUND(D13*E13*F13*G13/10000,0)</f>
        <v>0</v>
      </c>
    </row>
    <row r="14" spans="1:9">
      <c r="A14" s="3355"/>
      <c r="B14" s="3356" t="s">
        <v>1069</v>
      </c>
      <c r="C14" s="3356"/>
      <c r="D14" s="1213"/>
      <c r="E14" s="1213"/>
      <c r="F14" s="1214"/>
      <c r="G14" s="1215"/>
      <c r="H14" s="1222"/>
      <c r="I14" s="1212">
        <f>ROUND(D14*E14*F14*G14/10000,0)</f>
        <v>0</v>
      </c>
    </row>
    <row r="15" spans="1:9">
      <c r="A15" s="3355"/>
      <c r="B15" s="3357" t="s">
        <v>1060</v>
      </c>
      <c r="C15" s="3357"/>
      <c r="D15" s="1217"/>
      <c r="E15" s="1217">
        <f>SUM(E12:E14)</f>
        <v>0</v>
      </c>
      <c r="F15" s="1218"/>
      <c r="G15" s="1215"/>
      <c r="H15" s="1222"/>
      <c r="I15" s="1223">
        <f>SUM(I12:I14)</f>
        <v>0</v>
      </c>
    </row>
    <row r="16" spans="1:9" ht="24">
      <c r="A16" s="3355" t="s">
        <v>1070</v>
      </c>
      <c r="B16" s="3356" t="s">
        <v>1071</v>
      </c>
      <c r="C16" s="3356"/>
      <c r="D16" s="1213" t="s">
        <v>1047</v>
      </c>
      <c r="E16" s="1224" t="s">
        <v>1072</v>
      </c>
      <c r="F16" s="1214" t="s">
        <v>1073</v>
      </c>
      <c r="G16" s="1215" t="s">
        <v>1051</v>
      </c>
      <c r="H16" s="1221" t="s">
        <v>1066</v>
      </c>
      <c r="I16" s="1212" t="s">
        <v>1052</v>
      </c>
    </row>
    <row r="17" spans="1:9" ht="14.25">
      <c r="A17" s="3355"/>
      <c r="B17" s="3356" t="s">
        <v>1074</v>
      </c>
      <c r="C17" s="3356"/>
      <c r="D17" s="1213"/>
      <c r="E17" s="1213"/>
      <c r="F17" s="1214"/>
      <c r="G17" s="1215"/>
      <c r="H17" s="1225"/>
      <c r="I17" s="1226">
        <f>ROUND(D17*E17*F17*G17/10000,0)</f>
        <v>0</v>
      </c>
    </row>
    <row r="18" spans="1:9" ht="14.25">
      <c r="A18" s="3355"/>
      <c r="B18" s="3356" t="s">
        <v>1075</v>
      </c>
      <c r="C18" s="3356"/>
      <c r="D18" s="1213"/>
      <c r="E18" s="1213"/>
      <c r="F18" s="1214"/>
      <c r="G18" s="1215"/>
      <c r="H18" s="1225"/>
      <c r="I18" s="1226">
        <f>ROUND(D18*E18*F18*G18/10000,0)</f>
        <v>0</v>
      </c>
    </row>
    <row r="19" spans="1:9" ht="14.25">
      <c r="A19" s="3355"/>
      <c r="B19" s="3356" t="s">
        <v>1076</v>
      </c>
      <c r="C19" s="3356"/>
      <c r="D19" s="1213"/>
      <c r="E19" s="1213"/>
      <c r="F19" s="1214"/>
      <c r="G19" s="1215"/>
      <c r="H19" s="1225"/>
      <c r="I19" s="1226">
        <f>ROUND(D19*E19*F19*G19/10000,0)</f>
        <v>0</v>
      </c>
    </row>
    <row r="20" spans="1:9">
      <c r="A20" s="3355"/>
      <c r="B20" s="3357" t="s">
        <v>1060</v>
      </c>
      <c r="C20" s="3357"/>
      <c r="D20" s="1217">
        <f>SUM(D17:D19)</f>
        <v>0</v>
      </c>
      <c r="E20" s="1217"/>
      <c r="F20" s="1218"/>
      <c r="G20" s="1215"/>
      <c r="H20" s="1222"/>
      <c r="I20" s="1223">
        <f>SUM(I17:I19)</f>
        <v>0</v>
      </c>
    </row>
    <row r="21" spans="1:9">
      <c r="A21" s="3355" t="s">
        <v>1077</v>
      </c>
      <c r="B21" s="3358"/>
      <c r="C21" s="3358"/>
      <c r="D21" s="3358"/>
      <c r="E21" s="3358"/>
      <c r="F21" s="3358"/>
      <c r="G21" s="3358"/>
      <c r="H21" s="1501">
        <v>0.1</v>
      </c>
      <c r="I21" s="1220">
        <f>ROUND(I10*H21,0)</f>
        <v>0</v>
      </c>
    </row>
    <row r="22" spans="1:9" ht="14.25">
      <c r="A22" s="3359" t="s">
        <v>1078</v>
      </c>
      <c r="B22" s="3360"/>
      <c r="C22" s="3361"/>
      <c r="D22" s="1227" t="s">
        <v>1079</v>
      </c>
      <c r="E22" s="1227" t="s">
        <v>1080</v>
      </c>
      <c r="F22" s="1228" t="s">
        <v>1081</v>
      </c>
      <c r="G22" s="1228" t="s">
        <v>1082</v>
      </c>
      <c r="H22" s="1221" t="s">
        <v>1083</v>
      </c>
      <c r="I22" s="1212" t="s">
        <v>1084</v>
      </c>
    </row>
    <row r="23" spans="1:9" ht="14.25" thickBot="1">
      <c r="A23" s="3362"/>
      <c r="B23" s="3363"/>
      <c r="C23" s="3364"/>
      <c r="D23" s="1229"/>
      <c r="E23" s="1229"/>
      <c r="F23" s="1229"/>
      <c r="G23" s="1230"/>
      <c r="H23" s="1231"/>
      <c r="I23" s="1232">
        <f>ROUND(E23*D23*F23*(1-G23)/10000,0)</f>
        <v>0</v>
      </c>
    </row>
    <row r="26" spans="1:9">
      <c r="A26" s="1233" t="s">
        <v>1085</v>
      </c>
      <c r="B26" s="1233"/>
      <c r="C26" s="1233"/>
      <c r="D26" s="1233"/>
      <c r="E26" s="3352">
        <f>C27-C30-C31-C32</f>
        <v>0</v>
      </c>
      <c r="F26" s="3352"/>
      <c r="G26" s="3352"/>
      <c r="H26" s="1498" t="s">
        <v>1306</v>
      </c>
    </row>
    <row r="27" spans="1:9">
      <c r="A27" s="1234">
        <v>1</v>
      </c>
      <c r="B27" s="1235" t="s">
        <v>1086</v>
      </c>
      <c r="C27" s="1235">
        <f>C28+C29</f>
        <v>0</v>
      </c>
      <c r="D27" s="1235"/>
      <c r="E27" s="3353"/>
      <c r="F27" s="3353"/>
      <c r="G27" s="3353"/>
    </row>
    <row r="28" spans="1:9">
      <c r="A28" s="1236" t="s">
        <v>1087</v>
      </c>
      <c r="B28" s="1235" t="s">
        <v>1088</v>
      </c>
      <c r="C28" s="1235"/>
      <c r="D28" s="1235"/>
      <c r="E28" s="3353"/>
      <c r="F28" s="3353"/>
      <c r="G28" s="335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54"/>
      <c r="F32" s="3354"/>
      <c r="G32" s="3354"/>
    </row>
    <row r="33" spans="1:7" hidden="1">
      <c r="A33" s="3349" t="s">
        <v>1097</v>
      </c>
      <c r="B33" s="3350"/>
      <c r="C33" s="3350"/>
      <c r="D33" s="3351"/>
      <c r="E33" s="3352"/>
      <c r="F33" s="3352"/>
      <c r="G33" s="3352"/>
    </row>
    <row r="34" spans="1:7" hidden="1">
      <c r="A34" s="1238">
        <v>1</v>
      </c>
      <c r="B34" s="1235" t="s">
        <v>1098</v>
      </c>
      <c r="C34" s="1235"/>
      <c r="D34" s="1235"/>
      <c r="E34" s="3353"/>
      <c r="F34" s="3353"/>
      <c r="G34" s="3353"/>
    </row>
    <row r="35" spans="1:7" hidden="1">
      <c r="A35" s="1238">
        <v>2</v>
      </c>
      <c r="B35" s="1235" t="s">
        <v>1099</v>
      </c>
      <c r="C35" s="1235"/>
      <c r="D35" s="1235"/>
      <c r="E35" s="3353"/>
      <c r="F35" s="3353"/>
      <c r="G35" s="3353"/>
    </row>
    <row r="36" spans="1:7" hidden="1">
      <c r="A36" s="1238">
        <v>3</v>
      </c>
      <c r="B36" s="1235" t="s">
        <v>1100</v>
      </c>
      <c r="C36" s="1235"/>
      <c r="D36" s="1235"/>
      <c r="E36" s="3353"/>
      <c r="F36" s="3353"/>
      <c r="G36" s="3353"/>
    </row>
    <row r="37" spans="1:7" hidden="1">
      <c r="A37" s="1238">
        <v>4</v>
      </c>
      <c r="B37" s="1235" t="s">
        <v>1101</v>
      </c>
      <c r="C37" s="1235"/>
      <c r="D37" s="1235"/>
      <c r="E37" s="3353"/>
      <c r="F37" s="3353"/>
      <c r="G37" s="3353"/>
    </row>
    <row r="38" spans="1:7" hidden="1">
      <c r="A38" s="3349" t="s">
        <v>1102</v>
      </c>
      <c r="B38" s="3350"/>
      <c r="C38" s="3350"/>
      <c r="D38" s="3351"/>
      <c r="E38" s="3352"/>
      <c r="F38" s="3352"/>
      <c r="G38" s="33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2350</v>
      </c>
      <c r="C1" s="1405" t="s">
        <v>2351</v>
      </c>
      <c r="D1" s="1392"/>
      <c r="E1" s="2543"/>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6"/>
      <c r="D2" s="1275" t="e">
        <f ca="1">SUMIF(INDIRECT("'"&amp;F2&amp;"'"&amp;"!A:A"),"承租人权益价值",INDIRECT("'"&amp;F2&amp;"'"&amp;"!c:c"))</f>
        <v>#REF!</v>
      </c>
      <c r="E2" s="2067" t="s">
        <v>2354</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2355</v>
      </c>
      <c r="D3" s="359">
        <f>IF(D1="",'数据-汇总表'!E3,SUMIF('数据-汇总表'!$C19:$C33,D1,'数据-汇总表'!$E19:$E33))</f>
        <v>58794.39</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2"/>
    </row>
    <row r="4" spans="1:29" ht="15">
      <c r="A4" s="361" t="s">
        <v>2356</v>
      </c>
      <c r="B4" s="362"/>
      <c r="C4" s="3303" t="s">
        <v>2357</v>
      </c>
      <c r="D4" s="3316"/>
      <c r="E4" s="3317" t="s">
        <v>2358</v>
      </c>
      <c r="F4" s="3318"/>
      <c r="G4" s="3303" t="s">
        <v>2359</v>
      </c>
      <c r="H4" s="3316"/>
      <c r="I4" s="3303" t="s">
        <v>2360</v>
      </c>
      <c r="J4" s="3316"/>
      <c r="K4" s="2074" t="s">
        <v>2361</v>
      </c>
      <c r="L4" s="2943"/>
      <c r="M4" s="2944"/>
      <c r="N4" s="2944"/>
      <c r="O4" s="2944"/>
      <c r="P4" s="3319" t="s">
        <v>2362</v>
      </c>
      <c r="Q4" s="3320"/>
      <c r="R4" s="3325" t="s">
        <v>2358</v>
      </c>
      <c r="S4" s="3326"/>
      <c r="T4" s="3325" t="s">
        <v>2359</v>
      </c>
      <c r="U4" s="3326"/>
      <c r="V4" s="3312" t="s">
        <v>2360</v>
      </c>
      <c r="W4" s="3312"/>
      <c r="X4" s="1538"/>
      <c r="Y4" s="3325" t="s">
        <v>2362</v>
      </c>
      <c r="Z4" s="3326"/>
      <c r="AA4" s="3313" t="s">
        <v>2358</v>
      </c>
      <c r="AB4" s="3313" t="s">
        <v>2359</v>
      </c>
      <c r="AC4" s="3313" t="s">
        <v>2360</v>
      </c>
    </row>
    <row r="5" spans="1:29" ht="15">
      <c r="A5" s="364"/>
      <c r="B5" s="365"/>
      <c r="C5" s="3333" t="s">
        <v>2363</v>
      </c>
      <c r="D5" s="3334"/>
      <c r="E5" s="3340" t="s">
        <v>2364</v>
      </c>
      <c r="F5" s="3341"/>
      <c r="G5" s="3333" t="s">
        <v>2365</v>
      </c>
      <c r="H5" s="3334"/>
      <c r="I5" s="3333" t="s">
        <v>2366</v>
      </c>
      <c r="J5" s="3334"/>
      <c r="K5" s="2075"/>
      <c r="L5" s="2943"/>
      <c r="M5" s="2944"/>
      <c r="N5" s="2944"/>
      <c r="O5" s="2944"/>
      <c r="P5" s="3321"/>
      <c r="Q5" s="3322"/>
      <c r="R5" s="3327"/>
      <c r="S5" s="3328"/>
      <c r="T5" s="3327"/>
      <c r="U5" s="3328"/>
      <c r="V5" s="3312"/>
      <c r="W5" s="3312"/>
      <c r="X5" s="1538"/>
      <c r="Y5" s="3327"/>
      <c r="Z5" s="3328"/>
      <c r="AA5" s="3314"/>
      <c r="AB5" s="3314"/>
      <c r="AC5" s="3314"/>
    </row>
    <row r="6" spans="1:29" ht="15.75" thickBot="1">
      <c r="A6" s="366"/>
      <c r="B6" s="367"/>
      <c r="C6" s="3331" t="s">
        <v>2367</v>
      </c>
      <c r="D6" s="3332"/>
      <c r="E6" s="3338" t="s">
        <v>2367</v>
      </c>
      <c r="F6" s="3339"/>
      <c r="G6" s="3331" t="s">
        <v>2367</v>
      </c>
      <c r="H6" s="3332"/>
      <c r="I6" s="3331" t="s">
        <v>2367</v>
      </c>
      <c r="J6" s="3332"/>
      <c r="K6" s="2075" t="s">
        <v>2368</v>
      </c>
      <c r="L6" s="2943"/>
      <c r="M6" s="2944"/>
      <c r="N6" s="2944"/>
      <c r="O6" s="2944"/>
      <c r="P6" s="3323"/>
      <c r="Q6" s="3324"/>
      <c r="R6" s="3327"/>
      <c r="S6" s="3328"/>
      <c r="T6" s="3329"/>
      <c r="U6" s="3330"/>
      <c r="V6" s="3312"/>
      <c r="W6" s="3312"/>
      <c r="X6" s="1538"/>
      <c r="Y6" s="3329"/>
      <c r="Z6" s="3330"/>
      <c r="AA6" s="3315"/>
      <c r="AB6" s="3315"/>
      <c r="AC6" s="3315"/>
    </row>
    <row r="7" spans="1:29" s="113" customFormat="1" ht="15.75" thickBot="1">
      <c r="A7" s="368" t="s">
        <v>2369</v>
      </c>
      <c r="B7" s="369"/>
      <c r="C7" s="370">
        <f>'数据-取费表'!B2</f>
        <v>44555</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35" t="s">
        <v>2370</v>
      </c>
      <c r="Q7" s="3337"/>
      <c r="R7" s="710" t="s">
        <v>23</v>
      </c>
      <c r="S7" s="711">
        <f t="shared" ref="S7:S15" si="0">F7</f>
        <v>0</v>
      </c>
      <c r="T7" s="710" t="s">
        <v>23</v>
      </c>
      <c r="U7" s="711">
        <f t="shared" ref="U7:U15" si="1">H7</f>
        <v>0</v>
      </c>
      <c r="V7" s="710" t="s">
        <v>23</v>
      </c>
      <c r="W7" s="711">
        <f t="shared" ref="W7:W15" si="2">J7</f>
        <v>0</v>
      </c>
      <c r="X7" s="712"/>
      <c r="Y7" s="3335" t="s">
        <v>2370</v>
      </c>
      <c r="Z7" s="3336"/>
      <c r="AA7" s="713" t="e">
        <f>D7/F7</f>
        <v>#DIV/0!</v>
      </c>
      <c r="AB7" s="713" t="e">
        <f>D7/H7</f>
        <v>#DIV/0!</v>
      </c>
      <c r="AC7" s="713" t="e">
        <f>D7/J7</f>
        <v>#DIV/0!</v>
      </c>
    </row>
    <row r="8" spans="1:29" s="113" customFormat="1" ht="15.75" thickBot="1">
      <c r="A8" s="368" t="s">
        <v>2371</v>
      </c>
      <c r="B8" s="369"/>
      <c r="C8" s="374" t="s">
        <v>2372</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35" t="s">
        <v>2373</v>
      </c>
      <c r="Q8" s="3336"/>
      <c r="R8" s="710" t="s">
        <v>23</v>
      </c>
      <c r="S8" s="711">
        <f t="shared" si="0"/>
        <v>0</v>
      </c>
      <c r="T8" s="710" t="s">
        <v>23</v>
      </c>
      <c r="U8" s="711">
        <f t="shared" si="1"/>
        <v>0</v>
      </c>
      <c r="V8" s="710" t="s">
        <v>23</v>
      </c>
      <c r="W8" s="711">
        <f t="shared" si="2"/>
        <v>0</v>
      </c>
      <c r="X8" s="712"/>
      <c r="Y8" s="3335" t="s">
        <v>2373</v>
      </c>
      <c r="Z8" s="3336"/>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305" t="s">
        <v>2376</v>
      </c>
      <c r="Q9" s="1526" t="str">
        <f t="shared" ref="Q9:Q15" si="6">B9</f>
        <v>用途</v>
      </c>
      <c r="R9" s="710" t="s">
        <v>17</v>
      </c>
      <c r="S9" s="711">
        <f t="shared" si="0"/>
        <v>100</v>
      </c>
      <c r="T9" s="710" t="s">
        <v>17</v>
      </c>
      <c r="U9" s="711">
        <f t="shared" si="1"/>
        <v>100</v>
      </c>
      <c r="V9" s="710" t="s">
        <v>17</v>
      </c>
      <c r="W9" s="711">
        <f t="shared" si="2"/>
        <v>100</v>
      </c>
      <c r="X9" s="712"/>
      <c r="Y9" s="320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05"/>
      <c r="Q10" s="1526" t="str">
        <f t="shared" si="6"/>
        <v>土地使用年限（年）</v>
      </c>
      <c r="R10" s="710" t="s">
        <v>17</v>
      </c>
      <c r="S10" s="711">
        <f t="shared" si="0"/>
        <v>100</v>
      </c>
      <c r="T10" s="710" t="s">
        <v>17</v>
      </c>
      <c r="U10" s="711">
        <f t="shared" si="1"/>
        <v>100</v>
      </c>
      <c r="V10" s="710" t="s">
        <v>17</v>
      </c>
      <c r="W10" s="711">
        <f t="shared" si="2"/>
        <v>100</v>
      </c>
      <c r="X10" s="712"/>
      <c r="Y10" s="320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05"/>
      <c r="Q11" s="1526" t="str">
        <f t="shared" si="6"/>
        <v>容积率</v>
      </c>
      <c r="R11" s="710" t="s">
        <v>21</v>
      </c>
      <c r="S11" s="711" t="e">
        <f t="shared" si="0"/>
        <v>#N/A</v>
      </c>
      <c r="T11" s="710" t="s">
        <v>21</v>
      </c>
      <c r="U11" s="711" t="e">
        <f t="shared" si="1"/>
        <v>#N/A</v>
      </c>
      <c r="V11" s="710" t="s">
        <v>21</v>
      </c>
      <c r="W11" s="711" t="e">
        <f t="shared" si="2"/>
        <v>#N/A</v>
      </c>
      <c r="X11" s="712"/>
      <c r="Y11" s="3200"/>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05"/>
      <c r="Q12" s="1526">
        <f t="shared" si="6"/>
        <v>111</v>
      </c>
      <c r="R12" s="710" t="s">
        <v>21</v>
      </c>
      <c r="S12" s="711">
        <f t="shared" si="0"/>
        <v>100</v>
      </c>
      <c r="T12" s="710" t="s">
        <v>21</v>
      </c>
      <c r="U12" s="711">
        <f t="shared" si="1"/>
        <v>100</v>
      </c>
      <c r="V12" s="710" t="s">
        <v>21</v>
      </c>
      <c r="W12" s="711">
        <f t="shared" si="2"/>
        <v>100</v>
      </c>
      <c r="X12" s="712"/>
      <c r="Y12" s="3200"/>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05"/>
      <c r="Q13" s="1526">
        <f t="shared" si="6"/>
        <v>111</v>
      </c>
      <c r="R13" s="710" t="s">
        <v>21</v>
      </c>
      <c r="S13" s="711">
        <f t="shared" si="0"/>
        <v>100</v>
      </c>
      <c r="T13" s="710" t="s">
        <v>21</v>
      </c>
      <c r="U13" s="711">
        <f t="shared" si="1"/>
        <v>100</v>
      </c>
      <c r="V13" s="710" t="s">
        <v>21</v>
      </c>
      <c r="W13" s="711">
        <f t="shared" si="2"/>
        <v>100</v>
      </c>
      <c r="X13" s="712"/>
      <c r="Y13" s="3200"/>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05"/>
      <c r="Q14" s="1526">
        <f t="shared" si="6"/>
        <v>111</v>
      </c>
      <c r="R14" s="710" t="s">
        <v>21</v>
      </c>
      <c r="S14" s="711">
        <f t="shared" si="0"/>
        <v>100</v>
      </c>
      <c r="T14" s="710" t="s">
        <v>21</v>
      </c>
      <c r="U14" s="711">
        <f t="shared" si="1"/>
        <v>100</v>
      </c>
      <c r="V14" s="710" t="s">
        <v>21</v>
      </c>
      <c r="W14" s="711">
        <f t="shared" si="2"/>
        <v>100</v>
      </c>
      <c r="X14" s="712"/>
      <c r="Y14" s="3200"/>
      <c r="Z14" s="55">
        <f t="shared" si="7"/>
        <v>111</v>
      </c>
      <c r="AA14" s="713">
        <f t="shared" si="3"/>
        <v>1</v>
      </c>
      <c r="AB14" s="713">
        <f t="shared" si="4"/>
        <v>1</v>
      </c>
      <c r="AC14" s="713">
        <f t="shared" si="5"/>
        <v>1</v>
      </c>
    </row>
    <row r="15" spans="1:29" ht="99.75">
      <c r="A15" s="399" t="s">
        <v>2380</v>
      </c>
      <c r="B15" s="65" t="s">
        <v>1943</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76" t="s">
        <v>2381</v>
      </c>
      <c r="Q15" s="1535" t="str">
        <f t="shared" si="6"/>
        <v>居住社区成熟度</v>
      </c>
      <c r="R15" s="714" t="s">
        <v>21</v>
      </c>
      <c r="S15" s="715">
        <f t="shared" si="0"/>
        <v>100</v>
      </c>
      <c r="T15" s="714" t="s">
        <v>21</v>
      </c>
      <c r="U15" s="715">
        <f t="shared" si="1"/>
        <v>100</v>
      </c>
      <c r="V15" s="714" t="s">
        <v>21</v>
      </c>
      <c r="W15" s="715">
        <f t="shared" si="2"/>
        <v>100</v>
      </c>
      <c r="X15" s="1538"/>
      <c r="Y15" s="3308" t="s">
        <v>2381</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50"/>
      <c r="M16" s="2944"/>
      <c r="N16" s="2944"/>
      <c r="O16" s="2944"/>
      <c r="P16" s="3377"/>
      <c r="Q16" s="1535"/>
      <c r="R16" s="714"/>
      <c r="S16" s="715"/>
      <c r="T16" s="714"/>
      <c r="U16" s="715"/>
      <c r="V16" s="714"/>
      <c r="W16" s="715"/>
      <c r="X16" s="1538"/>
      <c r="Y16" s="3309"/>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77"/>
      <c r="Q17" s="1535" t="str">
        <f>B17</f>
        <v>交通便捷度</v>
      </c>
      <c r="R17" s="714" t="s">
        <v>21</v>
      </c>
      <c r="S17" s="715">
        <f>F17</f>
        <v>100</v>
      </c>
      <c r="T17" s="714" t="s">
        <v>21</v>
      </c>
      <c r="U17" s="715">
        <f>H17</f>
        <v>100</v>
      </c>
      <c r="V17" s="714" t="s">
        <v>21</v>
      </c>
      <c r="W17" s="715">
        <f>J17</f>
        <v>100</v>
      </c>
      <c r="X17" s="1538"/>
      <c r="Y17" s="3309"/>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50"/>
      <c r="M18" s="2944"/>
      <c r="N18" s="2944"/>
      <c r="O18" s="2944"/>
      <c r="P18" s="3377"/>
      <c r="Q18" s="1535"/>
      <c r="R18" s="714"/>
      <c r="S18" s="715"/>
      <c r="T18" s="714"/>
      <c r="U18" s="715"/>
      <c r="V18" s="714"/>
      <c r="W18" s="715"/>
      <c r="X18" s="1538"/>
      <c r="Y18" s="3309"/>
      <c r="Z18" s="1539"/>
      <c r="AA18" s="1536">
        <v>1</v>
      </c>
      <c r="AB18" s="1536">
        <v>1</v>
      </c>
      <c r="AC18" s="1536">
        <v>1</v>
      </c>
    </row>
    <row r="19" spans="1:29" ht="42.75">
      <c r="A19" s="387"/>
      <c r="B19" s="410" t="s">
        <v>1944</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77"/>
      <c r="Q19" s="1535" t="str">
        <f>B19</f>
        <v>公共配套设施</v>
      </c>
      <c r="R19" s="714" t="s">
        <v>21</v>
      </c>
      <c r="S19" s="715">
        <f>F19</f>
        <v>100</v>
      </c>
      <c r="T19" s="714" t="s">
        <v>21</v>
      </c>
      <c r="U19" s="715">
        <f>H19</f>
        <v>100</v>
      </c>
      <c r="V19" s="714" t="s">
        <v>21</v>
      </c>
      <c r="W19" s="715">
        <f>J19</f>
        <v>100</v>
      </c>
      <c r="X19" s="1538"/>
      <c r="Y19" s="3309"/>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50"/>
      <c r="M20" s="2944"/>
      <c r="N20" s="2944"/>
      <c r="O20" s="2944"/>
      <c r="P20" s="3377"/>
      <c r="Q20" s="1535"/>
      <c r="R20" s="714"/>
      <c r="S20" s="715"/>
      <c r="T20" s="714"/>
      <c r="U20" s="715"/>
      <c r="V20" s="714"/>
      <c r="W20" s="715"/>
      <c r="X20" s="1538"/>
      <c r="Y20" s="3309"/>
      <c r="Z20" s="1539"/>
      <c r="AA20" s="1536">
        <v>1</v>
      </c>
      <c r="AB20" s="1536">
        <v>1</v>
      </c>
      <c r="AC20" s="1536">
        <v>1</v>
      </c>
    </row>
    <row r="21" spans="1:29" ht="28.5">
      <c r="A21" s="387"/>
      <c r="B21" s="1293" t="s">
        <v>1946</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77"/>
      <c r="Q21" s="1535" t="str">
        <f>B21</f>
        <v>基础设施水平</v>
      </c>
      <c r="R21" s="714" t="s">
        <v>17</v>
      </c>
      <c r="S21" s="715">
        <f>F21</f>
        <v>100</v>
      </c>
      <c r="T21" s="714" t="s">
        <v>17</v>
      </c>
      <c r="U21" s="715">
        <f>H21</f>
        <v>100</v>
      </c>
      <c r="V21" s="714" t="s">
        <v>17</v>
      </c>
      <c r="W21" s="715">
        <f>J21</f>
        <v>100</v>
      </c>
      <c r="X21" s="1538"/>
      <c r="Y21" s="3309"/>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7"/>
      <c r="G22" s="2089"/>
      <c r="H22" s="407"/>
      <c r="I22" s="406"/>
      <c r="J22" s="407"/>
      <c r="K22" s="2090"/>
      <c r="L22" s="2950"/>
      <c r="M22" s="2944"/>
      <c r="N22" s="2944"/>
      <c r="O22" s="2944"/>
      <c r="P22" s="3377"/>
      <c r="Q22" s="1535"/>
      <c r="R22" s="714"/>
      <c r="S22" s="715"/>
      <c r="T22" s="714"/>
      <c r="U22" s="715"/>
      <c r="V22" s="714"/>
      <c r="W22" s="715"/>
      <c r="X22" s="1538"/>
      <c r="Y22" s="3309"/>
      <c r="Z22" s="1539"/>
      <c r="AA22" s="1536">
        <v>1</v>
      </c>
      <c r="AB22" s="1536">
        <v>1</v>
      </c>
      <c r="AC22" s="1536">
        <v>1</v>
      </c>
    </row>
    <row r="23" spans="1:29" ht="57">
      <c r="A23" s="387"/>
      <c r="B23" s="410" t="s">
        <v>1947</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77"/>
      <c r="Q23" s="1535" t="str">
        <f>B23</f>
        <v>自然及人文环境</v>
      </c>
      <c r="R23" s="714" t="s">
        <v>21</v>
      </c>
      <c r="S23" s="715">
        <f>F23</f>
        <v>100</v>
      </c>
      <c r="T23" s="714" t="s">
        <v>21</v>
      </c>
      <c r="U23" s="715">
        <f>H23</f>
        <v>100</v>
      </c>
      <c r="V23" s="714" t="s">
        <v>21</v>
      </c>
      <c r="W23" s="715">
        <f>J23</f>
        <v>100</v>
      </c>
      <c r="X23" s="1538"/>
      <c r="Y23" s="3309"/>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50"/>
      <c r="M24" s="2944"/>
      <c r="N24" s="2944"/>
      <c r="O24" s="2944"/>
      <c r="P24" s="3377"/>
      <c r="Q24" s="1535"/>
      <c r="R24" s="714"/>
      <c r="S24" s="715"/>
      <c r="T24" s="714"/>
      <c r="U24" s="715"/>
      <c r="V24" s="714"/>
      <c r="W24" s="715"/>
      <c r="X24" s="1538"/>
      <c r="Y24" s="3309"/>
      <c r="Z24" s="1539"/>
      <c r="AA24" s="1536">
        <v>1</v>
      </c>
      <c r="AB24" s="1536">
        <v>1</v>
      </c>
      <c r="AC24" s="1536">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77"/>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09"/>
      <c r="Z25" s="1539" t="str">
        <f>Q25</f>
        <v>楼层-1</v>
      </c>
      <c r="AA25" s="1536">
        <f t="shared" ref="AA25:AA46" si="15">D25/F25</f>
        <v>1</v>
      </c>
      <c r="AB25" s="1536">
        <f t="shared" ref="AB25:AB46" si="16">D25/H25</f>
        <v>1</v>
      </c>
      <c r="AC25" s="1536">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77"/>
      <c r="Q26" s="1535" t="str">
        <f t="shared" si="11"/>
        <v>朝向</v>
      </c>
      <c r="R26" s="714" t="s">
        <v>21</v>
      </c>
      <c r="S26" s="715">
        <f t="shared" si="12"/>
        <v>100</v>
      </c>
      <c r="T26" s="714" t="s">
        <v>21</v>
      </c>
      <c r="U26" s="715">
        <f t="shared" si="13"/>
        <v>100</v>
      </c>
      <c r="V26" s="714" t="s">
        <v>21</v>
      </c>
      <c r="W26" s="715">
        <f t="shared" si="14"/>
        <v>100</v>
      </c>
      <c r="X26" s="1538"/>
      <c r="Y26" s="3309"/>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77"/>
      <c r="Q27" s="1526">
        <f t="shared" si="11"/>
        <v>111</v>
      </c>
      <c r="R27" s="710" t="s">
        <v>21</v>
      </c>
      <c r="S27" s="711">
        <f t="shared" si="12"/>
        <v>100</v>
      </c>
      <c r="T27" s="710" t="s">
        <v>21</v>
      </c>
      <c r="U27" s="711">
        <f t="shared" si="13"/>
        <v>100</v>
      </c>
      <c r="V27" s="710" t="s">
        <v>21</v>
      </c>
      <c r="W27" s="711">
        <f t="shared" si="14"/>
        <v>100</v>
      </c>
      <c r="X27" s="712"/>
      <c r="Y27" s="3309"/>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77"/>
      <c r="Q28" s="1535">
        <f t="shared" si="11"/>
        <v>111</v>
      </c>
      <c r="R28" s="714" t="s">
        <v>21</v>
      </c>
      <c r="S28" s="715">
        <f t="shared" si="12"/>
        <v>100</v>
      </c>
      <c r="T28" s="714" t="s">
        <v>21</v>
      </c>
      <c r="U28" s="715">
        <f t="shared" si="13"/>
        <v>100</v>
      </c>
      <c r="V28" s="714" t="s">
        <v>21</v>
      </c>
      <c r="W28" s="715">
        <f t="shared" si="14"/>
        <v>100</v>
      </c>
      <c r="X28" s="1538"/>
      <c r="Y28" s="3309"/>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77"/>
      <c r="Q29" s="1535">
        <f t="shared" si="11"/>
        <v>111</v>
      </c>
      <c r="R29" s="714" t="s">
        <v>21</v>
      </c>
      <c r="S29" s="715">
        <f t="shared" si="12"/>
        <v>100</v>
      </c>
      <c r="T29" s="714" t="s">
        <v>21</v>
      </c>
      <c r="U29" s="715">
        <f t="shared" si="13"/>
        <v>100</v>
      </c>
      <c r="V29" s="714" t="s">
        <v>21</v>
      </c>
      <c r="W29" s="715">
        <f t="shared" si="14"/>
        <v>100</v>
      </c>
      <c r="X29" s="1538"/>
      <c r="Y29" s="3309"/>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77"/>
      <c r="Q30" s="1535">
        <f t="shared" si="11"/>
        <v>111</v>
      </c>
      <c r="R30" s="714" t="s">
        <v>21</v>
      </c>
      <c r="S30" s="715">
        <f t="shared" si="12"/>
        <v>100</v>
      </c>
      <c r="T30" s="714" t="s">
        <v>21</v>
      </c>
      <c r="U30" s="715">
        <f t="shared" si="13"/>
        <v>100</v>
      </c>
      <c r="V30" s="714" t="s">
        <v>21</v>
      </c>
      <c r="W30" s="715">
        <f t="shared" si="14"/>
        <v>100</v>
      </c>
      <c r="X30" s="1538"/>
      <c r="Y30" s="3309"/>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77"/>
      <c r="Q31" s="1535">
        <f t="shared" si="11"/>
        <v>111</v>
      </c>
      <c r="R31" s="714" t="s">
        <v>21</v>
      </c>
      <c r="S31" s="715">
        <f t="shared" si="12"/>
        <v>100</v>
      </c>
      <c r="T31" s="714" t="s">
        <v>21</v>
      </c>
      <c r="U31" s="715">
        <f t="shared" si="13"/>
        <v>100</v>
      </c>
      <c r="V31" s="714" t="s">
        <v>21</v>
      </c>
      <c r="W31" s="715">
        <f t="shared" si="14"/>
        <v>100</v>
      </c>
      <c r="X31" s="1538"/>
      <c r="Y31" s="3309"/>
      <c r="Z31" s="1539">
        <f t="shared" si="18"/>
        <v>111</v>
      </c>
      <c r="AA31" s="1536">
        <f t="shared" si="15"/>
        <v>1</v>
      </c>
      <c r="AB31" s="1536">
        <f t="shared" si="16"/>
        <v>1</v>
      </c>
      <c r="AC31" s="1536">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72" t="s">
        <v>2386</v>
      </c>
      <c r="Q32" s="1535" t="str">
        <f t="shared" si="11"/>
        <v>建筑类型</v>
      </c>
      <c r="R32" s="714" t="s">
        <v>21</v>
      </c>
      <c r="S32" s="715">
        <f t="shared" si="12"/>
        <v>100</v>
      </c>
      <c r="T32" s="714" t="s">
        <v>21</v>
      </c>
      <c r="U32" s="715">
        <f t="shared" si="13"/>
        <v>100</v>
      </c>
      <c r="V32" s="714" t="s">
        <v>21</v>
      </c>
      <c r="W32" s="715">
        <f t="shared" si="14"/>
        <v>100</v>
      </c>
      <c r="X32" s="1538"/>
      <c r="Y32" s="3311" t="s">
        <v>2386</v>
      </c>
      <c r="Z32" s="1539" t="str">
        <f t="shared" si="18"/>
        <v>建筑类型</v>
      </c>
      <c r="AA32" s="1536">
        <f t="shared" si="15"/>
        <v>1</v>
      </c>
      <c r="AB32" s="1536">
        <f t="shared" si="16"/>
        <v>1</v>
      </c>
      <c r="AC32" s="1536">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73"/>
      <c r="Q33" s="716" t="str">
        <f t="shared" si="11"/>
        <v>项目建筑规模</v>
      </c>
      <c r="R33" s="717" t="s">
        <v>21</v>
      </c>
      <c r="S33" s="718" t="e">
        <f t="shared" si="12"/>
        <v>#N/A</v>
      </c>
      <c r="T33" s="717" t="s">
        <v>21</v>
      </c>
      <c r="U33" s="718" t="e">
        <f t="shared" si="13"/>
        <v>#N/A</v>
      </c>
      <c r="V33" s="717" t="s">
        <v>21</v>
      </c>
      <c r="W33" s="718" t="e">
        <f t="shared" si="14"/>
        <v>#N/A</v>
      </c>
      <c r="X33" s="719"/>
      <c r="Y33" s="3311"/>
      <c r="Z33" s="720" t="str">
        <f t="shared" si="18"/>
        <v>项目建筑规模</v>
      </c>
      <c r="AA33" s="1536" t="e">
        <f t="shared" si="15"/>
        <v>#N/A</v>
      </c>
      <c r="AB33" s="1536" t="e">
        <f t="shared" si="16"/>
        <v>#N/A</v>
      </c>
      <c r="AC33" s="1536" t="e">
        <f t="shared" si="17"/>
        <v>#N/A</v>
      </c>
    </row>
    <row r="34" spans="1:29" ht="15">
      <c r="A34" s="431"/>
      <c r="B34" s="381" t="s">
        <v>2388</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73"/>
      <c r="Q34" s="1535" t="str">
        <f t="shared" si="11"/>
        <v>建筑结构</v>
      </c>
      <c r="R34" s="714" t="s">
        <v>21</v>
      </c>
      <c r="S34" s="715">
        <f t="shared" si="12"/>
        <v>100</v>
      </c>
      <c r="T34" s="714" t="s">
        <v>21</v>
      </c>
      <c r="U34" s="715">
        <f t="shared" si="13"/>
        <v>100</v>
      </c>
      <c r="V34" s="714" t="s">
        <v>21</v>
      </c>
      <c r="W34" s="715">
        <f t="shared" si="14"/>
        <v>100</v>
      </c>
      <c r="X34" s="1538"/>
      <c r="Y34" s="3311"/>
      <c r="Z34" s="1539" t="str">
        <f t="shared" si="18"/>
        <v>建筑结构</v>
      </c>
      <c r="AA34" s="1536">
        <f t="shared" si="15"/>
        <v>1</v>
      </c>
      <c r="AB34" s="1536">
        <f t="shared" si="16"/>
        <v>1</v>
      </c>
      <c r="AC34" s="1536">
        <f t="shared" si="17"/>
        <v>1</v>
      </c>
    </row>
    <row r="35" spans="1:29" ht="15">
      <c r="A35" s="431"/>
      <c r="B35" s="381" t="s">
        <v>2389</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73"/>
      <c r="Q35" s="1535" t="str">
        <f t="shared" si="11"/>
        <v>建筑品质</v>
      </c>
      <c r="R35" s="714" t="s">
        <v>21</v>
      </c>
      <c r="S35" s="715">
        <f t="shared" si="12"/>
        <v>100</v>
      </c>
      <c r="T35" s="714" t="s">
        <v>21</v>
      </c>
      <c r="U35" s="715">
        <f t="shared" si="13"/>
        <v>100</v>
      </c>
      <c r="V35" s="714" t="s">
        <v>21</v>
      </c>
      <c r="W35" s="715">
        <f t="shared" si="14"/>
        <v>100</v>
      </c>
      <c r="X35" s="1538"/>
      <c r="Y35" s="3311"/>
      <c r="Z35" s="1539" t="str">
        <f t="shared" si="18"/>
        <v>建筑品质</v>
      </c>
      <c r="AA35" s="1536">
        <f t="shared" si="15"/>
        <v>1</v>
      </c>
      <c r="AB35" s="1536">
        <f t="shared" si="16"/>
        <v>1</v>
      </c>
      <c r="AC35" s="1536">
        <f t="shared" si="17"/>
        <v>1</v>
      </c>
    </row>
    <row r="36" spans="1:29" ht="15">
      <c r="A36" s="431"/>
      <c r="B36" s="381" t="s">
        <v>2390</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73"/>
      <c r="Q36" s="1535" t="str">
        <f t="shared" si="11"/>
        <v>公共部分装修</v>
      </c>
      <c r="R36" s="714" t="s">
        <v>21</v>
      </c>
      <c r="S36" s="715">
        <f t="shared" si="12"/>
        <v>100</v>
      </c>
      <c r="T36" s="714" t="s">
        <v>21</v>
      </c>
      <c r="U36" s="715">
        <f t="shared" si="13"/>
        <v>100</v>
      </c>
      <c r="V36" s="714" t="s">
        <v>21</v>
      </c>
      <c r="W36" s="715">
        <f t="shared" si="14"/>
        <v>100</v>
      </c>
      <c r="X36" s="1538"/>
      <c r="Y36" s="3311"/>
      <c r="Z36" s="1539" t="str">
        <f t="shared" si="18"/>
        <v>公共部分装修</v>
      </c>
      <c r="AA36" s="1536">
        <f t="shared" si="15"/>
        <v>1</v>
      </c>
      <c r="AB36" s="1536">
        <f t="shared" si="16"/>
        <v>1</v>
      </c>
      <c r="AC36" s="1536">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73"/>
      <c r="Q37" s="1526" t="str">
        <f t="shared" si="11"/>
        <v>成新度</v>
      </c>
      <c r="R37" s="710" t="s">
        <v>21</v>
      </c>
      <c r="S37" s="711" t="e">
        <f t="shared" si="12"/>
        <v>#N/A</v>
      </c>
      <c r="T37" s="710" t="s">
        <v>21</v>
      </c>
      <c r="U37" s="711" t="e">
        <f t="shared" si="13"/>
        <v>#N/A</v>
      </c>
      <c r="V37" s="710" t="s">
        <v>21</v>
      </c>
      <c r="W37" s="711" t="e">
        <f t="shared" si="14"/>
        <v>#N/A</v>
      </c>
      <c r="X37" s="712"/>
      <c r="Y37" s="3311"/>
      <c r="Z37" s="55" t="str">
        <f t="shared" si="18"/>
        <v>成新度</v>
      </c>
      <c r="AA37" s="713" t="e">
        <f t="shared" si="15"/>
        <v>#N/A</v>
      </c>
      <c r="AB37" s="713" t="e">
        <f t="shared" si="16"/>
        <v>#N/A</v>
      </c>
      <c r="AC37" s="713" t="e">
        <f t="shared" si="17"/>
        <v>#N/A</v>
      </c>
    </row>
    <row r="38" spans="1:29" ht="15">
      <c r="A38" s="431"/>
      <c r="B38" s="381" t="s">
        <v>2392</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73" t="s">
        <v>2386</v>
      </c>
      <c r="Q38" s="1535" t="str">
        <f t="shared" si="11"/>
        <v>物业管理</v>
      </c>
      <c r="R38" s="714" t="s">
        <v>21</v>
      </c>
      <c r="S38" s="715">
        <f t="shared" si="12"/>
        <v>100</v>
      </c>
      <c r="T38" s="714" t="s">
        <v>21</v>
      </c>
      <c r="U38" s="715">
        <f t="shared" si="13"/>
        <v>100</v>
      </c>
      <c r="V38" s="714" t="s">
        <v>21</v>
      </c>
      <c r="W38" s="715">
        <f t="shared" si="14"/>
        <v>100</v>
      </c>
      <c r="X38" s="1538"/>
      <c r="Y38" s="3311" t="s">
        <v>2386</v>
      </c>
      <c r="Z38" s="1539" t="str">
        <f t="shared" si="18"/>
        <v>物业管理</v>
      </c>
      <c r="AA38" s="1536">
        <f t="shared" si="15"/>
        <v>1</v>
      </c>
      <c r="AB38" s="1536">
        <f t="shared" si="16"/>
        <v>1</v>
      </c>
      <c r="AC38" s="1536">
        <f t="shared" si="17"/>
        <v>1</v>
      </c>
    </row>
    <row r="39" spans="1:29" ht="15">
      <c r="A39" s="431"/>
      <c r="B39" s="381" t="s">
        <v>2393</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73"/>
      <c r="Q39" s="1535" t="str">
        <f t="shared" si="11"/>
        <v>市政基础设施</v>
      </c>
      <c r="R39" s="714" t="s">
        <v>21</v>
      </c>
      <c r="S39" s="715">
        <f t="shared" si="12"/>
        <v>100</v>
      </c>
      <c r="T39" s="714" t="s">
        <v>21</v>
      </c>
      <c r="U39" s="715">
        <f t="shared" si="13"/>
        <v>100</v>
      </c>
      <c r="V39" s="714" t="s">
        <v>21</v>
      </c>
      <c r="W39" s="715">
        <f t="shared" si="14"/>
        <v>100</v>
      </c>
      <c r="X39" s="1538"/>
      <c r="Y39" s="3311"/>
      <c r="Z39" s="1539" t="str">
        <f t="shared" si="18"/>
        <v>市政基础设施</v>
      </c>
      <c r="AA39" s="1536">
        <f t="shared" si="15"/>
        <v>1</v>
      </c>
      <c r="AB39" s="1536">
        <f t="shared" si="16"/>
        <v>1</v>
      </c>
      <c r="AC39" s="1536">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73"/>
      <c r="Q40" s="1535" t="str">
        <f t="shared" si="11"/>
        <v>房型</v>
      </c>
      <c r="R40" s="714" t="s">
        <v>21</v>
      </c>
      <c r="S40" s="715">
        <f t="shared" si="12"/>
        <v>100</v>
      </c>
      <c r="T40" s="714" t="s">
        <v>21</v>
      </c>
      <c r="U40" s="715">
        <f t="shared" si="13"/>
        <v>100</v>
      </c>
      <c r="V40" s="714" t="s">
        <v>21</v>
      </c>
      <c r="W40" s="715">
        <f t="shared" si="14"/>
        <v>100</v>
      </c>
      <c r="X40" s="1538"/>
      <c r="Y40" s="3311"/>
      <c r="Z40" s="1539" t="str">
        <f t="shared" si="18"/>
        <v>房型</v>
      </c>
      <c r="AA40" s="1536">
        <f t="shared" si="15"/>
        <v>1</v>
      </c>
      <c r="AB40" s="1536">
        <f t="shared" si="16"/>
        <v>1</v>
      </c>
      <c r="AC40" s="1536">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73"/>
      <c r="Q41" s="716" t="str">
        <f t="shared" si="11"/>
        <v>单套/主力户型建筑面积</v>
      </c>
      <c r="R41" s="717" t="s">
        <v>21</v>
      </c>
      <c r="S41" s="718">
        <f t="shared" si="12"/>
        <v>100</v>
      </c>
      <c r="T41" s="717" t="s">
        <v>21</v>
      </c>
      <c r="U41" s="718">
        <f t="shared" si="13"/>
        <v>100</v>
      </c>
      <c r="V41" s="717" t="s">
        <v>21</v>
      </c>
      <c r="W41" s="718">
        <f t="shared" si="14"/>
        <v>100</v>
      </c>
      <c r="X41" s="719"/>
      <c r="Y41" s="3311"/>
      <c r="Z41" s="720" t="str">
        <f t="shared" si="18"/>
        <v>单套/主力户型建筑面积</v>
      </c>
      <c r="AA41" s="1536">
        <f t="shared" si="15"/>
        <v>1</v>
      </c>
      <c r="AB41" s="1536">
        <f t="shared" si="16"/>
        <v>1</v>
      </c>
      <c r="AC41" s="1536">
        <f t="shared" si="17"/>
        <v>1</v>
      </c>
    </row>
    <row r="42" spans="1:29" ht="15">
      <c r="A42" s="431"/>
      <c r="B42" s="381" t="s">
        <v>2396</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73"/>
      <c r="Q42" s="1535" t="str">
        <f t="shared" si="11"/>
        <v>内部装修</v>
      </c>
      <c r="R42" s="714" t="s">
        <v>21</v>
      </c>
      <c r="S42" s="715">
        <f t="shared" si="12"/>
        <v>100</v>
      </c>
      <c r="T42" s="714" t="s">
        <v>21</v>
      </c>
      <c r="U42" s="715">
        <f t="shared" si="13"/>
        <v>100</v>
      </c>
      <c r="V42" s="714" t="s">
        <v>21</v>
      </c>
      <c r="W42" s="715">
        <f t="shared" si="14"/>
        <v>100</v>
      </c>
      <c r="X42" s="1538"/>
      <c r="Y42" s="3311"/>
      <c r="Z42" s="1539" t="str">
        <f t="shared" si="18"/>
        <v>内部装修</v>
      </c>
      <c r="AA42" s="1536">
        <f t="shared" si="15"/>
        <v>1</v>
      </c>
      <c r="AB42" s="1536">
        <f t="shared" si="16"/>
        <v>1</v>
      </c>
      <c r="AC42" s="1536">
        <f t="shared" si="17"/>
        <v>1</v>
      </c>
    </row>
    <row r="43" spans="1:29" ht="15">
      <c r="A43" s="431"/>
      <c r="B43" s="381" t="s">
        <v>2397</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73"/>
      <c r="Q43" s="1535" t="str">
        <f t="shared" si="11"/>
        <v>内部装修维护情况</v>
      </c>
      <c r="R43" s="714" t="s">
        <v>21</v>
      </c>
      <c r="S43" s="715">
        <f t="shared" si="12"/>
        <v>100</v>
      </c>
      <c r="T43" s="714" t="s">
        <v>21</v>
      </c>
      <c r="U43" s="715">
        <f t="shared" si="13"/>
        <v>100</v>
      </c>
      <c r="V43" s="714" t="s">
        <v>21</v>
      </c>
      <c r="W43" s="715">
        <f t="shared" si="14"/>
        <v>100</v>
      </c>
      <c r="X43" s="1538"/>
      <c r="Y43" s="3311"/>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73"/>
      <c r="Q44" s="1526">
        <f t="shared" si="11"/>
        <v>111</v>
      </c>
      <c r="R44" s="710" t="s">
        <v>21</v>
      </c>
      <c r="S44" s="711">
        <f t="shared" si="12"/>
        <v>100</v>
      </c>
      <c r="T44" s="710" t="s">
        <v>21</v>
      </c>
      <c r="U44" s="711">
        <f t="shared" si="13"/>
        <v>100</v>
      </c>
      <c r="V44" s="710" t="s">
        <v>21</v>
      </c>
      <c r="W44" s="711">
        <f t="shared" si="14"/>
        <v>100</v>
      </c>
      <c r="X44" s="712"/>
      <c r="Y44" s="331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73"/>
      <c r="Q45" s="1535">
        <f t="shared" si="11"/>
        <v>111</v>
      </c>
      <c r="R45" s="714" t="s">
        <v>21</v>
      </c>
      <c r="S45" s="715">
        <f t="shared" si="12"/>
        <v>100</v>
      </c>
      <c r="T45" s="714" t="s">
        <v>21</v>
      </c>
      <c r="U45" s="715">
        <f t="shared" si="13"/>
        <v>100</v>
      </c>
      <c r="V45" s="714" t="s">
        <v>21</v>
      </c>
      <c r="W45" s="715">
        <f t="shared" si="14"/>
        <v>100</v>
      </c>
      <c r="X45" s="1538"/>
      <c r="Y45" s="3311"/>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74"/>
      <c r="Q46" s="1535">
        <f t="shared" si="11"/>
        <v>111</v>
      </c>
      <c r="R46" s="714" t="s">
        <v>20</v>
      </c>
      <c r="S46" s="715">
        <f t="shared" si="12"/>
        <v>100</v>
      </c>
      <c r="T46" s="714" t="s">
        <v>20</v>
      </c>
      <c r="U46" s="715">
        <f t="shared" si="13"/>
        <v>100</v>
      </c>
      <c r="V46" s="714" t="s">
        <v>20</v>
      </c>
      <c r="W46" s="715">
        <f t="shared" si="14"/>
        <v>100</v>
      </c>
      <c r="X46" s="1538"/>
      <c r="Y46" s="3375"/>
      <c r="Z46" s="1539">
        <f t="shared" si="18"/>
        <v>111</v>
      </c>
      <c r="AA46" s="1536">
        <f t="shared" si="15"/>
        <v>1</v>
      </c>
      <c r="AB46" s="1536">
        <f t="shared" si="16"/>
        <v>1</v>
      </c>
      <c r="AC46" s="1536">
        <f t="shared" si="17"/>
        <v>1</v>
      </c>
    </row>
    <row r="47" spans="1:29" ht="15">
      <c r="A47" s="438" t="s">
        <v>2398</v>
      </c>
      <c r="B47" s="439"/>
      <c r="C47" s="1315" t="s">
        <v>19</v>
      </c>
      <c r="D47" s="1316"/>
      <c r="E47" s="1317"/>
      <c r="F47" s="1318"/>
      <c r="G47" s="1319"/>
      <c r="H47" s="1320"/>
      <c r="I47" s="1317"/>
      <c r="J47" s="1320"/>
      <c r="K47" s="2099"/>
      <c r="L47" s="2952"/>
      <c r="M47" s="2953"/>
      <c r="N47" s="2944"/>
      <c r="O47" s="2953"/>
      <c r="P47" s="3306" t="str">
        <f>A47</f>
        <v>成交单价（元/平方米）</v>
      </c>
      <c r="Q47" s="3306"/>
      <c r="R47" s="3371">
        <f>E47</f>
        <v>0</v>
      </c>
      <c r="S47" s="3371"/>
      <c r="T47" s="3371">
        <f>G47</f>
        <v>0</v>
      </c>
      <c r="U47" s="3371"/>
      <c r="V47" s="3371">
        <f>I47</f>
        <v>0</v>
      </c>
      <c r="W47" s="3371"/>
      <c r="X47" s="699"/>
      <c r="Y47" s="721"/>
      <c r="Z47" s="699"/>
      <c r="AA47" s="699"/>
      <c r="AB47" s="699"/>
      <c r="AC47" s="699"/>
    </row>
    <row r="48" spans="1:29" ht="15.75" thickBot="1">
      <c r="A48" s="445" t="s">
        <v>2399</v>
      </c>
      <c r="B48" s="446"/>
      <c r="C48" s="1321" t="e">
        <f>R49</f>
        <v>#DIV/0!</v>
      </c>
      <c r="D48" s="2537" t="s">
        <v>2880</v>
      </c>
      <c r="E48" s="1322" t="e">
        <f>R48</f>
        <v>#DIV/0!</v>
      </c>
      <c r="F48" s="2538"/>
      <c r="G48" s="1321" t="e">
        <f>T48</f>
        <v>#DIV/0!</v>
      </c>
      <c r="H48" s="2538"/>
      <c r="I48" s="1322" t="e">
        <f>V48</f>
        <v>#DIV/0!</v>
      </c>
      <c r="J48" s="2538"/>
      <c r="K48" s="2539">
        <f>F48+H48+J48</f>
        <v>0</v>
      </c>
      <c r="L48" s="2952"/>
      <c r="M48" s="2953"/>
      <c r="N48" s="2953"/>
      <c r="O48" s="2953"/>
      <c r="P48" s="3306" t="str">
        <f>A48</f>
        <v>比较价值（元/平方米）</v>
      </c>
      <c r="Q48" s="3306"/>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699"/>
      <c r="Y48" s="699"/>
      <c r="Z48" s="699"/>
      <c r="AA48" s="699"/>
      <c r="AB48" s="699"/>
      <c r="AC48" s="699"/>
    </row>
    <row r="49" spans="1:29" ht="15.75" thickBot="1">
      <c r="A49" s="449" t="s">
        <v>2400</v>
      </c>
      <c r="B49" s="450"/>
      <c r="C49" s="1323" t="e">
        <f>R49</f>
        <v>#DIV/0!</v>
      </c>
      <c r="D49" s="1324"/>
      <c r="E49" s="1324"/>
      <c r="F49" s="1324"/>
      <c r="G49" s="1324"/>
      <c r="H49" s="1324"/>
      <c r="I49" s="1324"/>
      <c r="J49" s="1324"/>
      <c r="K49" s="2100"/>
      <c r="L49" s="2952"/>
      <c r="M49" s="2953"/>
      <c r="N49" s="2953"/>
      <c r="O49" s="2953"/>
      <c r="P49" s="3300" t="str">
        <f>A49</f>
        <v>估价对象XX用房的比较价值（楼面单价，元/平方米）</v>
      </c>
      <c r="Q49" s="3301"/>
      <c r="R49" s="3370" t="e">
        <f>IF(F1="售价",ROUND(IF(D48="简单平均",AVERAGE(R48:V48),R48*F48+T48*H48+V48*J48),0),ROUND(IF(D48="简单平均",AVERAGE(R48:V48),R48*F48+T48*H48+V48*J48),1))</f>
        <v>#DIV/0!</v>
      </c>
      <c r="S49" s="3370"/>
      <c r="T49" s="3370"/>
      <c r="U49" s="3370"/>
      <c r="V49" s="3370"/>
      <c r="W49" s="3370"/>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3"/>
      <c r="Q57" s="461"/>
    </row>
    <row r="58" spans="1:29" s="465" customFormat="1" ht="15">
      <c r="A58" s="462" t="s">
        <v>2405</v>
      </c>
      <c r="B58" s="463"/>
      <c r="C58" s="1347" t="str">
        <f>YEAR(C7)&amp;"-"&amp;MONTH(C7)</f>
        <v>2021-12</v>
      </c>
      <c r="D58" s="1346">
        <f>EDATE(C58,-1)</f>
        <v>44501</v>
      </c>
      <c r="E58" s="1346">
        <f>EDATE(D58,-1)</f>
        <v>44470</v>
      </c>
      <c r="F58" s="1346">
        <f t="shared" ref="F58:O58" si="19">EDATE(E58,-1)</f>
        <v>44440</v>
      </c>
      <c r="G58" s="1346">
        <f t="shared" si="19"/>
        <v>44409</v>
      </c>
      <c r="H58" s="1346">
        <f t="shared" si="19"/>
        <v>44378</v>
      </c>
      <c r="I58" s="1346">
        <f t="shared" si="19"/>
        <v>44348</v>
      </c>
      <c r="J58" s="1346">
        <f t="shared" si="19"/>
        <v>44317</v>
      </c>
      <c r="K58" s="1346">
        <f t="shared" si="19"/>
        <v>44287</v>
      </c>
      <c r="L58" s="1346">
        <f t="shared" si="19"/>
        <v>44256</v>
      </c>
      <c r="M58" s="1346">
        <f t="shared" si="19"/>
        <v>44228</v>
      </c>
      <c r="N58" s="1346">
        <f t="shared" si="19"/>
        <v>44197</v>
      </c>
      <c r="O58" s="1346">
        <f t="shared" si="19"/>
        <v>44166</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2406</v>
      </c>
      <c r="B60" s="473"/>
      <c r="C60" s="474"/>
      <c r="D60" s="475"/>
      <c r="E60" s="475"/>
      <c r="F60" s="475"/>
      <c r="G60" s="475"/>
      <c r="H60" s="475"/>
      <c r="I60" s="475"/>
      <c r="J60" s="475"/>
      <c r="K60" s="475"/>
      <c r="L60" s="475"/>
      <c r="M60" s="476"/>
      <c r="N60" s="475"/>
      <c r="O60" s="476"/>
      <c r="P60" s="2105"/>
      <c r="Q60" s="461"/>
    </row>
    <row r="61" spans="1:29" s="113" customFormat="1" ht="15">
      <c r="A61" s="478" t="s">
        <v>2407</v>
      </c>
      <c r="B61" s="467"/>
      <c r="C61" s="479" t="s">
        <v>2408</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2409</v>
      </c>
      <c r="B63" s="485" t="s">
        <v>2375</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2431</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2432</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2384</v>
      </c>
      <c r="B100" s="485" t="s">
        <v>2433</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2435</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2436</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2437</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2438</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2439</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2440</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2441</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2" t="s">
        <v>2446</v>
      </c>
      <c r="D138" s="142" t="s">
        <v>2447</v>
      </c>
      <c r="E138" s="2122" t="s">
        <v>2448</v>
      </c>
      <c r="F138" s="2123" t="s">
        <v>2449</v>
      </c>
      <c r="G138" s="142" t="s">
        <v>2447</v>
      </c>
      <c r="H138" s="143" t="s">
        <v>2448</v>
      </c>
      <c r="I138" s="2124"/>
      <c r="J138" s="142" t="s">
        <v>2450</v>
      </c>
      <c r="K138" s="143" t="s">
        <v>2451</v>
      </c>
    </row>
    <row r="139" spans="1:17" ht="15">
      <c r="B139" s="998">
        <v>6</v>
      </c>
      <c r="C139" s="999">
        <v>96</v>
      </c>
      <c r="D139" s="2125" t="s">
        <v>2452</v>
      </c>
      <c r="E139" s="1000">
        <v>100</v>
      </c>
      <c r="F139" s="1001">
        <v>102.5</v>
      </c>
      <c r="G139" s="2125" t="s">
        <v>2452</v>
      </c>
      <c r="H139" s="1002">
        <v>105</v>
      </c>
      <c r="I139" s="2126" t="s">
        <v>2453</v>
      </c>
      <c r="J139" s="999">
        <v>20</v>
      </c>
      <c r="K139" s="1003">
        <f>C145/(J139-2)</f>
        <v>4.0555555555555553E-3</v>
      </c>
    </row>
    <row r="140" spans="1:17" ht="15">
      <c r="B140" s="1004">
        <v>5</v>
      </c>
      <c r="C140" s="1005">
        <v>100</v>
      </c>
      <c r="D140" s="1005"/>
      <c r="E140" s="1006"/>
      <c r="F140" s="1007">
        <v>102</v>
      </c>
      <c r="G140" s="1005"/>
      <c r="H140" s="1008"/>
      <c r="I140" s="2127" t="s">
        <v>2454</v>
      </c>
      <c r="J140" s="277">
        <f>ROUNDUP((J139-1)/2,0)</f>
        <v>10</v>
      </c>
      <c r="K140" s="1009">
        <v>100</v>
      </c>
    </row>
    <row r="141" spans="1:17" ht="15">
      <c r="B141" s="1004">
        <v>4</v>
      </c>
      <c r="C141" s="1005">
        <v>102</v>
      </c>
      <c r="D141" s="1005"/>
      <c r="E141" s="1006"/>
      <c r="F141" s="1007">
        <v>101.5</v>
      </c>
      <c r="G141" s="1005"/>
      <c r="H141" s="1008"/>
      <c r="I141" s="2127" t="s">
        <v>2455</v>
      </c>
      <c r="J141" s="277">
        <v>1</v>
      </c>
      <c r="K141" s="1010">
        <f>ROUND(100+(J141-J140)*K139*100,1)</f>
        <v>96.4</v>
      </c>
    </row>
    <row r="142" spans="1:17" ht="15">
      <c r="B142" s="1004">
        <v>3</v>
      </c>
      <c r="C142" s="1005">
        <v>103</v>
      </c>
      <c r="D142" s="1005"/>
      <c r="E142" s="1006"/>
      <c r="F142" s="1007">
        <v>101</v>
      </c>
      <c r="G142" s="1005"/>
      <c r="H142" s="1008"/>
      <c r="I142" s="2127" t="s">
        <v>2456</v>
      </c>
      <c r="J142" s="277">
        <f>J139</f>
        <v>20</v>
      </c>
      <c r="K142" s="1011">
        <v>95</v>
      </c>
    </row>
    <row r="143" spans="1:17" ht="15">
      <c r="B143" s="1004">
        <v>2</v>
      </c>
      <c r="C143" s="1005">
        <v>100</v>
      </c>
      <c r="D143" s="1005"/>
      <c r="E143" s="1006"/>
      <c r="F143" s="1007">
        <v>100.5</v>
      </c>
      <c r="G143" s="1005"/>
      <c r="H143" s="1008"/>
      <c r="I143" s="2127" t="s">
        <v>2457</v>
      </c>
      <c r="J143" s="1005">
        <v>15</v>
      </c>
      <c r="K143" s="1010">
        <f>ROUND(100+(J143-J140)*K139*100,1)</f>
        <v>102</v>
      </c>
    </row>
    <row r="144" spans="1:17" ht="15">
      <c r="B144" s="1004">
        <v>1</v>
      </c>
      <c r="C144" s="1005">
        <v>98</v>
      </c>
      <c r="D144" s="2128" t="s">
        <v>2458</v>
      </c>
      <c r="E144" s="1006">
        <v>102</v>
      </c>
      <c r="F144" s="1012">
        <v>100</v>
      </c>
      <c r="G144" s="2128" t="s">
        <v>2458</v>
      </c>
      <c r="H144" s="1008">
        <v>105</v>
      </c>
      <c r="I144" s="2127" t="s">
        <v>2457</v>
      </c>
      <c r="J144" s="1005">
        <v>18</v>
      </c>
      <c r="K144" s="1010">
        <f>ROUND(100+(J144-J140)*K139*100,1)</f>
        <v>103.2</v>
      </c>
    </row>
    <row r="145" spans="2:11" ht="15.75" thickBot="1">
      <c r="B145" s="2129" t="s">
        <v>2459</v>
      </c>
      <c r="C145" s="1013">
        <f>ROUND(MAX(C139:C144)/MIN(C139:C144)-1,3)</f>
        <v>7.2999999999999995E-2</v>
      </c>
      <c r="D145" s="1014"/>
      <c r="E145" s="1014"/>
      <c r="F145" s="2130" t="s">
        <v>2460</v>
      </c>
      <c r="G145" s="2131"/>
      <c r="H145" s="2132"/>
      <c r="I145" s="2133" t="s">
        <v>2457</v>
      </c>
      <c r="J145" s="1015">
        <v>8</v>
      </c>
      <c r="K145" s="1016">
        <f>ROUND(100+(J145-J140)*K139*100,1)</f>
        <v>99.2</v>
      </c>
    </row>
    <row r="147" spans="2:11">
      <c r="B147" s="2114" t="s">
        <v>2461</v>
      </c>
    </row>
    <row r="148" spans="2:11">
      <c r="B148" s="2114"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2463</v>
      </c>
      <c r="C1" s="1405" t="s">
        <v>2351</v>
      </c>
      <c r="D1" s="1392"/>
      <c r="E1" s="2542"/>
      <c r="F1" s="2064"/>
      <c r="G1" s="1402" t="s">
        <v>2464</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2148</v>
      </c>
      <c r="B2" s="1325" t="e">
        <f ca="1">IF(C2="——",ROUND(C49*D3/10000,0),ROUND(C49*D3/10000,0)-D2)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2150</v>
      </c>
      <c r="B3" s="566" t="e">
        <f ca="1">IF(C2="——",C49,ROUND(B2*10000/D3,0))</f>
        <v>#DIV/0!</v>
      </c>
      <c r="C3" s="360" t="s">
        <v>2465</v>
      </c>
      <c r="D3" s="359">
        <f>IF(D1="",'数据-汇总表'!E3,SUMIF('数据-汇总表'!$C19:$C33,D1,'数据-汇总表'!$E19:$E33))</f>
        <v>58794.39</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2466</v>
      </c>
      <c r="B4" s="362"/>
      <c r="C4" s="3303" t="s">
        <v>2467</v>
      </c>
      <c r="D4" s="3316"/>
      <c r="E4" s="3317" t="s">
        <v>2468</v>
      </c>
      <c r="F4" s="3318"/>
      <c r="G4" s="3303" t="s">
        <v>2469</v>
      </c>
      <c r="H4" s="3316"/>
      <c r="I4" s="3303" t="s">
        <v>2470</v>
      </c>
      <c r="J4" s="3316"/>
      <c r="K4" s="567" t="s">
        <v>2471</v>
      </c>
      <c r="L4" s="2943"/>
      <c r="M4" s="2944"/>
      <c r="N4" s="2944"/>
      <c r="O4" s="2944"/>
      <c r="P4" s="3319" t="s">
        <v>2472</v>
      </c>
      <c r="Q4" s="3320"/>
      <c r="R4" s="3325" t="s">
        <v>2468</v>
      </c>
      <c r="S4" s="3326"/>
      <c r="T4" s="3325" t="s">
        <v>2469</v>
      </c>
      <c r="U4" s="3326"/>
      <c r="V4" s="3312" t="s">
        <v>2470</v>
      </c>
      <c r="W4" s="3312"/>
      <c r="X4" s="1538"/>
      <c r="Y4" s="3325" t="s">
        <v>2472</v>
      </c>
      <c r="Z4" s="3326"/>
      <c r="AA4" s="3313" t="s">
        <v>2468</v>
      </c>
      <c r="AB4" s="3312" t="s">
        <v>2469</v>
      </c>
      <c r="AC4" s="3313" t="s">
        <v>2470</v>
      </c>
    </row>
    <row r="5" spans="1:29" ht="15">
      <c r="A5" s="364"/>
      <c r="B5" s="365"/>
      <c r="C5" s="3333" t="s">
        <v>2363</v>
      </c>
      <c r="D5" s="3334"/>
      <c r="E5" s="3340" t="s">
        <v>2364</v>
      </c>
      <c r="F5" s="3341"/>
      <c r="G5" s="3333" t="s">
        <v>2365</v>
      </c>
      <c r="H5" s="3334"/>
      <c r="I5" s="3333" t="s">
        <v>2366</v>
      </c>
      <c r="J5" s="3334"/>
      <c r="K5" s="567"/>
      <c r="L5" s="2943"/>
      <c r="M5" s="2944"/>
      <c r="N5" s="2944"/>
      <c r="O5" s="2944"/>
      <c r="P5" s="3321"/>
      <c r="Q5" s="3322"/>
      <c r="R5" s="3327"/>
      <c r="S5" s="3328"/>
      <c r="T5" s="3327"/>
      <c r="U5" s="3328"/>
      <c r="V5" s="3312"/>
      <c r="W5" s="3312"/>
      <c r="X5" s="1538"/>
      <c r="Y5" s="3327"/>
      <c r="Z5" s="3328"/>
      <c r="AA5" s="3314"/>
      <c r="AB5" s="3312"/>
      <c r="AC5" s="3314"/>
    </row>
    <row r="6" spans="1:29" ht="15.75" thickBot="1">
      <c r="A6" s="366"/>
      <c r="B6" s="367"/>
      <c r="C6" s="3331" t="s">
        <v>2367</v>
      </c>
      <c r="D6" s="3332"/>
      <c r="E6" s="3338" t="s">
        <v>2367</v>
      </c>
      <c r="F6" s="3339"/>
      <c r="G6" s="3331" t="s">
        <v>2367</v>
      </c>
      <c r="H6" s="3332"/>
      <c r="I6" s="3331" t="s">
        <v>2367</v>
      </c>
      <c r="J6" s="3332"/>
      <c r="K6" s="567" t="s">
        <v>2368</v>
      </c>
      <c r="L6" s="2943"/>
      <c r="M6" s="2944"/>
      <c r="N6" s="2944"/>
      <c r="O6" s="2944"/>
      <c r="P6" s="3323"/>
      <c r="Q6" s="3324"/>
      <c r="R6" s="3327"/>
      <c r="S6" s="3328"/>
      <c r="T6" s="3329"/>
      <c r="U6" s="3330"/>
      <c r="V6" s="3312"/>
      <c r="W6" s="3312"/>
      <c r="X6" s="1538"/>
      <c r="Y6" s="3329"/>
      <c r="Z6" s="3330"/>
      <c r="AA6" s="3315"/>
      <c r="AB6" s="3312"/>
      <c r="AC6" s="3315"/>
    </row>
    <row r="7" spans="1:29" s="113" customFormat="1" ht="15.75" thickBot="1">
      <c r="A7" s="368" t="s">
        <v>2369</v>
      </c>
      <c r="B7" s="369"/>
      <c r="C7" s="370">
        <f>'数据-取费表'!B2</f>
        <v>44555</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35" t="s">
        <v>2370</v>
      </c>
      <c r="Q7" s="3337"/>
      <c r="R7" s="710" t="s">
        <v>17</v>
      </c>
      <c r="S7" s="711">
        <f t="shared" ref="S7:S15" si="0">F7</f>
        <v>0</v>
      </c>
      <c r="T7" s="710" t="s">
        <v>17</v>
      </c>
      <c r="U7" s="711">
        <f t="shared" ref="U7:U15" si="1">H7</f>
        <v>0</v>
      </c>
      <c r="V7" s="710" t="s">
        <v>17</v>
      </c>
      <c r="W7" s="711">
        <f t="shared" ref="W7:W15" si="2">J7</f>
        <v>0</v>
      </c>
      <c r="X7" s="712"/>
      <c r="Y7" s="3335" t="s">
        <v>2370</v>
      </c>
      <c r="Z7" s="3336"/>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35" t="s">
        <v>2373</v>
      </c>
      <c r="Q8" s="3336"/>
      <c r="R8" s="710" t="s">
        <v>17</v>
      </c>
      <c r="S8" s="711">
        <f t="shared" si="0"/>
        <v>0</v>
      </c>
      <c r="T8" s="710" t="s">
        <v>17</v>
      </c>
      <c r="U8" s="711">
        <f t="shared" si="1"/>
        <v>0</v>
      </c>
      <c r="V8" s="710" t="s">
        <v>17</v>
      </c>
      <c r="W8" s="711">
        <f t="shared" si="2"/>
        <v>0</v>
      </c>
      <c r="X8" s="712"/>
      <c r="Y8" s="3335" t="s">
        <v>2373</v>
      </c>
      <c r="Z8" s="3336"/>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05" t="s">
        <v>2376</v>
      </c>
      <c r="Q9" s="1526" t="str">
        <f t="shared" ref="Q9:Q15" si="6">B9</f>
        <v>用途</v>
      </c>
      <c r="R9" s="710" t="s">
        <v>17</v>
      </c>
      <c r="S9" s="711">
        <f t="shared" si="0"/>
        <v>100</v>
      </c>
      <c r="T9" s="710" t="s">
        <v>17</v>
      </c>
      <c r="U9" s="711">
        <f t="shared" si="1"/>
        <v>100</v>
      </c>
      <c r="V9" s="710" t="s">
        <v>17</v>
      </c>
      <c r="W9" s="711">
        <f t="shared" si="2"/>
        <v>100</v>
      </c>
      <c r="X9" s="712"/>
      <c r="Y9" s="320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05"/>
      <c r="Q10" s="1526" t="str">
        <f t="shared" si="6"/>
        <v>土地使用年限（年）</v>
      </c>
      <c r="R10" s="710" t="s">
        <v>17</v>
      </c>
      <c r="S10" s="711">
        <f t="shared" si="0"/>
        <v>100</v>
      </c>
      <c r="T10" s="710" t="s">
        <v>17</v>
      </c>
      <c r="U10" s="711">
        <f t="shared" si="1"/>
        <v>100</v>
      </c>
      <c r="V10" s="710" t="s">
        <v>17</v>
      </c>
      <c r="W10" s="711">
        <f t="shared" si="2"/>
        <v>100</v>
      </c>
      <c r="X10" s="712"/>
      <c r="Y10" s="320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05"/>
      <c r="Q11" s="1526" t="str">
        <f t="shared" si="6"/>
        <v>容积率</v>
      </c>
      <c r="R11" s="710" t="s">
        <v>17</v>
      </c>
      <c r="S11" s="711" t="e">
        <f t="shared" si="0"/>
        <v>#N/A</v>
      </c>
      <c r="T11" s="710" t="s">
        <v>17</v>
      </c>
      <c r="U11" s="711" t="e">
        <f t="shared" si="1"/>
        <v>#N/A</v>
      </c>
      <c r="V11" s="710" t="s">
        <v>17</v>
      </c>
      <c r="W11" s="711" t="e">
        <f t="shared" si="2"/>
        <v>#N/A</v>
      </c>
      <c r="X11" s="712"/>
      <c r="Y11" s="3200"/>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05"/>
      <c r="Q12" s="1526">
        <f t="shared" si="6"/>
        <v>111</v>
      </c>
      <c r="R12" s="710" t="s">
        <v>17</v>
      </c>
      <c r="S12" s="711">
        <f t="shared" si="0"/>
        <v>100</v>
      </c>
      <c r="T12" s="710" t="s">
        <v>17</v>
      </c>
      <c r="U12" s="711">
        <f t="shared" si="1"/>
        <v>100</v>
      </c>
      <c r="V12" s="710" t="s">
        <v>17</v>
      </c>
      <c r="W12" s="711">
        <f t="shared" si="2"/>
        <v>100</v>
      </c>
      <c r="X12" s="712"/>
      <c r="Y12" s="3200"/>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05"/>
      <c r="Q13" s="1526">
        <f t="shared" si="6"/>
        <v>111</v>
      </c>
      <c r="R13" s="710" t="s">
        <v>17</v>
      </c>
      <c r="S13" s="711">
        <f t="shared" si="0"/>
        <v>100</v>
      </c>
      <c r="T13" s="710" t="s">
        <v>17</v>
      </c>
      <c r="U13" s="711">
        <f t="shared" si="1"/>
        <v>100</v>
      </c>
      <c r="V13" s="710" t="s">
        <v>17</v>
      </c>
      <c r="W13" s="711">
        <f t="shared" si="2"/>
        <v>100</v>
      </c>
      <c r="X13" s="712"/>
      <c r="Y13" s="3200"/>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05"/>
      <c r="Q14" s="1526">
        <f t="shared" si="6"/>
        <v>111</v>
      </c>
      <c r="R14" s="710" t="s">
        <v>17</v>
      </c>
      <c r="S14" s="711">
        <f t="shared" si="0"/>
        <v>100</v>
      </c>
      <c r="T14" s="710" t="s">
        <v>17</v>
      </c>
      <c r="U14" s="711">
        <f t="shared" si="1"/>
        <v>100</v>
      </c>
      <c r="V14" s="710" t="s">
        <v>17</v>
      </c>
      <c r="W14" s="711">
        <f t="shared" si="2"/>
        <v>100</v>
      </c>
      <c r="X14" s="712"/>
      <c r="Y14" s="3200"/>
      <c r="Z14" s="55">
        <f t="shared" si="7"/>
        <v>111</v>
      </c>
      <c r="AA14" s="713">
        <f t="shared" si="3"/>
        <v>1</v>
      </c>
      <c r="AB14" s="713">
        <f t="shared" si="4"/>
        <v>1</v>
      </c>
      <c r="AC14" s="713">
        <f t="shared" si="5"/>
        <v>1</v>
      </c>
    </row>
    <row r="15" spans="1:29" ht="71.25">
      <c r="A15" s="399" t="s">
        <v>2380</v>
      </c>
      <c r="B15" s="65" t="s">
        <v>2474</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76" t="s">
        <v>2381</v>
      </c>
      <c r="Q15" s="1535" t="str">
        <f t="shared" si="6"/>
        <v>商业繁华度</v>
      </c>
      <c r="R15" s="714" t="s">
        <v>17</v>
      </c>
      <c r="S15" s="715">
        <f t="shared" si="0"/>
        <v>100</v>
      </c>
      <c r="T15" s="714" t="s">
        <v>17</v>
      </c>
      <c r="U15" s="715">
        <f t="shared" si="1"/>
        <v>100</v>
      </c>
      <c r="V15" s="714" t="s">
        <v>17</v>
      </c>
      <c r="W15" s="715">
        <f t="shared" si="2"/>
        <v>100</v>
      </c>
      <c r="X15" s="1538"/>
      <c r="Y15" s="3308" t="s">
        <v>2381</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50"/>
      <c r="M16" s="2944"/>
      <c r="N16" s="2944"/>
      <c r="O16" s="2944"/>
      <c r="P16" s="3377"/>
      <c r="Q16" s="1535"/>
      <c r="R16" s="714"/>
      <c r="S16" s="715"/>
      <c r="T16" s="714"/>
      <c r="U16" s="715"/>
      <c r="V16" s="714"/>
      <c r="W16" s="715"/>
      <c r="X16" s="1538"/>
      <c r="Y16" s="3309"/>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77"/>
      <c r="Q17" s="1535" t="str">
        <f>B17</f>
        <v>交通便捷度</v>
      </c>
      <c r="R17" s="714" t="s">
        <v>17</v>
      </c>
      <c r="S17" s="715">
        <f>F17</f>
        <v>100</v>
      </c>
      <c r="T17" s="714" t="s">
        <v>17</v>
      </c>
      <c r="U17" s="715">
        <f>H17</f>
        <v>100</v>
      </c>
      <c r="V17" s="714" t="s">
        <v>17</v>
      </c>
      <c r="W17" s="715">
        <f>J17</f>
        <v>100</v>
      </c>
      <c r="X17" s="1538"/>
      <c r="Y17" s="3309"/>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50"/>
      <c r="M18" s="2944"/>
      <c r="N18" s="2944"/>
      <c r="O18" s="2944"/>
      <c r="P18" s="3377"/>
      <c r="Q18" s="1535"/>
      <c r="R18" s="714"/>
      <c r="S18" s="715"/>
      <c r="T18" s="714"/>
      <c r="U18" s="715"/>
      <c r="V18" s="714"/>
      <c r="W18" s="715"/>
      <c r="X18" s="1538"/>
      <c r="Y18" s="3309"/>
      <c r="Z18" s="1539"/>
      <c r="AA18" s="1536">
        <v>1</v>
      </c>
      <c r="AB18" s="1536">
        <v>1</v>
      </c>
      <c r="AC18" s="1536">
        <v>1</v>
      </c>
    </row>
    <row r="19" spans="1:29" ht="42.75">
      <c r="A19" s="387"/>
      <c r="B19" s="410" t="s">
        <v>2475</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77"/>
      <c r="Q19" s="1535" t="str">
        <f>B19</f>
        <v>公共配套设施</v>
      </c>
      <c r="R19" s="714" t="s">
        <v>17</v>
      </c>
      <c r="S19" s="715">
        <f>F19</f>
        <v>100</v>
      </c>
      <c r="T19" s="714" t="s">
        <v>17</v>
      </c>
      <c r="U19" s="715">
        <f>H19</f>
        <v>100</v>
      </c>
      <c r="V19" s="714" t="s">
        <v>17</v>
      </c>
      <c r="W19" s="715">
        <f>J19</f>
        <v>100</v>
      </c>
      <c r="X19" s="1538"/>
      <c r="Y19" s="3309"/>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50"/>
      <c r="M20" s="2944"/>
      <c r="N20" s="2944"/>
      <c r="O20" s="2944"/>
      <c r="P20" s="3377"/>
      <c r="Q20" s="1535"/>
      <c r="R20" s="714"/>
      <c r="S20" s="715"/>
      <c r="T20" s="714"/>
      <c r="U20" s="715"/>
      <c r="V20" s="714"/>
      <c r="W20" s="715"/>
      <c r="X20" s="1538"/>
      <c r="Y20" s="3309"/>
      <c r="Z20" s="1539"/>
      <c r="AA20" s="1536">
        <v>1</v>
      </c>
      <c r="AB20" s="1536">
        <v>1</v>
      </c>
      <c r="AC20" s="1536">
        <v>1</v>
      </c>
    </row>
    <row r="21" spans="1:29" ht="28.5">
      <c r="A21" s="387"/>
      <c r="B21" s="1293" t="s">
        <v>2476</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77"/>
      <c r="Q21" s="1535" t="str">
        <f>B21</f>
        <v>基础设施水平</v>
      </c>
      <c r="R21" s="714" t="s">
        <v>17</v>
      </c>
      <c r="S21" s="715">
        <f>F21</f>
        <v>100</v>
      </c>
      <c r="T21" s="714" t="s">
        <v>17</v>
      </c>
      <c r="U21" s="715">
        <f>H21</f>
        <v>100</v>
      </c>
      <c r="V21" s="714" t="s">
        <v>17</v>
      </c>
      <c r="W21" s="715">
        <f>J21</f>
        <v>100</v>
      </c>
      <c r="X21" s="1538"/>
      <c r="Y21" s="3309"/>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2950"/>
      <c r="M22" s="2944"/>
      <c r="N22" s="2944"/>
      <c r="O22" s="2944"/>
      <c r="P22" s="3377"/>
      <c r="Q22" s="1535"/>
      <c r="R22" s="714"/>
      <c r="S22" s="715"/>
      <c r="T22" s="714"/>
      <c r="U22" s="715"/>
      <c r="V22" s="714"/>
      <c r="W22" s="715"/>
      <c r="X22" s="1538"/>
      <c r="Y22" s="3309"/>
      <c r="Z22" s="1539"/>
      <c r="AA22" s="1536">
        <v>1</v>
      </c>
      <c r="AB22" s="1536">
        <v>1</v>
      </c>
      <c r="AC22" s="1536">
        <v>1</v>
      </c>
    </row>
    <row r="23" spans="1:29" ht="57">
      <c r="A23" s="387"/>
      <c r="B23" s="410" t="s">
        <v>1947</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77"/>
      <c r="Q23" s="1535" t="str">
        <f>B23</f>
        <v>自然及人文环境</v>
      </c>
      <c r="R23" s="714" t="s">
        <v>17</v>
      </c>
      <c r="S23" s="715">
        <f>F23</f>
        <v>100</v>
      </c>
      <c r="T23" s="714" t="s">
        <v>17</v>
      </c>
      <c r="U23" s="715">
        <f>H23</f>
        <v>100</v>
      </c>
      <c r="V23" s="714" t="s">
        <v>17</v>
      </c>
      <c r="W23" s="715">
        <f>J23</f>
        <v>100</v>
      </c>
      <c r="X23" s="1538"/>
      <c r="Y23" s="3309"/>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50"/>
      <c r="M24" s="2944"/>
      <c r="N24" s="2944"/>
      <c r="O24" s="2944"/>
      <c r="P24" s="3377"/>
      <c r="Q24" s="1535"/>
      <c r="R24" s="714"/>
      <c r="S24" s="715"/>
      <c r="T24" s="714"/>
      <c r="U24" s="715"/>
      <c r="V24" s="714"/>
      <c r="W24" s="715"/>
      <c r="X24" s="1538"/>
      <c r="Y24" s="3309"/>
      <c r="Z24" s="1539"/>
      <c r="AA24" s="1536">
        <v>1</v>
      </c>
      <c r="AB24" s="1536">
        <v>1</v>
      </c>
      <c r="AC24" s="1536">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77"/>
      <c r="Q25" s="1535" t="str">
        <f t="shared" ref="Q25:Q46" si="11">B25</f>
        <v>临街状况</v>
      </c>
      <c r="R25" s="714" t="s">
        <v>17</v>
      </c>
      <c r="S25" s="715">
        <f>F25</f>
        <v>100</v>
      </c>
      <c r="T25" s="714" t="s">
        <v>17</v>
      </c>
      <c r="U25" s="715">
        <f>H25</f>
        <v>100</v>
      </c>
      <c r="V25" s="714" t="s">
        <v>17</v>
      </c>
      <c r="W25" s="715">
        <f>J25</f>
        <v>100</v>
      </c>
      <c r="X25" s="1538"/>
      <c r="Y25" s="3309"/>
      <c r="Z25" s="1539" t="str">
        <f>Q25</f>
        <v>临街状况</v>
      </c>
      <c r="AA25" s="1536">
        <f t="shared" si="3"/>
        <v>1</v>
      </c>
      <c r="AB25" s="1536">
        <f t="shared" si="4"/>
        <v>1</v>
      </c>
      <c r="AC25" s="1536">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77"/>
      <c r="Q26" s="1535" t="str">
        <f t="shared" si="11"/>
        <v>平面位置/可视性</v>
      </c>
      <c r="R26" s="714" t="s">
        <v>17</v>
      </c>
      <c r="S26" s="715">
        <f>F26</f>
        <v>100</v>
      </c>
      <c r="T26" s="714" t="s">
        <v>17</v>
      </c>
      <c r="U26" s="715">
        <f>H26</f>
        <v>100</v>
      </c>
      <c r="V26" s="714" t="s">
        <v>17</v>
      </c>
      <c r="W26" s="715">
        <f>J26</f>
        <v>100</v>
      </c>
      <c r="X26" s="1538"/>
      <c r="Y26" s="3309"/>
      <c r="Z26" s="1539" t="str">
        <f>Q26</f>
        <v>平面位置/可视性</v>
      </c>
      <c r="AA26" s="1536">
        <f t="shared" si="3"/>
        <v>1</v>
      </c>
      <c r="AB26" s="1536">
        <f t="shared" si="4"/>
        <v>1</v>
      </c>
      <c r="AC26" s="1536">
        <f t="shared" si="5"/>
        <v>1</v>
      </c>
    </row>
    <row r="27" spans="1:29" s="113" customFormat="1" ht="15">
      <c r="A27" s="390"/>
      <c r="B27" s="410" t="s">
        <v>2479</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77"/>
      <c r="Q27" s="1526" t="str">
        <f t="shared" si="11"/>
        <v>人流量</v>
      </c>
      <c r="R27" s="710" t="s">
        <v>17</v>
      </c>
      <c r="S27" s="711">
        <f>F27</f>
        <v>100</v>
      </c>
      <c r="T27" s="710" t="s">
        <v>17</v>
      </c>
      <c r="U27" s="711">
        <f>H27</f>
        <v>100</v>
      </c>
      <c r="V27" s="710" t="s">
        <v>17</v>
      </c>
      <c r="W27" s="711">
        <f>J27</f>
        <v>100</v>
      </c>
      <c r="X27" s="712"/>
      <c r="Y27" s="3309"/>
      <c r="Z27" s="55" t="str">
        <f>Q27</f>
        <v>人流量</v>
      </c>
      <c r="AA27" s="1536">
        <f>D27/F27</f>
        <v>1</v>
      </c>
      <c r="AB27" s="1536">
        <f>D27/H27</f>
        <v>1</v>
      </c>
      <c r="AC27" s="1536">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77"/>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09"/>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77"/>
      <c r="Q29" s="1535">
        <f t="shared" si="11"/>
        <v>111</v>
      </c>
      <c r="R29" s="714" t="s">
        <v>17</v>
      </c>
      <c r="S29" s="715">
        <f t="shared" si="12"/>
        <v>100</v>
      </c>
      <c r="T29" s="714" t="s">
        <v>17</v>
      </c>
      <c r="U29" s="715">
        <f t="shared" si="13"/>
        <v>100</v>
      </c>
      <c r="V29" s="714" t="s">
        <v>17</v>
      </c>
      <c r="W29" s="715">
        <f t="shared" si="14"/>
        <v>100</v>
      </c>
      <c r="X29" s="1538"/>
      <c r="Y29" s="3309"/>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77"/>
      <c r="Q30" s="1535">
        <f t="shared" si="11"/>
        <v>111</v>
      </c>
      <c r="R30" s="714" t="s">
        <v>17</v>
      </c>
      <c r="S30" s="715">
        <f t="shared" si="12"/>
        <v>100</v>
      </c>
      <c r="T30" s="714" t="s">
        <v>17</v>
      </c>
      <c r="U30" s="715">
        <f t="shared" si="13"/>
        <v>100</v>
      </c>
      <c r="V30" s="714" t="s">
        <v>17</v>
      </c>
      <c r="W30" s="715">
        <f t="shared" si="14"/>
        <v>100</v>
      </c>
      <c r="X30" s="1538"/>
      <c r="Y30" s="3309"/>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77"/>
      <c r="Q31" s="1535">
        <f t="shared" si="11"/>
        <v>111</v>
      </c>
      <c r="R31" s="714" t="s">
        <v>17</v>
      </c>
      <c r="S31" s="715">
        <f t="shared" si="12"/>
        <v>100</v>
      </c>
      <c r="T31" s="714" t="s">
        <v>17</v>
      </c>
      <c r="U31" s="715">
        <f t="shared" si="13"/>
        <v>100</v>
      </c>
      <c r="V31" s="714" t="s">
        <v>17</v>
      </c>
      <c r="W31" s="715">
        <f t="shared" si="14"/>
        <v>100</v>
      </c>
      <c r="X31" s="1538"/>
      <c r="Y31" s="3309"/>
      <c r="Z31" s="1539">
        <f t="shared" si="15"/>
        <v>111</v>
      </c>
      <c r="AA31" s="1536">
        <f t="shared" si="3"/>
        <v>1</v>
      </c>
      <c r="AB31" s="1536">
        <f t="shared" si="4"/>
        <v>1</v>
      </c>
      <c r="AC31" s="1536">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72" t="s">
        <v>2386</v>
      </c>
      <c r="Q32" s="1535" t="str">
        <f t="shared" si="11"/>
        <v>商业类型</v>
      </c>
      <c r="R32" s="714" t="s">
        <v>17</v>
      </c>
      <c r="S32" s="715">
        <f t="shared" si="12"/>
        <v>100</v>
      </c>
      <c r="T32" s="714" t="s">
        <v>17</v>
      </c>
      <c r="U32" s="715">
        <f t="shared" si="13"/>
        <v>100</v>
      </c>
      <c r="V32" s="714" t="s">
        <v>17</v>
      </c>
      <c r="W32" s="715">
        <f t="shared" si="14"/>
        <v>100</v>
      </c>
      <c r="X32" s="1538"/>
      <c r="Y32" s="3311" t="s">
        <v>2386</v>
      </c>
      <c r="Z32" s="1539" t="str">
        <f t="shared" si="15"/>
        <v>商业类型</v>
      </c>
      <c r="AA32" s="1536">
        <f t="shared" si="3"/>
        <v>1</v>
      </c>
      <c r="AB32" s="1536">
        <f t="shared" si="4"/>
        <v>1</v>
      </c>
      <c r="AC32" s="1536">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73"/>
      <c r="Q33" s="716" t="str">
        <f t="shared" si="11"/>
        <v>项目建筑规模</v>
      </c>
      <c r="R33" s="717" t="s">
        <v>17</v>
      </c>
      <c r="S33" s="718" t="e">
        <f t="shared" si="12"/>
        <v>#N/A</v>
      </c>
      <c r="T33" s="717" t="s">
        <v>17</v>
      </c>
      <c r="U33" s="718" t="e">
        <f t="shared" si="13"/>
        <v>#N/A</v>
      </c>
      <c r="V33" s="717" t="s">
        <v>17</v>
      </c>
      <c r="W33" s="718" t="e">
        <f t="shared" si="14"/>
        <v>#N/A</v>
      </c>
      <c r="X33" s="719"/>
      <c r="Y33" s="3311"/>
      <c r="Z33" s="720" t="str">
        <f t="shared" si="15"/>
        <v>项目建筑规模</v>
      </c>
      <c r="AA33" s="1536" t="e">
        <f t="shared" si="3"/>
        <v>#N/A</v>
      </c>
      <c r="AB33" s="1536" t="e">
        <f t="shared" si="4"/>
        <v>#N/A</v>
      </c>
      <c r="AC33" s="1536" t="e">
        <f t="shared" si="5"/>
        <v>#N/A</v>
      </c>
    </row>
    <row r="34" spans="1:29" ht="15">
      <c r="A34" s="431"/>
      <c r="B34" s="381" t="s">
        <v>2388</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73"/>
      <c r="Q34" s="1535" t="str">
        <f t="shared" si="11"/>
        <v>建筑结构</v>
      </c>
      <c r="R34" s="714" t="s">
        <v>17</v>
      </c>
      <c r="S34" s="715">
        <f t="shared" si="12"/>
        <v>100</v>
      </c>
      <c r="T34" s="714" t="s">
        <v>17</v>
      </c>
      <c r="U34" s="715">
        <f t="shared" si="13"/>
        <v>100</v>
      </c>
      <c r="V34" s="714" t="s">
        <v>17</v>
      </c>
      <c r="W34" s="715">
        <f t="shared" si="14"/>
        <v>100</v>
      </c>
      <c r="X34" s="1538"/>
      <c r="Y34" s="3311"/>
      <c r="Z34" s="1539" t="str">
        <f t="shared" si="15"/>
        <v>建筑结构</v>
      </c>
      <c r="AA34" s="1536">
        <f t="shared" si="3"/>
        <v>1</v>
      </c>
      <c r="AB34" s="1536">
        <f t="shared" si="4"/>
        <v>1</v>
      </c>
      <c r="AC34" s="1536">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73"/>
      <c r="Q35" s="1535" t="str">
        <f t="shared" si="11"/>
        <v>公共部分装修</v>
      </c>
      <c r="R35" s="714" t="s">
        <v>17</v>
      </c>
      <c r="S35" s="715">
        <f t="shared" si="12"/>
        <v>100</v>
      </c>
      <c r="T35" s="714" t="s">
        <v>17</v>
      </c>
      <c r="U35" s="715">
        <f t="shared" si="13"/>
        <v>100</v>
      </c>
      <c r="V35" s="714" t="s">
        <v>17</v>
      </c>
      <c r="W35" s="715">
        <f t="shared" si="14"/>
        <v>100</v>
      </c>
      <c r="X35" s="1538"/>
      <c r="Y35" s="3311"/>
      <c r="Z35" s="1539" t="str">
        <f t="shared" si="15"/>
        <v>公共部分装修</v>
      </c>
      <c r="AA35" s="1536">
        <f t="shared" si="3"/>
        <v>1</v>
      </c>
      <c r="AB35" s="1536">
        <f t="shared" si="4"/>
        <v>1</v>
      </c>
      <c r="AC35" s="1536">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73"/>
      <c r="Q36" s="1535" t="str">
        <f t="shared" si="11"/>
        <v>成新度</v>
      </c>
      <c r="R36" s="714" t="s">
        <v>17</v>
      </c>
      <c r="S36" s="715" t="e">
        <f t="shared" si="12"/>
        <v>#N/A</v>
      </c>
      <c r="T36" s="714" t="s">
        <v>17</v>
      </c>
      <c r="U36" s="715" t="e">
        <f t="shared" si="13"/>
        <v>#N/A</v>
      </c>
      <c r="V36" s="714" t="s">
        <v>17</v>
      </c>
      <c r="W36" s="715" t="e">
        <f t="shared" si="14"/>
        <v>#N/A</v>
      </c>
      <c r="X36" s="1538"/>
      <c r="Y36" s="3311"/>
      <c r="Z36" s="1539" t="str">
        <f t="shared" si="15"/>
        <v>成新度</v>
      </c>
      <c r="AA36" s="1536" t="e">
        <f t="shared" si="3"/>
        <v>#N/A</v>
      </c>
      <c r="AB36" s="1536" t="e">
        <f t="shared" si="4"/>
        <v>#N/A</v>
      </c>
      <c r="AC36" s="1536"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73"/>
      <c r="Q37" s="1526" t="str">
        <f t="shared" si="11"/>
        <v>市政基础设施</v>
      </c>
      <c r="R37" s="710" t="s">
        <v>17</v>
      </c>
      <c r="S37" s="711">
        <f t="shared" si="12"/>
        <v>100</v>
      </c>
      <c r="T37" s="710" t="s">
        <v>17</v>
      </c>
      <c r="U37" s="711">
        <f t="shared" si="13"/>
        <v>100</v>
      </c>
      <c r="V37" s="710" t="s">
        <v>17</v>
      </c>
      <c r="W37" s="711">
        <f t="shared" si="14"/>
        <v>100</v>
      </c>
      <c r="X37" s="712"/>
      <c r="Y37" s="3311"/>
      <c r="Z37" s="55" t="str">
        <f t="shared" si="15"/>
        <v>市政基础设施</v>
      </c>
      <c r="AA37" s="713">
        <f t="shared" si="3"/>
        <v>1</v>
      </c>
      <c r="AB37" s="713">
        <f t="shared" si="4"/>
        <v>1</v>
      </c>
      <c r="AC37" s="713">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73" t="s">
        <v>2386</v>
      </c>
      <c r="Q38" s="1535" t="str">
        <f t="shared" si="11"/>
        <v>业态</v>
      </c>
      <c r="R38" s="714" t="s">
        <v>17</v>
      </c>
      <c r="S38" s="715">
        <f t="shared" si="12"/>
        <v>100</v>
      </c>
      <c r="T38" s="714" t="s">
        <v>17</v>
      </c>
      <c r="U38" s="715">
        <f t="shared" si="13"/>
        <v>100</v>
      </c>
      <c r="V38" s="714" t="s">
        <v>17</v>
      </c>
      <c r="W38" s="715">
        <f t="shared" si="14"/>
        <v>100</v>
      </c>
      <c r="X38" s="1538"/>
      <c r="Y38" s="3311" t="s">
        <v>2386</v>
      </c>
      <c r="Z38" s="1539" t="str">
        <f t="shared" si="15"/>
        <v>业态</v>
      </c>
      <c r="AA38" s="1536">
        <f t="shared" si="3"/>
        <v>1</v>
      </c>
      <c r="AB38" s="1536">
        <f t="shared" si="4"/>
        <v>1</v>
      </c>
      <c r="AC38" s="1536">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73"/>
      <c r="Q39" s="1535" t="str">
        <f t="shared" si="11"/>
        <v>层高</v>
      </c>
      <c r="R39" s="714" t="s">
        <v>17</v>
      </c>
      <c r="S39" s="715">
        <f t="shared" si="12"/>
        <v>100</v>
      </c>
      <c r="T39" s="714" t="s">
        <v>17</v>
      </c>
      <c r="U39" s="715">
        <f t="shared" si="13"/>
        <v>100</v>
      </c>
      <c r="V39" s="714" t="s">
        <v>17</v>
      </c>
      <c r="W39" s="715">
        <f t="shared" si="14"/>
        <v>100</v>
      </c>
      <c r="X39" s="1538"/>
      <c r="Y39" s="3311"/>
      <c r="Z39" s="1539" t="str">
        <f t="shared" si="15"/>
        <v>层高</v>
      </c>
      <c r="AA39" s="1536">
        <f t="shared" si="3"/>
        <v>1</v>
      </c>
      <c r="AB39" s="1536">
        <f t="shared" si="4"/>
        <v>1</v>
      </c>
      <c r="AC39" s="1536">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73"/>
      <c r="Q40" s="1535" t="str">
        <f t="shared" si="11"/>
        <v>单套建筑面积</v>
      </c>
      <c r="R40" s="714" t="s">
        <v>17</v>
      </c>
      <c r="S40" s="715">
        <f t="shared" si="12"/>
        <v>100</v>
      </c>
      <c r="T40" s="714" t="s">
        <v>17</v>
      </c>
      <c r="U40" s="715">
        <f t="shared" si="13"/>
        <v>100</v>
      </c>
      <c r="V40" s="714" t="s">
        <v>17</v>
      </c>
      <c r="W40" s="715">
        <f t="shared" si="14"/>
        <v>100</v>
      </c>
      <c r="X40" s="1538"/>
      <c r="Y40" s="3311"/>
      <c r="Z40" s="1539" t="str">
        <f t="shared" si="15"/>
        <v>单套建筑面积</v>
      </c>
      <c r="AA40" s="1536">
        <f t="shared" si="3"/>
        <v>1</v>
      </c>
      <c r="AB40" s="1536">
        <f t="shared" si="4"/>
        <v>1</v>
      </c>
      <c r="AC40" s="1536">
        <f t="shared" si="5"/>
        <v>1</v>
      </c>
    </row>
    <row r="41" spans="1:29" s="430" customFormat="1" ht="15">
      <c r="A41" s="427"/>
      <c r="B41" s="1537"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73"/>
      <c r="Q41" s="716" t="str">
        <f t="shared" si="11"/>
        <v>进深比</v>
      </c>
      <c r="R41" s="717" t="s">
        <v>17</v>
      </c>
      <c r="S41" s="718">
        <f t="shared" si="12"/>
        <v>100</v>
      </c>
      <c r="T41" s="717" t="s">
        <v>17</v>
      </c>
      <c r="U41" s="718">
        <f t="shared" si="13"/>
        <v>100</v>
      </c>
      <c r="V41" s="717" t="s">
        <v>17</v>
      </c>
      <c r="W41" s="718">
        <f t="shared" si="14"/>
        <v>100</v>
      </c>
      <c r="X41" s="719"/>
      <c r="Y41" s="3311"/>
      <c r="Z41" s="720" t="str">
        <f t="shared" si="15"/>
        <v>进深比</v>
      </c>
      <c r="AA41" s="1536">
        <f t="shared" si="3"/>
        <v>1</v>
      </c>
      <c r="AB41" s="1536">
        <f t="shared" si="4"/>
        <v>1</v>
      </c>
      <c r="AC41" s="1536">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73"/>
      <c r="Q42" s="1535" t="str">
        <f t="shared" si="11"/>
        <v>内部装修</v>
      </c>
      <c r="R42" s="714" t="s">
        <v>17</v>
      </c>
      <c r="S42" s="715">
        <f t="shared" si="12"/>
        <v>100</v>
      </c>
      <c r="T42" s="714" t="s">
        <v>17</v>
      </c>
      <c r="U42" s="715">
        <f t="shared" si="13"/>
        <v>100</v>
      </c>
      <c r="V42" s="714" t="s">
        <v>17</v>
      </c>
      <c r="W42" s="715">
        <f t="shared" si="14"/>
        <v>100</v>
      </c>
      <c r="X42" s="1538"/>
      <c r="Y42" s="3311"/>
      <c r="Z42" s="1539" t="str">
        <f t="shared" si="15"/>
        <v>内部装修</v>
      </c>
      <c r="AA42" s="1536">
        <f t="shared" si="3"/>
        <v>1</v>
      </c>
      <c r="AB42" s="1536">
        <f t="shared" si="4"/>
        <v>1</v>
      </c>
      <c r="AC42" s="1536">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73"/>
      <c r="Q43" s="1535" t="str">
        <f t="shared" si="11"/>
        <v>内部装修维护情况</v>
      </c>
      <c r="R43" s="714" t="s">
        <v>17</v>
      </c>
      <c r="S43" s="715">
        <f t="shared" si="12"/>
        <v>100</v>
      </c>
      <c r="T43" s="714" t="s">
        <v>17</v>
      </c>
      <c r="U43" s="715">
        <f t="shared" si="13"/>
        <v>100</v>
      </c>
      <c r="V43" s="714" t="s">
        <v>17</v>
      </c>
      <c r="W43" s="715">
        <f t="shared" si="14"/>
        <v>100</v>
      </c>
      <c r="X43" s="1538"/>
      <c r="Y43" s="3311"/>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73"/>
      <c r="Q44" s="1526">
        <f t="shared" si="11"/>
        <v>111</v>
      </c>
      <c r="R44" s="710" t="s">
        <v>17</v>
      </c>
      <c r="S44" s="711">
        <f t="shared" si="12"/>
        <v>100</v>
      </c>
      <c r="T44" s="710" t="s">
        <v>17</v>
      </c>
      <c r="U44" s="711">
        <f t="shared" si="13"/>
        <v>100</v>
      </c>
      <c r="V44" s="710" t="s">
        <v>17</v>
      </c>
      <c r="W44" s="711">
        <f t="shared" si="14"/>
        <v>100</v>
      </c>
      <c r="X44" s="712"/>
      <c r="Y44" s="331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73"/>
      <c r="Q45" s="1535">
        <f t="shared" si="11"/>
        <v>111</v>
      </c>
      <c r="R45" s="714" t="s">
        <v>17</v>
      </c>
      <c r="S45" s="715">
        <f t="shared" si="12"/>
        <v>100</v>
      </c>
      <c r="T45" s="714" t="s">
        <v>17</v>
      </c>
      <c r="U45" s="715">
        <f t="shared" si="13"/>
        <v>100</v>
      </c>
      <c r="V45" s="714" t="s">
        <v>17</v>
      </c>
      <c r="W45" s="715">
        <f t="shared" si="14"/>
        <v>100</v>
      </c>
      <c r="X45" s="1538"/>
      <c r="Y45" s="3311"/>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74"/>
      <c r="Q46" s="1535">
        <f t="shared" si="11"/>
        <v>111</v>
      </c>
      <c r="R46" s="714" t="s">
        <v>17</v>
      </c>
      <c r="S46" s="715">
        <f t="shared" si="12"/>
        <v>100</v>
      </c>
      <c r="T46" s="714" t="s">
        <v>17</v>
      </c>
      <c r="U46" s="715">
        <f t="shared" si="13"/>
        <v>100</v>
      </c>
      <c r="V46" s="714" t="s">
        <v>17</v>
      </c>
      <c r="W46" s="715">
        <f t="shared" si="14"/>
        <v>100</v>
      </c>
      <c r="X46" s="1538"/>
      <c r="Y46" s="3375"/>
      <c r="Z46" s="1539">
        <f t="shared" si="15"/>
        <v>111</v>
      </c>
      <c r="AA46" s="1536">
        <f t="shared" si="3"/>
        <v>1</v>
      </c>
      <c r="AB46" s="1536">
        <f t="shared" si="4"/>
        <v>1</v>
      </c>
      <c r="AC46" s="1536">
        <f t="shared" si="5"/>
        <v>1</v>
      </c>
    </row>
    <row r="47" spans="1:29" ht="15">
      <c r="A47" s="438" t="s">
        <v>2398</v>
      </c>
      <c r="B47" s="439"/>
      <c r="C47" s="1315" t="s">
        <v>1</v>
      </c>
      <c r="D47" s="1316"/>
      <c r="E47" s="1317"/>
      <c r="F47" s="1318"/>
      <c r="G47" s="1319"/>
      <c r="H47" s="1320"/>
      <c r="I47" s="1317"/>
      <c r="J47" s="1320"/>
      <c r="K47" s="723"/>
      <c r="L47" s="2952"/>
      <c r="M47" s="2953"/>
      <c r="N47" s="2944"/>
      <c r="O47" s="2953"/>
      <c r="P47" s="3306" t="str">
        <f>A47</f>
        <v>成交单价（元/平方米）</v>
      </c>
      <c r="Q47" s="3306"/>
      <c r="R47" s="3312">
        <f>E47</f>
        <v>0</v>
      </c>
      <c r="S47" s="3312"/>
      <c r="T47" s="3312">
        <f>G47</f>
        <v>0</v>
      </c>
      <c r="U47" s="3312"/>
      <c r="V47" s="3312">
        <f>I47</f>
        <v>0</v>
      </c>
      <c r="W47" s="3312"/>
      <c r="X47" s="699"/>
      <c r="Y47" s="721"/>
      <c r="Z47" s="699"/>
      <c r="AA47" s="699"/>
      <c r="AB47" s="699"/>
      <c r="AC47" s="699"/>
    </row>
    <row r="48" spans="1:29" ht="15.75" thickBot="1">
      <c r="A48" s="445" t="s">
        <v>2490</v>
      </c>
      <c r="B48" s="446"/>
      <c r="C48" s="1321" t="e">
        <f>R49</f>
        <v>#DIV/0!</v>
      </c>
      <c r="D48" s="2537" t="s">
        <v>2880</v>
      </c>
      <c r="E48" s="1322" t="e">
        <f>R48</f>
        <v>#DIV/0!</v>
      </c>
      <c r="F48" s="2538"/>
      <c r="G48" s="1321" t="e">
        <f>T48</f>
        <v>#DIV/0!</v>
      </c>
      <c r="H48" s="2538"/>
      <c r="I48" s="1322" t="e">
        <f>V48</f>
        <v>#DIV/0!</v>
      </c>
      <c r="J48" s="2538"/>
      <c r="K48" s="2540">
        <f>F48+H48+J48</f>
        <v>0</v>
      </c>
      <c r="L48" s="2952"/>
      <c r="M48" s="2953"/>
      <c r="N48" s="2944"/>
      <c r="O48" s="2953"/>
      <c r="P48" s="3306" t="str">
        <f>A48</f>
        <v>比较价值（元/平方米）</v>
      </c>
      <c r="Q48" s="3306"/>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699"/>
      <c r="Y48" s="699"/>
      <c r="Z48" s="699"/>
      <c r="AA48" s="699"/>
      <c r="AB48" s="699"/>
      <c r="AC48" s="699"/>
    </row>
    <row r="49" spans="1:29" ht="15.75" thickBot="1">
      <c r="A49" s="449" t="s">
        <v>2491</v>
      </c>
      <c r="B49" s="450"/>
      <c r="C49" s="1324" t="e">
        <f>R49</f>
        <v>#DIV/0!</v>
      </c>
      <c r="D49" s="1324"/>
      <c r="E49" s="1324"/>
      <c r="F49" s="1324"/>
      <c r="G49" s="1324"/>
      <c r="H49" s="1324"/>
      <c r="I49" s="1324"/>
      <c r="J49" s="1324"/>
      <c r="K49" s="724"/>
      <c r="L49" s="2952"/>
      <c r="M49" s="2953"/>
      <c r="N49" s="2944"/>
      <c r="O49" s="2953"/>
      <c r="P49" s="3300" t="str">
        <f>A49</f>
        <v>估价对象XX用房的比较价值（楼面单价，元/平方米）</v>
      </c>
      <c r="Q49" s="3301"/>
      <c r="R49" s="3370" t="e">
        <f>IF(F1="售价",ROUND(IF(D48="简单平均",AVERAGE(R48:V48),R48*F48+T48*H48+V48*J48),0),ROUND(IF(D48="简单平均",AVERAGE(R48:V48),R48*F48+T48*H48+V48*J48),1))</f>
        <v>#DIV/0!</v>
      </c>
      <c r="S49" s="3370"/>
      <c r="T49" s="3370"/>
      <c r="U49" s="3370"/>
      <c r="V49" s="3370"/>
      <c r="W49" s="3370"/>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5" t="str">
        <f>YEAR(C7)&amp;"-"&amp;MONTH(C7)</f>
        <v>2021-12</v>
      </c>
      <c r="D58" s="1346">
        <f>EDATE(C58,-1)</f>
        <v>44501</v>
      </c>
      <c r="E58" s="1346">
        <f t="shared" ref="E58:N58" si="16">EDATE(D58,-1)</f>
        <v>44470</v>
      </c>
      <c r="F58" s="1346">
        <f t="shared" si="16"/>
        <v>44440</v>
      </c>
      <c r="G58" s="1346">
        <f t="shared" si="16"/>
        <v>44409</v>
      </c>
      <c r="H58" s="1346">
        <f t="shared" si="16"/>
        <v>44378</v>
      </c>
      <c r="I58" s="1346">
        <f t="shared" si="16"/>
        <v>44348</v>
      </c>
      <c r="J58" s="1346">
        <f t="shared" si="16"/>
        <v>44317</v>
      </c>
      <c r="K58" s="1346">
        <f t="shared" si="16"/>
        <v>44287</v>
      </c>
      <c r="L58" s="1346">
        <f t="shared" si="16"/>
        <v>44256</v>
      </c>
      <c r="M58" s="1346">
        <f t="shared" si="16"/>
        <v>44228</v>
      </c>
      <c r="N58" s="1346">
        <f t="shared" si="16"/>
        <v>44197</v>
      </c>
      <c r="O58" s="1346">
        <f>EDATE(N58,-1)</f>
        <v>44166</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估价对象为房地产，为所有。根据《国有土地使用证》[]，估价对象（分摊）出让国有建设用地使用权面积为133089平方米，建筑面积为58794.39平方米。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估价对象为房地产,属开发建设的，该项目尚在开发建设中。根据《国有土地使用证》[]，估价对象（分摊）出让国有建设用地使用权面积为133089平方米，规划建筑面积为58794.39平方米。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2021年12月25日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25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2507</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58794.39</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303" t="s">
        <v>2467</v>
      </c>
      <c r="D4" s="3316"/>
      <c r="E4" s="3317" t="s">
        <v>2468</v>
      </c>
      <c r="F4" s="3318"/>
      <c r="G4" s="3303" t="s">
        <v>2469</v>
      </c>
      <c r="H4" s="3316"/>
      <c r="I4" s="3303" t="s">
        <v>2470</v>
      </c>
      <c r="J4" s="3316"/>
      <c r="K4" s="567" t="s">
        <v>2471</v>
      </c>
      <c r="L4" s="2943"/>
      <c r="M4" s="2944"/>
      <c r="N4" s="2944"/>
      <c r="O4" s="2944"/>
      <c r="P4" s="3384" t="s">
        <v>2472</v>
      </c>
      <c r="Q4" s="3385"/>
      <c r="R4" s="3388" t="s">
        <v>2468</v>
      </c>
      <c r="S4" s="3389"/>
      <c r="T4" s="3388" t="s">
        <v>2469</v>
      </c>
      <c r="U4" s="3389"/>
      <c r="V4" s="3390" t="s">
        <v>2470</v>
      </c>
      <c r="W4" s="3390"/>
      <c r="X4" s="2143"/>
      <c r="Y4" s="3388" t="s">
        <v>2472</v>
      </c>
      <c r="Z4" s="3389"/>
      <c r="AA4" s="3392" t="s">
        <v>2468</v>
      </c>
      <c r="AB4" s="3392" t="s">
        <v>2469</v>
      </c>
      <c r="AC4" s="3381" t="s">
        <v>2470</v>
      </c>
    </row>
    <row r="5" spans="1:29" ht="15">
      <c r="A5" s="364"/>
      <c r="B5" s="365"/>
      <c r="C5" s="3333" t="s">
        <v>2363</v>
      </c>
      <c r="D5" s="3334"/>
      <c r="E5" s="3340" t="s">
        <v>2364</v>
      </c>
      <c r="F5" s="3341"/>
      <c r="G5" s="3333" t="s">
        <v>2365</v>
      </c>
      <c r="H5" s="3334"/>
      <c r="I5" s="3333" t="s">
        <v>2366</v>
      </c>
      <c r="J5" s="3334"/>
      <c r="K5" s="567"/>
      <c r="L5" s="2943"/>
      <c r="M5" s="2944"/>
      <c r="N5" s="2944"/>
      <c r="O5" s="2944"/>
      <c r="P5" s="3386"/>
      <c r="Q5" s="3322"/>
      <c r="R5" s="3327"/>
      <c r="S5" s="3328"/>
      <c r="T5" s="3327"/>
      <c r="U5" s="3328"/>
      <c r="V5" s="3312"/>
      <c r="W5" s="3312"/>
      <c r="X5" s="1538"/>
      <c r="Y5" s="3327"/>
      <c r="Z5" s="3328"/>
      <c r="AA5" s="3314"/>
      <c r="AB5" s="3314"/>
      <c r="AC5" s="3382"/>
    </row>
    <row r="6" spans="1:29" ht="15.75" thickBot="1">
      <c r="A6" s="366"/>
      <c r="B6" s="367"/>
      <c r="C6" s="3331" t="s">
        <v>2367</v>
      </c>
      <c r="D6" s="3332"/>
      <c r="E6" s="3338" t="s">
        <v>2367</v>
      </c>
      <c r="F6" s="3339"/>
      <c r="G6" s="3331" t="s">
        <v>2367</v>
      </c>
      <c r="H6" s="3332"/>
      <c r="I6" s="3331" t="s">
        <v>2367</v>
      </c>
      <c r="J6" s="3332"/>
      <c r="K6" s="567" t="s">
        <v>2368</v>
      </c>
      <c r="L6" s="2943"/>
      <c r="M6" s="2944"/>
      <c r="N6" s="2944"/>
      <c r="O6" s="2944"/>
      <c r="P6" s="3387"/>
      <c r="Q6" s="3324"/>
      <c r="R6" s="3327"/>
      <c r="S6" s="3328"/>
      <c r="T6" s="3329"/>
      <c r="U6" s="3330"/>
      <c r="V6" s="3312"/>
      <c r="W6" s="3312"/>
      <c r="X6" s="1538"/>
      <c r="Y6" s="3329"/>
      <c r="Z6" s="3330"/>
      <c r="AA6" s="3315"/>
      <c r="AB6" s="3315"/>
      <c r="AC6" s="3383"/>
    </row>
    <row r="7" spans="1:29" s="113" customFormat="1" ht="15.75" thickBot="1">
      <c r="A7" s="368" t="s">
        <v>2369</v>
      </c>
      <c r="B7" s="369"/>
      <c r="C7" s="370">
        <f>'数据-取费表'!B2</f>
        <v>44555</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91" t="s">
        <v>2370</v>
      </c>
      <c r="Q7" s="3337"/>
      <c r="R7" s="710" t="s">
        <v>17</v>
      </c>
      <c r="S7" s="711">
        <f t="shared" ref="S7:S15" si="0">F7</f>
        <v>0</v>
      </c>
      <c r="T7" s="710" t="s">
        <v>17</v>
      </c>
      <c r="U7" s="711">
        <f t="shared" ref="U7:U15" si="1">H7</f>
        <v>0</v>
      </c>
      <c r="V7" s="710" t="s">
        <v>17</v>
      </c>
      <c r="W7" s="711">
        <f t="shared" ref="W7:W15" si="2">J7</f>
        <v>0</v>
      </c>
      <c r="X7" s="712"/>
      <c r="Y7" s="3335" t="s">
        <v>2370</v>
      </c>
      <c r="Z7" s="3336"/>
      <c r="AA7" s="713" t="e">
        <f>D7/F7</f>
        <v>#DIV/0!</v>
      </c>
      <c r="AB7" s="713" t="e">
        <f>D7/H7</f>
        <v>#DIV/0!</v>
      </c>
      <c r="AC7" s="2144"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91" t="s">
        <v>2373</v>
      </c>
      <c r="Q8" s="3336"/>
      <c r="R8" s="710" t="s">
        <v>17</v>
      </c>
      <c r="S8" s="711">
        <f t="shared" si="0"/>
        <v>0</v>
      </c>
      <c r="T8" s="710" t="s">
        <v>17</v>
      </c>
      <c r="U8" s="711">
        <f t="shared" si="1"/>
        <v>0</v>
      </c>
      <c r="V8" s="710" t="s">
        <v>17</v>
      </c>
      <c r="W8" s="711">
        <f t="shared" si="2"/>
        <v>0</v>
      </c>
      <c r="X8" s="712"/>
      <c r="Y8" s="3335" t="s">
        <v>2373</v>
      </c>
      <c r="Z8" s="3336"/>
      <c r="AA8" s="713" t="e">
        <f t="shared" ref="AA8:AA47" si="3">D8/F8</f>
        <v>#DIV/0!</v>
      </c>
      <c r="AB8" s="713" t="e">
        <f t="shared" ref="AB8:AB47" si="4">D8/H8</f>
        <v>#DIV/0!</v>
      </c>
      <c r="AC8" s="2144"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05" t="s">
        <v>2376</v>
      </c>
      <c r="Q9" s="1526" t="str">
        <f t="shared" ref="Q9:Q15" si="6">B9</f>
        <v>用途</v>
      </c>
      <c r="R9" s="710" t="s">
        <v>17</v>
      </c>
      <c r="S9" s="711">
        <f t="shared" si="0"/>
        <v>100</v>
      </c>
      <c r="T9" s="710" t="s">
        <v>17</v>
      </c>
      <c r="U9" s="711">
        <f t="shared" si="1"/>
        <v>100</v>
      </c>
      <c r="V9" s="710" t="s">
        <v>17</v>
      </c>
      <c r="W9" s="711">
        <f t="shared" si="2"/>
        <v>100</v>
      </c>
      <c r="X9" s="712"/>
      <c r="Y9" s="3200" t="s">
        <v>2377</v>
      </c>
      <c r="Z9" s="55" t="str">
        <f t="shared" ref="Z9:Z15" si="7">Q9</f>
        <v>用途</v>
      </c>
      <c r="AA9" s="713">
        <f t="shared" si="3"/>
        <v>1</v>
      </c>
      <c r="AB9" s="713">
        <f t="shared" si="4"/>
        <v>1</v>
      </c>
      <c r="AC9" s="2144">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05"/>
      <c r="Q10" s="1526" t="str">
        <f t="shared" si="6"/>
        <v>土地使用年限（年）</v>
      </c>
      <c r="R10" s="710" t="s">
        <v>17</v>
      </c>
      <c r="S10" s="711">
        <f t="shared" si="0"/>
        <v>100</v>
      </c>
      <c r="T10" s="710" t="s">
        <v>17</v>
      </c>
      <c r="U10" s="711">
        <f t="shared" si="1"/>
        <v>100</v>
      </c>
      <c r="V10" s="710" t="s">
        <v>17</v>
      </c>
      <c r="W10" s="711">
        <f t="shared" si="2"/>
        <v>100</v>
      </c>
      <c r="X10" s="712"/>
      <c r="Y10" s="3200"/>
      <c r="Z10" s="55" t="str">
        <f t="shared" si="7"/>
        <v>土地使用年限（年）</v>
      </c>
      <c r="AA10" s="713">
        <f t="shared" si="3"/>
        <v>1</v>
      </c>
      <c r="AB10" s="713">
        <f t="shared" si="4"/>
        <v>1</v>
      </c>
      <c r="AC10" s="2144">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05"/>
      <c r="Q11" s="1526" t="str">
        <f t="shared" si="6"/>
        <v>容积率</v>
      </c>
      <c r="R11" s="710" t="s">
        <v>17</v>
      </c>
      <c r="S11" s="711" t="e">
        <f t="shared" si="0"/>
        <v>#N/A</v>
      </c>
      <c r="T11" s="710" t="s">
        <v>17</v>
      </c>
      <c r="U11" s="711" t="e">
        <f t="shared" si="1"/>
        <v>#N/A</v>
      </c>
      <c r="V11" s="710" t="s">
        <v>17</v>
      </c>
      <c r="W11" s="711" t="e">
        <f t="shared" si="2"/>
        <v>#N/A</v>
      </c>
      <c r="X11" s="712"/>
      <c r="Y11" s="3200"/>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05"/>
      <c r="Q12" s="1526">
        <f t="shared" si="6"/>
        <v>111</v>
      </c>
      <c r="R12" s="710" t="s">
        <v>17</v>
      </c>
      <c r="S12" s="711">
        <f t="shared" si="0"/>
        <v>100</v>
      </c>
      <c r="T12" s="710" t="s">
        <v>17</v>
      </c>
      <c r="U12" s="711">
        <f t="shared" si="1"/>
        <v>100</v>
      </c>
      <c r="V12" s="710" t="s">
        <v>17</v>
      </c>
      <c r="W12" s="711">
        <f t="shared" si="2"/>
        <v>100</v>
      </c>
      <c r="X12" s="712"/>
      <c r="Y12" s="3200"/>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05"/>
      <c r="Q13" s="1526">
        <f t="shared" si="6"/>
        <v>111</v>
      </c>
      <c r="R13" s="710" t="s">
        <v>17</v>
      </c>
      <c r="S13" s="711">
        <f t="shared" si="0"/>
        <v>100</v>
      </c>
      <c r="T13" s="710" t="s">
        <v>17</v>
      </c>
      <c r="U13" s="711">
        <f t="shared" si="1"/>
        <v>100</v>
      </c>
      <c r="V13" s="710" t="s">
        <v>17</v>
      </c>
      <c r="W13" s="711">
        <f t="shared" si="2"/>
        <v>100</v>
      </c>
      <c r="X13" s="712"/>
      <c r="Y13" s="3200"/>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05"/>
      <c r="Q14" s="1526">
        <f t="shared" si="6"/>
        <v>111</v>
      </c>
      <c r="R14" s="710" t="s">
        <v>17</v>
      </c>
      <c r="S14" s="711">
        <f t="shared" si="0"/>
        <v>100</v>
      </c>
      <c r="T14" s="710" t="s">
        <v>17</v>
      </c>
      <c r="U14" s="711">
        <f t="shared" si="1"/>
        <v>100</v>
      </c>
      <c r="V14" s="710" t="s">
        <v>17</v>
      </c>
      <c r="W14" s="711">
        <f t="shared" si="2"/>
        <v>100</v>
      </c>
      <c r="X14" s="712"/>
      <c r="Y14" s="3200"/>
      <c r="Z14" s="55">
        <f t="shared" si="7"/>
        <v>111</v>
      </c>
      <c r="AA14" s="713">
        <f t="shared" si="3"/>
        <v>1</v>
      </c>
      <c r="AB14" s="713">
        <f t="shared" si="4"/>
        <v>1</v>
      </c>
      <c r="AC14" s="2144">
        <f t="shared" si="5"/>
        <v>1</v>
      </c>
    </row>
    <row r="15" spans="1:29" ht="71.25">
      <c r="A15" s="399" t="s">
        <v>2380</v>
      </c>
      <c r="B15" s="585" t="s">
        <v>2508</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76" t="s">
        <v>2381</v>
      </c>
      <c r="Q15" s="1535" t="str">
        <f t="shared" si="6"/>
        <v>办公集聚程度</v>
      </c>
      <c r="R15" s="714" t="s">
        <v>17</v>
      </c>
      <c r="S15" s="715">
        <f t="shared" si="0"/>
        <v>100</v>
      </c>
      <c r="T15" s="714" t="s">
        <v>17</v>
      </c>
      <c r="U15" s="715">
        <f t="shared" si="1"/>
        <v>100</v>
      </c>
      <c r="V15" s="714" t="s">
        <v>17</v>
      </c>
      <c r="W15" s="715">
        <f t="shared" si="2"/>
        <v>100</v>
      </c>
      <c r="X15" s="1538"/>
      <c r="Y15" s="3308" t="s">
        <v>2381</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50"/>
      <c r="M16" s="2944"/>
      <c r="N16" s="2944"/>
      <c r="O16" s="2944"/>
      <c r="P16" s="3377"/>
      <c r="Q16" s="1535"/>
      <c r="R16" s="714"/>
      <c r="S16" s="715"/>
      <c r="T16" s="714"/>
      <c r="U16" s="715"/>
      <c r="V16" s="714"/>
      <c r="W16" s="715"/>
      <c r="X16" s="1538"/>
      <c r="Y16" s="3309"/>
      <c r="Z16" s="1539"/>
      <c r="AA16" s="1536">
        <v>1</v>
      </c>
      <c r="AB16" s="1536">
        <v>1</v>
      </c>
      <c r="AC16" s="2147">
        <v>1</v>
      </c>
    </row>
    <row r="17" spans="1:29" ht="71.25">
      <c r="A17" s="387"/>
      <c r="B17" s="587" t="s">
        <v>1945</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77"/>
      <c r="Q17" s="1535" t="str">
        <f>B17</f>
        <v>交通便捷度</v>
      </c>
      <c r="R17" s="714" t="s">
        <v>17</v>
      </c>
      <c r="S17" s="715">
        <f>F17</f>
        <v>100</v>
      </c>
      <c r="T17" s="714" t="s">
        <v>17</v>
      </c>
      <c r="U17" s="715">
        <f>H17</f>
        <v>100</v>
      </c>
      <c r="V17" s="714" t="s">
        <v>17</v>
      </c>
      <c r="W17" s="715">
        <f>J17</f>
        <v>100</v>
      </c>
      <c r="X17" s="1538"/>
      <c r="Y17" s="3309"/>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50"/>
      <c r="M18" s="2944"/>
      <c r="N18" s="2944"/>
      <c r="O18" s="2944"/>
      <c r="P18" s="3377"/>
      <c r="Q18" s="1535"/>
      <c r="R18" s="714"/>
      <c r="S18" s="715"/>
      <c r="T18" s="714"/>
      <c r="U18" s="715"/>
      <c r="V18" s="714"/>
      <c r="W18" s="715"/>
      <c r="X18" s="1538"/>
      <c r="Y18" s="3309"/>
      <c r="Z18" s="1539"/>
      <c r="AA18" s="1536">
        <v>1</v>
      </c>
      <c r="AB18" s="1536">
        <v>1</v>
      </c>
      <c r="AC18" s="2147">
        <v>1</v>
      </c>
    </row>
    <row r="19" spans="1:29" ht="42.75">
      <c r="A19" s="387"/>
      <c r="B19" s="587" t="s">
        <v>2509</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77"/>
      <c r="Q19" s="1535" t="str">
        <f>B19</f>
        <v>公共配套设施</v>
      </c>
      <c r="R19" s="714" t="s">
        <v>17</v>
      </c>
      <c r="S19" s="715">
        <f>F19</f>
        <v>100</v>
      </c>
      <c r="T19" s="714" t="s">
        <v>17</v>
      </c>
      <c r="U19" s="715">
        <f>H19</f>
        <v>100</v>
      </c>
      <c r="V19" s="714" t="s">
        <v>17</v>
      </c>
      <c r="W19" s="715">
        <f>J19</f>
        <v>100</v>
      </c>
      <c r="X19" s="1538"/>
      <c r="Y19" s="3309"/>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50"/>
      <c r="M20" s="2944"/>
      <c r="N20" s="2944"/>
      <c r="O20" s="2944"/>
      <c r="P20" s="3377"/>
      <c r="Q20" s="1535"/>
      <c r="R20" s="714"/>
      <c r="S20" s="715"/>
      <c r="T20" s="714"/>
      <c r="U20" s="715"/>
      <c r="V20" s="714"/>
      <c r="W20" s="715"/>
      <c r="X20" s="1538"/>
      <c r="Y20" s="3309"/>
      <c r="Z20" s="1539"/>
      <c r="AA20" s="1536">
        <v>1</v>
      </c>
      <c r="AB20" s="1536">
        <v>1</v>
      </c>
      <c r="AC20" s="2147">
        <v>1</v>
      </c>
    </row>
    <row r="21" spans="1:29" ht="28.5">
      <c r="A21" s="387"/>
      <c r="B21" s="589" t="s">
        <v>2510</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77"/>
      <c r="Q21" s="1535" t="str">
        <f>B21</f>
        <v>基础设施水平</v>
      </c>
      <c r="R21" s="714" t="s">
        <v>17</v>
      </c>
      <c r="S21" s="715">
        <f>F21</f>
        <v>100</v>
      </c>
      <c r="T21" s="714" t="s">
        <v>17</v>
      </c>
      <c r="U21" s="715">
        <f>H21</f>
        <v>100</v>
      </c>
      <c r="V21" s="714" t="s">
        <v>17</v>
      </c>
      <c r="W21" s="715">
        <f>J21</f>
        <v>100</v>
      </c>
      <c r="X21" s="1538"/>
      <c r="Y21" s="3309"/>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2"/>
      <c r="L22" s="2950"/>
      <c r="M22" s="2944"/>
      <c r="N22" s="2944"/>
      <c r="O22" s="2944"/>
      <c r="P22" s="3377"/>
      <c r="Q22" s="1535"/>
      <c r="R22" s="714"/>
      <c r="S22" s="715"/>
      <c r="T22" s="714"/>
      <c r="U22" s="715"/>
      <c r="V22" s="714"/>
      <c r="W22" s="715"/>
      <c r="X22" s="1538"/>
      <c r="Y22" s="3309"/>
      <c r="Z22" s="1539"/>
      <c r="AA22" s="1536">
        <v>1</v>
      </c>
      <c r="AB22" s="1536">
        <v>1</v>
      </c>
      <c r="AC22" s="2147">
        <v>1</v>
      </c>
    </row>
    <row r="23" spans="1:29" ht="42.75">
      <c r="A23" s="387"/>
      <c r="B23" s="587" t="s">
        <v>2511</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77"/>
      <c r="Q23" s="1535" t="str">
        <f>B23</f>
        <v>环境质量</v>
      </c>
      <c r="R23" s="714" t="s">
        <v>17</v>
      </c>
      <c r="S23" s="715">
        <f>F23</f>
        <v>100</v>
      </c>
      <c r="T23" s="714" t="s">
        <v>17</v>
      </c>
      <c r="U23" s="715">
        <f>H23</f>
        <v>100</v>
      </c>
      <c r="V23" s="714" t="s">
        <v>17</v>
      </c>
      <c r="W23" s="715">
        <f>J23</f>
        <v>100</v>
      </c>
      <c r="X23" s="1538"/>
      <c r="Y23" s="3309"/>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50"/>
      <c r="M24" s="2944"/>
      <c r="N24" s="2944"/>
      <c r="O24" s="2944"/>
      <c r="P24" s="3377"/>
      <c r="Q24" s="1535"/>
      <c r="R24" s="714"/>
      <c r="S24" s="715"/>
      <c r="T24" s="714"/>
      <c r="U24" s="715"/>
      <c r="V24" s="714"/>
      <c r="W24" s="715"/>
      <c r="X24" s="1538"/>
      <c r="Y24" s="3309"/>
      <c r="Z24" s="1539"/>
      <c r="AA24" s="1536">
        <v>1</v>
      </c>
      <c r="AB24" s="1536">
        <v>1</v>
      </c>
      <c r="AC24" s="2147">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77"/>
      <c r="Q25" s="1535" t="str">
        <f>B25</f>
        <v>毗邻道路的类型与等级</v>
      </c>
      <c r="R25" s="714" t="s">
        <v>17</v>
      </c>
      <c r="S25" s="715">
        <f>F25</f>
        <v>100</v>
      </c>
      <c r="T25" s="714" t="s">
        <v>17</v>
      </c>
      <c r="U25" s="715">
        <f>H25</f>
        <v>100</v>
      </c>
      <c r="V25" s="714" t="s">
        <v>17</v>
      </c>
      <c r="W25" s="715">
        <f>J25</f>
        <v>100</v>
      </c>
      <c r="X25" s="1538"/>
      <c r="Y25" s="3309"/>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50"/>
      <c r="M26" s="2944"/>
      <c r="N26" s="2944"/>
      <c r="O26" s="2944"/>
      <c r="P26" s="3377"/>
      <c r="Q26" s="1535"/>
      <c r="R26" s="714"/>
      <c r="S26" s="715"/>
      <c r="T26" s="714"/>
      <c r="U26" s="715"/>
      <c r="V26" s="714"/>
      <c r="W26" s="715"/>
      <c r="X26" s="1538"/>
      <c r="Y26" s="3309"/>
      <c r="Z26" s="1539"/>
      <c r="AA26" s="1536">
        <v>1</v>
      </c>
      <c r="AB26" s="1536">
        <v>1</v>
      </c>
      <c r="AC26" s="2147">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77"/>
      <c r="Q27" s="1535" t="str">
        <f t="shared" ref="Q27:Q47" si="11">B27</f>
        <v>楼层</v>
      </c>
      <c r="R27" s="714" t="s">
        <v>17</v>
      </c>
      <c r="S27" s="715">
        <f>F27</f>
        <v>100</v>
      </c>
      <c r="T27" s="714" t="s">
        <v>17</v>
      </c>
      <c r="U27" s="715">
        <f>H27</f>
        <v>100</v>
      </c>
      <c r="V27" s="714" t="s">
        <v>17</v>
      </c>
      <c r="W27" s="715">
        <f>J27</f>
        <v>100</v>
      </c>
      <c r="X27" s="1538"/>
      <c r="Y27" s="3309"/>
      <c r="Z27" s="1539" t="str">
        <f>Q27</f>
        <v>楼层</v>
      </c>
      <c r="AA27" s="1536">
        <f t="shared" si="3"/>
        <v>1</v>
      </c>
      <c r="AB27" s="1536">
        <f t="shared" si="4"/>
        <v>1</v>
      </c>
      <c r="AC27" s="2147">
        <f t="shared" si="5"/>
        <v>1</v>
      </c>
    </row>
    <row r="28" spans="1:29" s="113" customFormat="1" ht="15">
      <c r="A28" s="390"/>
      <c r="B28" s="587" t="s">
        <v>2513</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77"/>
      <c r="Q28" s="1526" t="str">
        <f t="shared" si="11"/>
        <v>朝向</v>
      </c>
      <c r="R28" s="710" t="s">
        <v>17</v>
      </c>
      <c r="S28" s="711">
        <f>F28</f>
        <v>100</v>
      </c>
      <c r="T28" s="710" t="s">
        <v>17</v>
      </c>
      <c r="U28" s="711">
        <f>H28</f>
        <v>100</v>
      </c>
      <c r="V28" s="710" t="s">
        <v>17</v>
      </c>
      <c r="W28" s="711">
        <f>J28</f>
        <v>100</v>
      </c>
      <c r="X28" s="712"/>
      <c r="Y28" s="3309"/>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77"/>
      <c r="Q29" s="1535">
        <f t="shared" si="11"/>
        <v>111</v>
      </c>
      <c r="R29" s="714" t="s">
        <v>17</v>
      </c>
      <c r="S29" s="715">
        <f t="shared" ref="S29:S47" si="12">F29</f>
        <v>100</v>
      </c>
      <c r="T29" s="714" t="s">
        <v>17</v>
      </c>
      <c r="U29" s="715">
        <f t="shared" ref="U29:U47" si="13">H29</f>
        <v>100</v>
      </c>
      <c r="V29" s="714" t="s">
        <v>17</v>
      </c>
      <c r="W29" s="715">
        <f t="shared" ref="W29:W47" si="14">J29</f>
        <v>100</v>
      </c>
      <c r="X29" s="1538"/>
      <c r="Y29" s="3309"/>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77"/>
      <c r="Q30" s="1535">
        <f t="shared" si="11"/>
        <v>111</v>
      </c>
      <c r="R30" s="714" t="s">
        <v>17</v>
      </c>
      <c r="S30" s="715">
        <f t="shared" si="12"/>
        <v>100</v>
      </c>
      <c r="T30" s="714" t="s">
        <v>17</v>
      </c>
      <c r="U30" s="715">
        <f t="shared" si="13"/>
        <v>100</v>
      </c>
      <c r="V30" s="714" t="s">
        <v>17</v>
      </c>
      <c r="W30" s="715">
        <f t="shared" si="14"/>
        <v>100</v>
      </c>
      <c r="X30" s="1538"/>
      <c r="Y30" s="3309"/>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77"/>
      <c r="Q31" s="1535">
        <f t="shared" si="11"/>
        <v>111</v>
      </c>
      <c r="R31" s="714" t="s">
        <v>17</v>
      </c>
      <c r="S31" s="715">
        <f t="shared" si="12"/>
        <v>100</v>
      </c>
      <c r="T31" s="714" t="s">
        <v>17</v>
      </c>
      <c r="U31" s="715">
        <f t="shared" si="13"/>
        <v>100</v>
      </c>
      <c r="V31" s="714" t="s">
        <v>17</v>
      </c>
      <c r="W31" s="715">
        <f t="shared" si="14"/>
        <v>100</v>
      </c>
      <c r="X31" s="1538"/>
      <c r="Y31" s="3309"/>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77"/>
      <c r="Q32" s="1535">
        <f t="shared" si="11"/>
        <v>111</v>
      </c>
      <c r="R32" s="714" t="s">
        <v>17</v>
      </c>
      <c r="S32" s="715">
        <f t="shared" si="12"/>
        <v>100</v>
      </c>
      <c r="T32" s="714" t="s">
        <v>17</v>
      </c>
      <c r="U32" s="715">
        <f t="shared" si="13"/>
        <v>100</v>
      </c>
      <c r="V32" s="714" t="s">
        <v>17</v>
      </c>
      <c r="W32" s="715">
        <f t="shared" si="14"/>
        <v>100</v>
      </c>
      <c r="X32" s="1538"/>
      <c r="Y32" s="3309"/>
      <c r="Z32" s="1539">
        <f t="shared" si="15"/>
        <v>111</v>
      </c>
      <c r="AA32" s="1536">
        <f t="shared" si="3"/>
        <v>1</v>
      </c>
      <c r="AB32" s="1536">
        <f t="shared" si="4"/>
        <v>1</v>
      </c>
      <c r="AC32" s="2147">
        <f t="shared" si="5"/>
        <v>1</v>
      </c>
    </row>
    <row r="33" spans="1:29" ht="15">
      <c r="A33" s="399" t="s">
        <v>2384</v>
      </c>
      <c r="B33" s="67" t="s">
        <v>2514</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72" t="s">
        <v>2386</v>
      </c>
      <c r="Q33" s="1535" t="str">
        <f t="shared" si="11"/>
        <v>建筑类型</v>
      </c>
      <c r="R33" s="714" t="s">
        <v>17</v>
      </c>
      <c r="S33" s="715">
        <f t="shared" si="12"/>
        <v>100</v>
      </c>
      <c r="T33" s="714" t="s">
        <v>17</v>
      </c>
      <c r="U33" s="715">
        <f t="shared" si="13"/>
        <v>100</v>
      </c>
      <c r="V33" s="714" t="s">
        <v>17</v>
      </c>
      <c r="W33" s="715">
        <f t="shared" si="14"/>
        <v>100</v>
      </c>
      <c r="X33" s="1538"/>
      <c r="Y33" s="3311" t="s">
        <v>2386</v>
      </c>
      <c r="Z33" s="1539" t="str">
        <f t="shared" si="15"/>
        <v>建筑类型</v>
      </c>
      <c r="AA33" s="1536">
        <f t="shared" si="3"/>
        <v>1</v>
      </c>
      <c r="AB33" s="1536">
        <f t="shared" si="4"/>
        <v>1</v>
      </c>
      <c r="AC33" s="2147">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73"/>
      <c r="Q34" s="716" t="str">
        <f t="shared" si="11"/>
        <v>项目建筑规模</v>
      </c>
      <c r="R34" s="717" t="s">
        <v>17</v>
      </c>
      <c r="S34" s="718" t="e">
        <f t="shared" si="12"/>
        <v>#N/A</v>
      </c>
      <c r="T34" s="717" t="s">
        <v>17</v>
      </c>
      <c r="U34" s="718" t="e">
        <f t="shared" si="13"/>
        <v>#N/A</v>
      </c>
      <c r="V34" s="717" t="s">
        <v>17</v>
      </c>
      <c r="W34" s="718" t="e">
        <f t="shared" si="14"/>
        <v>#N/A</v>
      </c>
      <c r="X34" s="719"/>
      <c r="Y34" s="3311"/>
      <c r="Z34" s="720" t="str">
        <f t="shared" si="15"/>
        <v>项目建筑规模</v>
      </c>
      <c r="AA34" s="1536" t="e">
        <f t="shared" si="3"/>
        <v>#N/A</v>
      </c>
      <c r="AB34" s="1536" t="e">
        <f t="shared" si="4"/>
        <v>#N/A</v>
      </c>
      <c r="AC34" s="2147"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73"/>
      <c r="Q35" s="1535" t="str">
        <f t="shared" si="11"/>
        <v>建筑结构</v>
      </c>
      <c r="R35" s="714" t="s">
        <v>17</v>
      </c>
      <c r="S35" s="715">
        <f t="shared" si="12"/>
        <v>100</v>
      </c>
      <c r="T35" s="714" t="s">
        <v>17</v>
      </c>
      <c r="U35" s="715">
        <f t="shared" si="13"/>
        <v>100</v>
      </c>
      <c r="V35" s="714" t="s">
        <v>17</v>
      </c>
      <c r="W35" s="715">
        <f t="shared" si="14"/>
        <v>100</v>
      </c>
      <c r="X35" s="1538"/>
      <c r="Y35" s="3311"/>
      <c r="Z35" s="1539" t="str">
        <f t="shared" si="15"/>
        <v>建筑结构</v>
      </c>
      <c r="AA35" s="1536">
        <f t="shared" si="3"/>
        <v>1</v>
      </c>
      <c r="AB35" s="1536">
        <f t="shared" si="4"/>
        <v>1</v>
      </c>
      <c r="AC35" s="2147">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73"/>
      <c r="Q36" s="1535" t="str">
        <f t="shared" si="11"/>
        <v>公共部分装修</v>
      </c>
      <c r="R36" s="714" t="s">
        <v>17</v>
      </c>
      <c r="S36" s="715">
        <f t="shared" si="12"/>
        <v>100</v>
      </c>
      <c r="T36" s="714" t="s">
        <v>17</v>
      </c>
      <c r="U36" s="715">
        <f t="shared" si="13"/>
        <v>100</v>
      </c>
      <c r="V36" s="714" t="s">
        <v>17</v>
      </c>
      <c r="W36" s="715">
        <f t="shared" si="14"/>
        <v>100</v>
      </c>
      <c r="X36" s="1538"/>
      <c r="Y36" s="3311"/>
      <c r="Z36" s="1539" t="str">
        <f t="shared" si="15"/>
        <v>公共部分装修</v>
      </c>
      <c r="AA36" s="1536">
        <f t="shared" si="3"/>
        <v>1</v>
      </c>
      <c r="AB36" s="1536">
        <f t="shared" si="4"/>
        <v>1</v>
      </c>
      <c r="AC36" s="2147">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73"/>
      <c r="Q37" s="1535" t="str">
        <f t="shared" si="11"/>
        <v>成新度</v>
      </c>
      <c r="R37" s="714" t="s">
        <v>17</v>
      </c>
      <c r="S37" s="715" t="e">
        <f t="shared" si="12"/>
        <v>#N/A</v>
      </c>
      <c r="T37" s="714" t="s">
        <v>17</v>
      </c>
      <c r="U37" s="715" t="e">
        <f t="shared" si="13"/>
        <v>#N/A</v>
      </c>
      <c r="V37" s="714" t="s">
        <v>17</v>
      </c>
      <c r="W37" s="715" t="e">
        <f t="shared" si="14"/>
        <v>#N/A</v>
      </c>
      <c r="X37" s="1538"/>
      <c r="Y37" s="3311"/>
      <c r="Z37" s="1539" t="str">
        <f t="shared" si="15"/>
        <v>成新度</v>
      </c>
      <c r="AA37" s="1536" t="e">
        <f t="shared" si="3"/>
        <v>#N/A</v>
      </c>
      <c r="AB37" s="1536" t="e">
        <f t="shared" si="4"/>
        <v>#N/A</v>
      </c>
      <c r="AC37" s="2147"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73"/>
      <c r="Q38" s="1526" t="str">
        <f t="shared" si="11"/>
        <v>写字楼等级</v>
      </c>
      <c r="R38" s="710" t="s">
        <v>17</v>
      </c>
      <c r="S38" s="711">
        <f t="shared" si="12"/>
        <v>100</v>
      </c>
      <c r="T38" s="710" t="s">
        <v>17</v>
      </c>
      <c r="U38" s="711">
        <f t="shared" si="13"/>
        <v>100</v>
      </c>
      <c r="V38" s="710" t="s">
        <v>17</v>
      </c>
      <c r="W38" s="711">
        <f t="shared" si="14"/>
        <v>100</v>
      </c>
      <c r="X38" s="712"/>
      <c r="Y38" s="3311"/>
      <c r="Z38" s="55" t="str">
        <f t="shared" si="15"/>
        <v>写字楼等级</v>
      </c>
      <c r="AA38" s="713">
        <f t="shared" si="3"/>
        <v>1</v>
      </c>
      <c r="AB38" s="713">
        <f t="shared" si="4"/>
        <v>1</v>
      </c>
      <c r="AC38" s="2144">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73" t="s">
        <v>2386</v>
      </c>
      <c r="Q39" s="1535" t="str">
        <f t="shared" si="11"/>
        <v>物业管理</v>
      </c>
      <c r="R39" s="714" t="s">
        <v>17</v>
      </c>
      <c r="S39" s="715">
        <f t="shared" si="12"/>
        <v>100</v>
      </c>
      <c r="T39" s="714" t="s">
        <v>17</v>
      </c>
      <c r="U39" s="715">
        <f t="shared" si="13"/>
        <v>100</v>
      </c>
      <c r="V39" s="714" t="s">
        <v>17</v>
      </c>
      <c r="W39" s="715">
        <f t="shared" si="14"/>
        <v>100</v>
      </c>
      <c r="X39" s="1538"/>
      <c r="Y39" s="3311" t="s">
        <v>2386</v>
      </c>
      <c r="Z39" s="1539" t="str">
        <f t="shared" si="15"/>
        <v>物业管理</v>
      </c>
      <c r="AA39" s="1536">
        <f t="shared" si="3"/>
        <v>1</v>
      </c>
      <c r="AB39" s="1536">
        <f t="shared" si="4"/>
        <v>1</v>
      </c>
      <c r="AC39" s="2147">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73"/>
      <c r="Q40" s="1535" t="str">
        <f t="shared" si="11"/>
        <v>市政基础设施</v>
      </c>
      <c r="R40" s="714" t="s">
        <v>17</v>
      </c>
      <c r="S40" s="715">
        <f t="shared" si="12"/>
        <v>100</v>
      </c>
      <c r="T40" s="714" t="s">
        <v>17</v>
      </c>
      <c r="U40" s="715">
        <f t="shared" si="13"/>
        <v>100</v>
      </c>
      <c r="V40" s="714" t="s">
        <v>17</v>
      </c>
      <c r="W40" s="715">
        <f t="shared" si="14"/>
        <v>100</v>
      </c>
      <c r="X40" s="1538"/>
      <c r="Y40" s="3311"/>
      <c r="Z40" s="1539" t="str">
        <f t="shared" si="15"/>
        <v>市政基础设施</v>
      </c>
      <c r="AA40" s="1536">
        <f t="shared" si="3"/>
        <v>1</v>
      </c>
      <c r="AB40" s="1536">
        <f t="shared" si="4"/>
        <v>1</v>
      </c>
      <c r="AC40" s="2147">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73"/>
      <c r="Q41" s="1535" t="str">
        <f t="shared" si="11"/>
        <v>层高</v>
      </c>
      <c r="R41" s="714" t="s">
        <v>17</v>
      </c>
      <c r="S41" s="715">
        <f t="shared" si="12"/>
        <v>100</v>
      </c>
      <c r="T41" s="714" t="s">
        <v>17</v>
      </c>
      <c r="U41" s="715">
        <f t="shared" si="13"/>
        <v>100</v>
      </c>
      <c r="V41" s="714" t="s">
        <v>17</v>
      </c>
      <c r="W41" s="715">
        <f t="shared" si="14"/>
        <v>100</v>
      </c>
      <c r="X41" s="1538"/>
      <c r="Y41" s="3311"/>
      <c r="Z41" s="1539" t="str">
        <f t="shared" si="15"/>
        <v>层高</v>
      </c>
      <c r="AA41" s="1536">
        <f t="shared" si="3"/>
        <v>1</v>
      </c>
      <c r="AB41" s="1536">
        <f t="shared" si="4"/>
        <v>1</v>
      </c>
      <c r="AC41" s="2147">
        <f t="shared" si="5"/>
        <v>1</v>
      </c>
    </row>
    <row r="42" spans="1:29" s="430" customFormat="1" ht="15">
      <c r="A42" s="427"/>
      <c r="B42" s="1537"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73"/>
      <c r="Q42" s="716" t="str">
        <f t="shared" si="11"/>
        <v>单套建筑面积</v>
      </c>
      <c r="R42" s="717" t="s">
        <v>17</v>
      </c>
      <c r="S42" s="718">
        <f t="shared" si="12"/>
        <v>100</v>
      </c>
      <c r="T42" s="717" t="s">
        <v>17</v>
      </c>
      <c r="U42" s="718">
        <f t="shared" si="13"/>
        <v>100</v>
      </c>
      <c r="V42" s="717" t="s">
        <v>17</v>
      </c>
      <c r="W42" s="718">
        <f t="shared" si="14"/>
        <v>100</v>
      </c>
      <c r="X42" s="719"/>
      <c r="Y42" s="3311"/>
      <c r="Z42" s="720" t="str">
        <f t="shared" si="15"/>
        <v>单套建筑面积</v>
      </c>
      <c r="AA42" s="1536">
        <f t="shared" si="3"/>
        <v>1</v>
      </c>
      <c r="AB42" s="1536">
        <f t="shared" si="4"/>
        <v>1</v>
      </c>
      <c r="AC42" s="2147">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73"/>
      <c r="Q43" s="1535" t="str">
        <f t="shared" si="11"/>
        <v>内部装修</v>
      </c>
      <c r="R43" s="714" t="s">
        <v>17</v>
      </c>
      <c r="S43" s="715">
        <f t="shared" si="12"/>
        <v>100</v>
      </c>
      <c r="T43" s="714" t="s">
        <v>17</v>
      </c>
      <c r="U43" s="715">
        <f t="shared" si="13"/>
        <v>100</v>
      </c>
      <c r="V43" s="714" t="s">
        <v>17</v>
      </c>
      <c r="W43" s="715">
        <f t="shared" si="14"/>
        <v>100</v>
      </c>
      <c r="X43" s="1538"/>
      <c r="Y43" s="3311"/>
      <c r="Z43" s="1539" t="str">
        <f t="shared" si="15"/>
        <v>内部装修</v>
      </c>
      <c r="AA43" s="1536">
        <f t="shared" si="3"/>
        <v>1</v>
      </c>
      <c r="AB43" s="1536">
        <f t="shared" si="4"/>
        <v>1</v>
      </c>
      <c r="AC43" s="2147">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73"/>
      <c r="Q44" s="1535" t="str">
        <f t="shared" si="11"/>
        <v>内部装修维护情况</v>
      </c>
      <c r="R44" s="714" t="s">
        <v>17</v>
      </c>
      <c r="S44" s="715">
        <f t="shared" si="12"/>
        <v>100</v>
      </c>
      <c r="T44" s="714" t="s">
        <v>17</v>
      </c>
      <c r="U44" s="715">
        <f t="shared" si="13"/>
        <v>100</v>
      </c>
      <c r="V44" s="714" t="s">
        <v>17</v>
      </c>
      <c r="W44" s="715">
        <f t="shared" si="14"/>
        <v>100</v>
      </c>
      <c r="X44" s="1538"/>
      <c r="Y44" s="3311"/>
      <c r="Z44" s="1539" t="str">
        <f t="shared" si="15"/>
        <v>内部装修维护情况</v>
      </c>
      <c r="AA44" s="1536">
        <f t="shared" si="3"/>
        <v>1</v>
      </c>
      <c r="AB44" s="1536">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73"/>
      <c r="Q45" s="1526">
        <f t="shared" si="11"/>
        <v>111</v>
      </c>
      <c r="R45" s="710" t="s">
        <v>17</v>
      </c>
      <c r="S45" s="711">
        <f t="shared" si="12"/>
        <v>100</v>
      </c>
      <c r="T45" s="710" t="s">
        <v>17</v>
      </c>
      <c r="U45" s="711">
        <f t="shared" si="13"/>
        <v>100</v>
      </c>
      <c r="V45" s="710" t="s">
        <v>17</v>
      </c>
      <c r="W45" s="711">
        <f t="shared" si="14"/>
        <v>100</v>
      </c>
      <c r="X45" s="712"/>
      <c r="Y45" s="3311"/>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73"/>
      <c r="Q46" s="1535">
        <f t="shared" si="11"/>
        <v>111</v>
      </c>
      <c r="R46" s="714" t="s">
        <v>17</v>
      </c>
      <c r="S46" s="715">
        <f t="shared" si="12"/>
        <v>100</v>
      </c>
      <c r="T46" s="714" t="s">
        <v>17</v>
      </c>
      <c r="U46" s="715">
        <f t="shared" si="13"/>
        <v>100</v>
      </c>
      <c r="V46" s="714" t="s">
        <v>17</v>
      </c>
      <c r="W46" s="715">
        <f t="shared" si="14"/>
        <v>100</v>
      </c>
      <c r="X46" s="1538"/>
      <c r="Y46" s="3311"/>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74"/>
      <c r="Q47" s="1535">
        <f t="shared" si="11"/>
        <v>111</v>
      </c>
      <c r="R47" s="714" t="s">
        <v>17</v>
      </c>
      <c r="S47" s="715">
        <f t="shared" si="12"/>
        <v>100</v>
      </c>
      <c r="T47" s="714" t="s">
        <v>17</v>
      </c>
      <c r="U47" s="715">
        <f t="shared" si="13"/>
        <v>100</v>
      </c>
      <c r="V47" s="714" t="s">
        <v>17</v>
      </c>
      <c r="W47" s="715">
        <f t="shared" si="14"/>
        <v>100</v>
      </c>
      <c r="X47" s="1538"/>
      <c r="Y47" s="3375"/>
      <c r="Z47" s="1539">
        <f t="shared" si="15"/>
        <v>111</v>
      </c>
      <c r="AA47" s="1536">
        <f t="shared" si="3"/>
        <v>1</v>
      </c>
      <c r="AB47" s="1536">
        <f t="shared" si="4"/>
        <v>1</v>
      </c>
      <c r="AC47" s="2147">
        <f t="shared" si="5"/>
        <v>1</v>
      </c>
    </row>
    <row r="48" spans="1:29" ht="15">
      <c r="A48" s="438" t="s">
        <v>2398</v>
      </c>
      <c r="B48" s="439"/>
      <c r="C48" s="1315" t="s">
        <v>1</v>
      </c>
      <c r="D48" s="1316"/>
      <c r="E48" s="1317"/>
      <c r="F48" s="1318"/>
      <c r="G48" s="1319"/>
      <c r="H48" s="1320"/>
      <c r="I48" s="1317"/>
      <c r="J48" s="444"/>
      <c r="K48" s="723"/>
      <c r="L48" s="2952"/>
      <c r="M48" s="2944"/>
      <c r="N48" s="2944"/>
      <c r="O48" s="2944"/>
      <c r="P48" s="3305" t="str">
        <f>A48</f>
        <v>成交单价（元/平方米）</v>
      </c>
      <c r="Q48" s="3306"/>
      <c r="R48" s="3371">
        <f>E48</f>
        <v>0</v>
      </c>
      <c r="S48" s="3371"/>
      <c r="T48" s="3371">
        <f>G48</f>
        <v>0</v>
      </c>
      <c r="U48" s="3371"/>
      <c r="V48" s="3371">
        <f>I48</f>
        <v>0</v>
      </c>
      <c r="W48" s="3371"/>
      <c r="X48" s="405"/>
      <c r="Y48" s="721"/>
      <c r="Z48" s="405"/>
      <c r="AA48" s="405"/>
      <c r="AB48" s="405"/>
      <c r="AC48" s="586"/>
    </row>
    <row r="49" spans="1:29" ht="15.75" thickBot="1">
      <c r="A49" s="445" t="s">
        <v>2490</v>
      </c>
      <c r="B49" s="446"/>
      <c r="C49" s="1321" t="e">
        <f>R50</f>
        <v>#DIV/0!</v>
      </c>
      <c r="D49" s="2537" t="s">
        <v>2880</v>
      </c>
      <c r="E49" s="1322" t="e">
        <f>R49</f>
        <v>#DIV/0!</v>
      </c>
      <c r="F49" s="2538"/>
      <c r="G49" s="1321" t="e">
        <f>T49</f>
        <v>#DIV/0!</v>
      </c>
      <c r="H49" s="2538"/>
      <c r="I49" s="1322" t="e">
        <f>V49</f>
        <v>#DIV/0!</v>
      </c>
      <c r="J49" s="2538"/>
      <c r="K49" s="2540">
        <f>F49+H49+J49</f>
        <v>0</v>
      </c>
      <c r="L49" s="2952"/>
      <c r="M49" s="2944"/>
      <c r="N49" s="2944"/>
      <c r="O49" s="2944"/>
      <c r="P49" s="3305" t="str">
        <f>A49</f>
        <v>比较价值（元/平方米）</v>
      </c>
      <c r="Q49" s="3306"/>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405"/>
      <c r="Y49" s="405"/>
      <c r="Z49" s="405"/>
      <c r="AA49" s="405"/>
      <c r="AB49" s="405"/>
      <c r="AC49" s="586"/>
    </row>
    <row r="50" spans="1:29" ht="15.75" thickBot="1">
      <c r="A50" s="449" t="s">
        <v>2491</v>
      </c>
      <c r="B50" s="450"/>
      <c r="C50" s="1324" t="e">
        <f>R50</f>
        <v>#DIV/0!</v>
      </c>
      <c r="D50" s="1324"/>
      <c r="E50" s="1324"/>
      <c r="F50" s="1324"/>
      <c r="G50" s="1324"/>
      <c r="H50" s="1324"/>
      <c r="I50" s="1324"/>
      <c r="J50" s="451"/>
      <c r="K50" s="724"/>
      <c r="L50" s="2952"/>
      <c r="M50" s="2944"/>
      <c r="N50" s="2944"/>
      <c r="O50" s="2944"/>
      <c r="P50" s="3378" t="str">
        <f>A50</f>
        <v>估价对象XX用房的比较价值（楼面单价，元/平方米）</v>
      </c>
      <c r="Q50" s="3379"/>
      <c r="R50" s="3380" t="e">
        <f>IF(F1="售价",ROUND(IF(D49="简单平均",AVERAGE(R49:V49),R49*F49+T49*H49+V49*J49),0),ROUND(IF(D49="简单平均",AVERAGE(R49:V49),R49*F49+T49*H49+V49*J49),1))</f>
        <v>#DIV/0!</v>
      </c>
      <c r="S50" s="3380"/>
      <c r="T50" s="3380"/>
      <c r="U50" s="3380"/>
      <c r="V50" s="3380"/>
      <c r="W50" s="3380"/>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5" t="str">
        <f>YEAR(C7)&amp;"-"&amp;MONTH(C7)</f>
        <v>2021-12</v>
      </c>
      <c r="D59" s="1346">
        <f>EDATE(C59,-1)</f>
        <v>44501</v>
      </c>
      <c r="E59" s="1346">
        <f>EDATE(D59,-1)</f>
        <v>44470</v>
      </c>
      <c r="F59" s="1346">
        <f t="shared" ref="F59:O59" si="16">EDATE(E59,-1)</f>
        <v>44440</v>
      </c>
      <c r="G59" s="1346">
        <f t="shared" si="16"/>
        <v>44409</v>
      </c>
      <c r="H59" s="1346">
        <f t="shared" si="16"/>
        <v>44378</v>
      </c>
      <c r="I59" s="1346">
        <f t="shared" si="16"/>
        <v>44348</v>
      </c>
      <c r="J59" s="1346">
        <f t="shared" si="16"/>
        <v>44317</v>
      </c>
      <c r="K59" s="1346">
        <f t="shared" si="16"/>
        <v>44287</v>
      </c>
      <c r="L59" s="1346">
        <f t="shared" si="16"/>
        <v>44256</v>
      </c>
      <c r="M59" s="1346">
        <f t="shared" si="16"/>
        <v>44228</v>
      </c>
      <c r="N59" s="1346">
        <f t="shared" si="16"/>
        <v>44197</v>
      </c>
      <c r="O59" s="1346">
        <f t="shared" si="16"/>
        <v>44166</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4" priority="20" stopIfTrue="1" operator="containsText" text="超过">
      <formula>NOT(ISERROR(SEARCH("超过",F53)))</formula>
    </cfRule>
  </conditionalFormatting>
  <conditionalFormatting sqref="H55">
    <cfRule type="containsText" dxfId="113" priority="19" stopIfTrue="1" operator="containsText" text="超过">
      <formula>NOT(ISERROR(SEARCH("超过",H55)))</formula>
    </cfRule>
  </conditionalFormatting>
  <conditionalFormatting sqref="F55">
    <cfRule type="containsText" dxfId="112" priority="18" stopIfTrue="1" operator="containsText" text="超过">
      <formula>NOT(ISERROR(SEARCH("超过",F55)))</formula>
    </cfRule>
  </conditionalFormatting>
  <conditionalFormatting sqref="F54 H54">
    <cfRule type="containsText" dxfId="111" priority="17" stopIfTrue="1" operator="containsText" text="超过">
      <formula>NOT(ISERROR(SEARCH("超过",F54)))</formula>
    </cfRule>
  </conditionalFormatting>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G55">
    <cfRule type="expression" dxfId="107" priority="13" stopIfTrue="1">
      <formula>$H$55="超过30%"</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J53">
    <cfRule type="containsText" dxfId="104" priority="10" stopIfTrue="1" operator="containsText" text="超过">
      <formula>NOT(ISERROR(SEARCH("超过",J53)))</formula>
    </cfRule>
  </conditionalFormatting>
  <conditionalFormatting sqref="J55">
    <cfRule type="containsText" dxfId="103" priority="9" stopIfTrue="1" operator="containsText" text="超过">
      <formula>NOT(ISERROR(SEARCH("超过",J55)))</formula>
    </cfRule>
  </conditionalFormatting>
  <conditionalFormatting sqref="J54">
    <cfRule type="containsText" dxfId="102" priority="8" stopIfTrue="1" operator="containsText" text="超过">
      <formula>NOT(ISERROR(SEARCH("超过",J54)))</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F7:F47 H7:H47 J7:J47">
    <cfRule type="cellIs" dxfId="95"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58794.39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03" t="s">
        <v>2467</v>
      </c>
      <c r="D4" s="3316"/>
      <c r="E4" s="3317" t="s">
        <v>2468</v>
      </c>
      <c r="F4" s="3318"/>
      <c r="G4" s="3303" t="s">
        <v>2469</v>
      </c>
      <c r="H4" s="3316"/>
      <c r="I4" s="3303" t="s">
        <v>2470</v>
      </c>
      <c r="J4" s="3316"/>
      <c r="K4" s="567" t="s">
        <v>2471</v>
      </c>
      <c r="L4" s="1044"/>
      <c r="M4" s="1045"/>
      <c r="N4" s="1045"/>
      <c r="O4" s="1045"/>
      <c r="P4" s="3319" t="s">
        <v>2472</v>
      </c>
      <c r="Q4" s="3320"/>
      <c r="R4" s="3325" t="s">
        <v>2468</v>
      </c>
      <c r="S4" s="3326"/>
      <c r="T4" s="3325" t="s">
        <v>2469</v>
      </c>
      <c r="U4" s="3326"/>
      <c r="V4" s="3312" t="s">
        <v>2470</v>
      </c>
      <c r="W4" s="3312"/>
      <c r="X4" s="1538"/>
      <c r="Y4" s="3325" t="s">
        <v>2472</v>
      </c>
      <c r="Z4" s="3326"/>
      <c r="AA4" s="3313" t="s">
        <v>2468</v>
      </c>
      <c r="AB4" s="3314" t="s">
        <v>2469</v>
      </c>
      <c r="AC4" s="3313" t="s">
        <v>2470</v>
      </c>
    </row>
    <row r="5" spans="1:29" ht="15">
      <c r="A5" s="364"/>
      <c r="B5" s="365"/>
      <c r="C5" s="3333" t="s">
        <v>2363</v>
      </c>
      <c r="D5" s="3334"/>
      <c r="E5" s="3340" t="s">
        <v>2364</v>
      </c>
      <c r="F5" s="3341"/>
      <c r="G5" s="3333" t="s">
        <v>2365</v>
      </c>
      <c r="H5" s="3334"/>
      <c r="I5" s="3333" t="s">
        <v>2366</v>
      </c>
      <c r="J5" s="3334"/>
      <c r="K5" s="567"/>
      <c r="L5" s="1044"/>
      <c r="M5" s="1045"/>
      <c r="N5" s="1045"/>
      <c r="O5" s="1045"/>
      <c r="P5" s="3321"/>
      <c r="Q5" s="3322"/>
      <c r="R5" s="3327"/>
      <c r="S5" s="3328"/>
      <c r="T5" s="3327"/>
      <c r="U5" s="3328"/>
      <c r="V5" s="3312"/>
      <c r="W5" s="3312"/>
      <c r="X5" s="1538"/>
      <c r="Y5" s="3327"/>
      <c r="Z5" s="3328"/>
      <c r="AA5" s="3314"/>
      <c r="AB5" s="3314"/>
      <c r="AC5" s="3314"/>
    </row>
    <row r="6" spans="1:29" ht="15.75" thickBot="1">
      <c r="A6" s="366"/>
      <c r="B6" s="367"/>
      <c r="C6" s="3331" t="s">
        <v>2367</v>
      </c>
      <c r="D6" s="3332"/>
      <c r="E6" s="3338" t="s">
        <v>2367</v>
      </c>
      <c r="F6" s="3339"/>
      <c r="G6" s="3331" t="s">
        <v>2367</v>
      </c>
      <c r="H6" s="3332"/>
      <c r="I6" s="3331" t="s">
        <v>2367</v>
      </c>
      <c r="J6" s="3332"/>
      <c r="K6" s="567" t="s">
        <v>2368</v>
      </c>
      <c r="L6" s="1044"/>
      <c r="M6" s="1045"/>
      <c r="N6" s="1045"/>
      <c r="O6" s="1045"/>
      <c r="P6" s="3323"/>
      <c r="Q6" s="3324"/>
      <c r="R6" s="3327"/>
      <c r="S6" s="3328"/>
      <c r="T6" s="3329"/>
      <c r="U6" s="3330"/>
      <c r="V6" s="3312"/>
      <c r="W6" s="3312"/>
      <c r="X6" s="1538"/>
      <c r="Y6" s="3329"/>
      <c r="Z6" s="3330"/>
      <c r="AA6" s="3315"/>
      <c r="AB6" s="3315"/>
      <c r="AC6" s="3315"/>
    </row>
    <row r="7" spans="1:29" s="113" customFormat="1" ht="15.75" thickBot="1">
      <c r="A7" s="368" t="s">
        <v>2369</v>
      </c>
      <c r="B7" s="369"/>
      <c r="C7" s="370">
        <f>'数据-取费表'!B2</f>
        <v>44555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5" t="s">
        <v>2370</v>
      </c>
      <c r="Q7" s="3337"/>
      <c r="R7" s="710" t="s">
        <v>17</v>
      </c>
      <c r="S7" s="711">
        <f t="shared" ref="S7:S15" si="0">F7</f>
        <v>0</v>
      </c>
      <c r="T7" s="710" t="s">
        <v>17</v>
      </c>
      <c r="U7" s="711">
        <f t="shared" ref="U7:U15" si="1">H7</f>
        <v>0</v>
      </c>
      <c r="V7" s="710" t="s">
        <v>17</v>
      </c>
      <c r="W7" s="711">
        <f t="shared" ref="W7:W15" si="2">J7</f>
        <v>0</v>
      </c>
      <c r="X7" s="712"/>
      <c r="Y7" s="3335" t="s">
        <v>2370</v>
      </c>
      <c r="Z7" s="3336"/>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5" t="s">
        <v>2373</v>
      </c>
      <c r="Q8" s="3336"/>
      <c r="R8" s="710" t="s">
        <v>17</v>
      </c>
      <c r="S8" s="711">
        <f t="shared" si="0"/>
        <v>0</v>
      </c>
      <c r="T8" s="710" t="s">
        <v>17</v>
      </c>
      <c r="U8" s="711">
        <f t="shared" si="1"/>
        <v>0</v>
      </c>
      <c r="V8" s="710" t="s">
        <v>17</v>
      </c>
      <c r="W8" s="711">
        <f t="shared" si="2"/>
        <v>0</v>
      </c>
      <c r="X8" s="712"/>
      <c r="Y8" s="3335" t="s">
        <v>2373</v>
      </c>
      <c r="Z8" s="3336"/>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6" t="s">
        <v>2376</v>
      </c>
      <c r="Q9" s="1526" t="str">
        <f t="shared" ref="Q9:Q15" si="6">B9</f>
        <v>用途</v>
      </c>
      <c r="R9" s="710" t="s">
        <v>17</v>
      </c>
      <c r="S9" s="711">
        <f t="shared" si="0"/>
        <v>100</v>
      </c>
      <c r="T9" s="710" t="s">
        <v>17</v>
      </c>
      <c r="U9" s="711">
        <f t="shared" si="1"/>
        <v>100</v>
      </c>
      <c r="V9" s="710" t="s">
        <v>17</v>
      </c>
      <c r="W9" s="711">
        <f t="shared" si="2"/>
        <v>100</v>
      </c>
      <c r="X9" s="712"/>
      <c r="Y9" s="320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6"/>
      <c r="Q10" s="1526" t="str">
        <f t="shared" si="6"/>
        <v>土地使用年限（年）</v>
      </c>
      <c r="R10" s="710" t="s">
        <v>17</v>
      </c>
      <c r="S10" s="711">
        <f t="shared" si="0"/>
        <v>100</v>
      </c>
      <c r="T10" s="710" t="s">
        <v>17</v>
      </c>
      <c r="U10" s="711">
        <f t="shared" si="1"/>
        <v>100</v>
      </c>
      <c r="V10" s="710" t="s">
        <v>17</v>
      </c>
      <c r="W10" s="711">
        <f t="shared" si="2"/>
        <v>100</v>
      </c>
      <c r="X10" s="712"/>
      <c r="Y10" s="3200"/>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6"/>
      <c r="Q11" s="1526" t="str">
        <f t="shared" si="6"/>
        <v>容积率</v>
      </c>
      <c r="R11" s="710" t="s">
        <v>17</v>
      </c>
      <c r="S11" s="711" t="e">
        <f t="shared" si="0"/>
        <v>#N/A</v>
      </c>
      <c r="T11" s="710" t="s">
        <v>17</v>
      </c>
      <c r="U11" s="711" t="e">
        <f t="shared" si="1"/>
        <v>#N/A</v>
      </c>
      <c r="V11" s="710" t="s">
        <v>17</v>
      </c>
      <c r="W11" s="711" t="e">
        <f t="shared" si="2"/>
        <v>#N/A</v>
      </c>
      <c r="X11" s="712"/>
      <c r="Y11" s="3200"/>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306"/>
      <c r="Q12" s="1526">
        <f t="shared" si="6"/>
        <v>111</v>
      </c>
      <c r="R12" s="710" t="s">
        <v>17</v>
      </c>
      <c r="S12" s="711">
        <f t="shared" si="0"/>
        <v>100</v>
      </c>
      <c r="T12" s="710" t="s">
        <v>17</v>
      </c>
      <c r="U12" s="711">
        <f t="shared" si="1"/>
        <v>100</v>
      </c>
      <c r="V12" s="710" t="s">
        <v>17</v>
      </c>
      <c r="W12" s="711">
        <f t="shared" si="2"/>
        <v>100</v>
      </c>
      <c r="X12" s="712"/>
      <c r="Y12" s="3200"/>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306"/>
      <c r="Q13" s="1526">
        <f t="shared" si="6"/>
        <v>111</v>
      </c>
      <c r="R13" s="710" t="s">
        <v>17</v>
      </c>
      <c r="S13" s="711">
        <f t="shared" si="0"/>
        <v>100</v>
      </c>
      <c r="T13" s="710" t="s">
        <v>17</v>
      </c>
      <c r="U13" s="711">
        <f t="shared" si="1"/>
        <v>100</v>
      </c>
      <c r="V13" s="710" t="s">
        <v>17</v>
      </c>
      <c r="W13" s="711">
        <f t="shared" si="2"/>
        <v>100</v>
      </c>
      <c r="X13" s="712"/>
      <c r="Y13" s="3200"/>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306"/>
      <c r="Q14" s="1526">
        <f t="shared" si="6"/>
        <v>111</v>
      </c>
      <c r="R14" s="710" t="s">
        <v>17</v>
      </c>
      <c r="S14" s="711">
        <f t="shared" si="0"/>
        <v>100</v>
      </c>
      <c r="T14" s="710" t="s">
        <v>17</v>
      </c>
      <c r="U14" s="711">
        <f t="shared" si="1"/>
        <v>100</v>
      </c>
      <c r="V14" s="710" t="s">
        <v>17</v>
      </c>
      <c r="W14" s="711">
        <f t="shared" si="2"/>
        <v>100</v>
      </c>
      <c r="X14" s="712"/>
      <c r="Y14" s="3200"/>
      <c r="Z14" s="55">
        <f t="shared" si="7"/>
        <v>111</v>
      </c>
      <c r="AA14" s="713">
        <f t="shared" si="3"/>
        <v>1</v>
      </c>
      <c r="AB14" s="713">
        <f t="shared" si="4"/>
        <v>1</v>
      </c>
      <c r="AC14" s="713">
        <f t="shared" si="5"/>
        <v>1</v>
      </c>
    </row>
    <row r="15" spans="1:29" ht="57">
      <c r="A15" s="399" t="s">
        <v>2380</v>
      </c>
      <c r="B15" s="65" t="s">
        <v>2524</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8" t="s">
        <v>2381</v>
      </c>
      <c r="Q15" s="1535" t="str">
        <f t="shared" si="6"/>
        <v>产业集聚程度</v>
      </c>
      <c r="R15" s="714" t="s">
        <v>17</v>
      </c>
      <c r="S15" s="715">
        <f t="shared" si="0"/>
        <v>100</v>
      </c>
      <c r="T15" s="714" t="s">
        <v>17</v>
      </c>
      <c r="U15" s="715">
        <f t="shared" si="1"/>
        <v>100</v>
      </c>
      <c r="V15" s="714" t="s">
        <v>17</v>
      </c>
      <c r="W15" s="715">
        <f t="shared" si="2"/>
        <v>100</v>
      </c>
      <c r="X15" s="1538"/>
      <c r="Y15" s="3308" t="s">
        <v>2381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309"/>
      <c r="Q16" s="1535"/>
      <c r="R16" s="714"/>
      <c r="S16" s="715"/>
      <c r="T16" s="714"/>
      <c r="U16" s="715"/>
      <c r="V16" s="714"/>
      <c r="W16" s="715"/>
      <c r="X16" s="1538"/>
      <c r="Y16" s="3309"/>
      <c r="Z16" s="1539"/>
      <c r="AA16" s="1536">
        <v>1</v>
      </c>
      <c r="AB16" s="1536">
        <v>1</v>
      </c>
      <c r="AC16" s="1536">
        <v>1</v>
      </c>
    </row>
    <row r="17" spans="1:29" ht="85.5">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9"/>
      <c r="Q17" s="1535" t="str">
        <f>B17</f>
        <v>交通便捷度</v>
      </c>
      <c r="R17" s="714" t="s">
        <v>17</v>
      </c>
      <c r="S17" s="715">
        <f>F17</f>
        <v>100</v>
      </c>
      <c r="T17" s="714" t="s">
        <v>17</v>
      </c>
      <c r="U17" s="715">
        <f>H17</f>
        <v>100</v>
      </c>
      <c r="V17" s="714" t="s">
        <v>17</v>
      </c>
      <c r="W17" s="715">
        <f>J17</f>
        <v>100</v>
      </c>
      <c r="X17" s="1538"/>
      <c r="Y17" s="3309"/>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309"/>
      <c r="Q18" s="1535"/>
      <c r="R18" s="714"/>
      <c r="S18" s="715"/>
      <c r="T18" s="714"/>
      <c r="U18" s="715"/>
      <c r="V18" s="714"/>
      <c r="W18" s="715"/>
      <c r="X18" s="1538"/>
      <c r="Y18" s="3309"/>
      <c r="Z18" s="1539"/>
      <c r="AA18" s="1536">
        <v>1</v>
      </c>
      <c r="AB18" s="1536">
        <v>1</v>
      </c>
      <c r="AC18" s="1536">
        <v>1</v>
      </c>
    </row>
    <row r="19" spans="1:29" ht="42.75">
      <c r="A19" s="387"/>
      <c r="B19" s="410" t="s">
        <v>2509</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9"/>
      <c r="Q19" s="1535" t="str">
        <f>B19</f>
        <v>公共配套设施</v>
      </c>
      <c r="R19" s="714" t="s">
        <v>17</v>
      </c>
      <c r="S19" s="715">
        <f>F19</f>
        <v>100</v>
      </c>
      <c r="T19" s="714" t="s">
        <v>17</v>
      </c>
      <c r="U19" s="715">
        <f>H19</f>
        <v>100</v>
      </c>
      <c r="V19" s="714" t="s">
        <v>17</v>
      </c>
      <c r="W19" s="715">
        <f>J19</f>
        <v>100</v>
      </c>
      <c r="X19" s="1538"/>
      <c r="Y19" s="3309"/>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309"/>
      <c r="Q20" s="1535"/>
      <c r="R20" s="714"/>
      <c r="S20" s="715"/>
      <c r="T20" s="714"/>
      <c r="U20" s="715"/>
      <c r="V20" s="714"/>
      <c r="W20" s="715"/>
      <c r="X20" s="1538"/>
      <c r="Y20" s="3309"/>
      <c r="Z20" s="1539"/>
      <c r="AA20" s="1536">
        <v>1</v>
      </c>
      <c r="AB20" s="1536">
        <v>1</v>
      </c>
      <c r="AC20" s="1536">
        <v>1</v>
      </c>
    </row>
    <row r="21" spans="1:29" ht="28.5">
      <c r="A21" s="387"/>
      <c r="B21" s="1293" t="s">
        <v>2510</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9"/>
      <c r="Q21" s="1535" t="str">
        <f>B21</f>
        <v>基础设施水平</v>
      </c>
      <c r="R21" s="714" t="s">
        <v>17</v>
      </c>
      <c r="S21" s="715">
        <f>F21</f>
        <v>100</v>
      </c>
      <c r="T21" s="714" t="s">
        <v>17</v>
      </c>
      <c r="U21" s="715">
        <f>H21</f>
        <v>100</v>
      </c>
      <c r="V21" s="714" t="s">
        <v>17</v>
      </c>
      <c r="W21" s="715">
        <f>J21</f>
        <v>100</v>
      </c>
      <c r="X21" s="1538"/>
      <c r="Y21" s="3309"/>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1054"/>
      <c r="M22" s="1045"/>
      <c r="N22" s="1045"/>
      <c r="O22" s="1053"/>
      <c r="P22" s="3309"/>
      <c r="Q22" s="1535"/>
      <c r="R22" s="714"/>
      <c r="S22" s="715"/>
      <c r="T22" s="714"/>
      <c r="U22" s="715"/>
      <c r="V22" s="714"/>
      <c r="W22" s="715"/>
      <c r="X22" s="1538"/>
      <c r="Y22" s="3309"/>
      <c r="Z22" s="1539"/>
      <c r="AA22" s="1536">
        <v>1</v>
      </c>
      <c r="AB22" s="1536">
        <v>1</v>
      </c>
      <c r="AC22" s="1536">
        <v>1</v>
      </c>
    </row>
    <row r="23" spans="1:29" ht="71.25">
      <c r="A23" s="387"/>
      <c r="B23" s="410" t="s">
        <v>2511</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9"/>
      <c r="Q23" s="1535" t="str">
        <f>B23</f>
        <v>环境质量</v>
      </c>
      <c r="R23" s="714" t="s">
        <v>17</v>
      </c>
      <c r="S23" s="715">
        <f>F23</f>
        <v>100</v>
      </c>
      <c r="T23" s="714" t="s">
        <v>17</v>
      </c>
      <c r="U23" s="715">
        <f>H23</f>
        <v>100</v>
      </c>
      <c r="V23" s="714" t="s">
        <v>17</v>
      </c>
      <c r="W23" s="715">
        <f>J23</f>
        <v>100</v>
      </c>
      <c r="X23" s="1538"/>
      <c r="Y23" s="3309"/>
      <c r="Z23" s="1539" t="str">
        <f>Q23</f>
        <v>环境质量</v>
      </c>
      <c r="AA23" s="1536">
        <f t="shared" si="3"/>
        <v>1</v>
      </c>
      <c r="AB23" s="1536">
        <f t="shared" si="4"/>
        <v>1</v>
      </c>
      <c r="AC23" s="1536">
        <f t="shared" si="5"/>
        <v>1</v>
      </c>
    </row>
    <row r="24" spans="1:29" ht="15">
      <c r="A24" s="387"/>
      <c r="B24" s="1293"/>
      <c r="C24" s="406"/>
      <c r="D24" s="407"/>
      <c r="E24" s="2083"/>
      <c r="F24" s="408"/>
      <c r="G24" s="2082"/>
      <c r="H24" s="407"/>
      <c r="I24" s="2083"/>
      <c r="J24" s="407"/>
      <c r="K24" s="572"/>
      <c r="L24" s="1054"/>
      <c r="M24" s="1045"/>
      <c r="N24" s="1045"/>
      <c r="O24" s="1053"/>
      <c r="P24" s="3309"/>
      <c r="Q24" s="1535"/>
      <c r="R24" s="714"/>
      <c r="S24" s="715"/>
      <c r="T24" s="714"/>
      <c r="U24" s="715"/>
      <c r="V24" s="714"/>
      <c r="W24" s="715"/>
      <c r="X24" s="1538"/>
      <c r="Y24" s="3309"/>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9"/>
      <c r="Q25" s="1535">
        <f>B25</f>
        <v>111</v>
      </c>
      <c r="R25" s="714" t="s">
        <v>17</v>
      </c>
      <c r="S25" s="715">
        <f>F25</f>
        <v>100</v>
      </c>
      <c r="T25" s="714" t="s">
        <v>17</v>
      </c>
      <c r="U25" s="715">
        <f>H25</f>
        <v>100</v>
      </c>
      <c r="V25" s="714" t="s">
        <v>17</v>
      </c>
      <c r="W25" s="715">
        <f>J25</f>
        <v>100</v>
      </c>
      <c r="X25" s="1538"/>
      <c r="Y25" s="3309"/>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9"/>
      <c r="Q26" s="1535">
        <f t="shared" ref="Q26:Q40" si="11">B26</f>
        <v>111</v>
      </c>
      <c r="R26" s="714" t="s">
        <v>17</v>
      </c>
      <c r="S26" s="715">
        <f>F26</f>
        <v>100</v>
      </c>
      <c r="T26" s="714" t="s">
        <v>17</v>
      </c>
      <c r="U26" s="715">
        <f>H26</f>
        <v>100</v>
      </c>
      <c r="V26" s="714" t="s">
        <v>17</v>
      </c>
      <c r="W26" s="715">
        <f>J26</f>
        <v>100</v>
      </c>
      <c r="X26" s="1538"/>
      <c r="Y26" s="3309"/>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9"/>
      <c r="Q27" s="1526">
        <f t="shared" si="11"/>
        <v>111</v>
      </c>
      <c r="R27" s="710" t="s">
        <v>17</v>
      </c>
      <c r="S27" s="711">
        <f>F27</f>
        <v>100</v>
      </c>
      <c r="T27" s="710" t="s">
        <v>17</v>
      </c>
      <c r="U27" s="711">
        <f>H27</f>
        <v>100</v>
      </c>
      <c r="V27" s="710" t="s">
        <v>17</v>
      </c>
      <c r="W27" s="711">
        <f>J27</f>
        <v>100</v>
      </c>
      <c r="X27" s="712"/>
      <c r="Y27" s="3309"/>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9"/>
      <c r="Q28" s="1535">
        <f t="shared" si="11"/>
        <v>111</v>
      </c>
      <c r="R28" s="714" t="s">
        <v>17</v>
      </c>
      <c r="S28" s="715">
        <f t="shared" ref="S28:S40" si="12">F28</f>
        <v>100</v>
      </c>
      <c r="T28" s="714" t="s">
        <v>17</v>
      </c>
      <c r="U28" s="715">
        <f t="shared" ref="U28:U40" si="13">H28</f>
        <v>100</v>
      </c>
      <c r="V28" s="714" t="s">
        <v>17</v>
      </c>
      <c r="W28" s="715">
        <f t="shared" ref="W28:W40" si="14">J28</f>
        <v>100</v>
      </c>
      <c r="X28" s="1538"/>
      <c r="Y28" s="3309"/>
      <c r="Z28" s="1539">
        <f t="shared" ref="Z28:Z40" si="15">Q28</f>
        <v>111</v>
      </c>
      <c r="AA28" s="1536">
        <f t="shared" si="3"/>
        <v>1</v>
      </c>
      <c r="AB28" s="1536">
        <f t="shared" si="4"/>
        <v>1</v>
      </c>
      <c r="AC28" s="1536">
        <f t="shared" si="5"/>
        <v>1</v>
      </c>
    </row>
    <row r="29" spans="1:29" ht="28.5">
      <c r="A29" s="425" t="s">
        <v>2384</v>
      </c>
      <c r="B29" s="67" t="s">
        <v>2514</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10" t="s">
        <v>2386</v>
      </c>
      <c r="Q29" s="1535" t="str">
        <f t="shared" si="11"/>
        <v>建筑类型</v>
      </c>
      <c r="R29" s="714" t="s">
        <v>17</v>
      </c>
      <c r="S29" s="715">
        <f t="shared" si="12"/>
        <v>100</v>
      </c>
      <c r="T29" s="714" t="s">
        <v>17</v>
      </c>
      <c r="U29" s="715">
        <f t="shared" si="13"/>
        <v>100</v>
      </c>
      <c r="V29" s="714" t="s">
        <v>17</v>
      </c>
      <c r="W29" s="715">
        <f t="shared" si="14"/>
        <v>100</v>
      </c>
      <c r="X29" s="1538"/>
      <c r="Y29" s="3311" t="s">
        <v>2386</v>
      </c>
      <c r="Z29" s="1539" t="str">
        <f t="shared" si="15"/>
        <v>建筑类型</v>
      </c>
      <c r="AA29" s="1536">
        <f t="shared" si="3"/>
        <v>1</v>
      </c>
      <c r="AB29" s="1536">
        <f t="shared" si="4"/>
        <v>1</v>
      </c>
      <c r="AC29" s="1536">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1"/>
      <c r="Q30" s="716" t="str">
        <f t="shared" si="11"/>
        <v>项目建筑规模</v>
      </c>
      <c r="R30" s="717" t="s">
        <v>17</v>
      </c>
      <c r="S30" s="718" t="e">
        <f t="shared" si="12"/>
        <v>#N/A</v>
      </c>
      <c r="T30" s="717" t="s">
        <v>17</v>
      </c>
      <c r="U30" s="718" t="e">
        <f t="shared" si="13"/>
        <v>#N/A</v>
      </c>
      <c r="V30" s="717" t="s">
        <v>17</v>
      </c>
      <c r="W30" s="718" t="e">
        <f t="shared" si="14"/>
        <v>#N/A</v>
      </c>
      <c r="X30" s="719"/>
      <c r="Y30" s="3311"/>
      <c r="Z30" s="720" t="str">
        <f t="shared" si="15"/>
        <v>项目建筑规模</v>
      </c>
      <c r="AA30" s="1536" t="e">
        <f t="shared" si="3"/>
        <v>#N/A</v>
      </c>
      <c r="AB30" s="1536" t="e">
        <f t="shared" si="4"/>
        <v>#N/A</v>
      </c>
      <c r="AC30" s="1536"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1"/>
      <c r="Q31" s="1535" t="str">
        <f t="shared" si="11"/>
        <v>建筑结构</v>
      </c>
      <c r="R31" s="714" t="s">
        <v>17</v>
      </c>
      <c r="S31" s="715">
        <f t="shared" si="12"/>
        <v>100</v>
      </c>
      <c r="T31" s="714" t="s">
        <v>17</v>
      </c>
      <c r="U31" s="715">
        <f t="shared" si="13"/>
        <v>100</v>
      </c>
      <c r="V31" s="714" t="s">
        <v>17</v>
      </c>
      <c r="W31" s="715">
        <f t="shared" si="14"/>
        <v>100</v>
      </c>
      <c r="X31" s="1538"/>
      <c r="Y31" s="3311"/>
      <c r="Z31" s="1539" t="str">
        <f t="shared" si="15"/>
        <v>建筑结构</v>
      </c>
      <c r="AA31" s="1536">
        <f t="shared" si="3"/>
        <v>1</v>
      </c>
      <c r="AB31" s="1536">
        <f t="shared" si="4"/>
        <v>1</v>
      </c>
      <c r="AC31" s="1536">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1"/>
      <c r="Q32" s="1535" t="str">
        <f t="shared" si="11"/>
        <v>公共部分装修</v>
      </c>
      <c r="R32" s="714" t="s">
        <v>17</v>
      </c>
      <c r="S32" s="715">
        <f t="shared" si="12"/>
        <v>100</v>
      </c>
      <c r="T32" s="714" t="s">
        <v>17</v>
      </c>
      <c r="U32" s="715">
        <f t="shared" si="13"/>
        <v>100</v>
      </c>
      <c r="V32" s="714" t="s">
        <v>17</v>
      </c>
      <c r="W32" s="715">
        <f t="shared" si="14"/>
        <v>100</v>
      </c>
      <c r="X32" s="1538"/>
      <c r="Y32" s="3311"/>
      <c r="Z32" s="1539" t="str">
        <f t="shared" si="15"/>
        <v>公共部分装修</v>
      </c>
      <c r="AA32" s="1536">
        <f t="shared" si="3"/>
        <v>1</v>
      </c>
      <c r="AB32" s="1536">
        <f t="shared" si="4"/>
        <v>1</v>
      </c>
      <c r="AC32" s="1536">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1"/>
      <c r="Q33" s="1535" t="str">
        <f t="shared" si="11"/>
        <v>成新度</v>
      </c>
      <c r="R33" s="714" t="s">
        <v>17</v>
      </c>
      <c r="S33" s="715" t="e">
        <f t="shared" si="12"/>
        <v>#N/A</v>
      </c>
      <c r="T33" s="714" t="s">
        <v>17</v>
      </c>
      <c r="U33" s="715" t="e">
        <f t="shared" si="13"/>
        <v>#N/A</v>
      </c>
      <c r="V33" s="714" t="s">
        <v>17</v>
      </c>
      <c r="W33" s="715" t="e">
        <f t="shared" si="14"/>
        <v>#N/A</v>
      </c>
      <c r="X33" s="1538"/>
      <c r="Y33" s="3311"/>
      <c r="Z33" s="1539" t="str">
        <f t="shared" si="15"/>
        <v>成新度</v>
      </c>
      <c r="AA33" s="1536" t="e">
        <f t="shared" si="3"/>
        <v>#N/A</v>
      </c>
      <c r="AB33" s="1536" t="e">
        <f t="shared" si="4"/>
        <v>#N/A</v>
      </c>
      <c r="AC33" s="1536"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1"/>
      <c r="Q34" s="1526" t="str">
        <f t="shared" si="11"/>
        <v>物业管理</v>
      </c>
      <c r="R34" s="710" t="s">
        <v>17</v>
      </c>
      <c r="S34" s="711">
        <f t="shared" si="12"/>
        <v>100</v>
      </c>
      <c r="T34" s="710" t="s">
        <v>17</v>
      </c>
      <c r="U34" s="711">
        <f t="shared" si="13"/>
        <v>100</v>
      </c>
      <c r="V34" s="710" t="s">
        <v>17</v>
      </c>
      <c r="W34" s="711">
        <f t="shared" si="14"/>
        <v>100</v>
      </c>
      <c r="X34" s="712"/>
      <c r="Y34" s="3311"/>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1" t="s">
        <v>2386</v>
      </c>
      <c r="Q35" s="1535" t="str">
        <f t="shared" si="11"/>
        <v>市政基础设施</v>
      </c>
      <c r="R35" s="714" t="s">
        <v>17</v>
      </c>
      <c r="S35" s="715">
        <f t="shared" si="12"/>
        <v>100</v>
      </c>
      <c r="T35" s="714" t="s">
        <v>17</v>
      </c>
      <c r="U35" s="715">
        <f t="shared" si="13"/>
        <v>100</v>
      </c>
      <c r="V35" s="714" t="s">
        <v>17</v>
      </c>
      <c r="W35" s="715">
        <f t="shared" si="14"/>
        <v>100</v>
      </c>
      <c r="X35" s="1538"/>
      <c r="Y35" s="3311" t="s">
        <v>2386</v>
      </c>
      <c r="Z35" s="1539" t="str">
        <f t="shared" si="15"/>
        <v>市政基础设施</v>
      </c>
      <c r="AA35" s="1536">
        <f t="shared" si="3"/>
        <v>1</v>
      </c>
      <c r="AB35" s="1536">
        <f t="shared" si="4"/>
        <v>1</v>
      </c>
      <c r="AC35" s="1536">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1"/>
      <c r="Q36" s="1535" t="str">
        <f t="shared" si="11"/>
        <v>内部装修</v>
      </c>
      <c r="R36" s="714" t="s">
        <v>17</v>
      </c>
      <c r="S36" s="715">
        <f t="shared" si="12"/>
        <v>100</v>
      </c>
      <c r="T36" s="714" t="s">
        <v>17</v>
      </c>
      <c r="U36" s="715">
        <f t="shared" si="13"/>
        <v>100</v>
      </c>
      <c r="V36" s="714" t="s">
        <v>17</v>
      </c>
      <c r="W36" s="715">
        <f t="shared" si="14"/>
        <v>100</v>
      </c>
      <c r="X36" s="1538"/>
      <c r="Y36" s="3311"/>
      <c r="Z36" s="1539" t="str">
        <f t="shared" si="15"/>
        <v>内部装修</v>
      </c>
      <c r="AA36" s="1536">
        <f t="shared" si="3"/>
        <v>1</v>
      </c>
      <c r="AB36" s="1536">
        <f t="shared" si="4"/>
        <v>1</v>
      </c>
      <c r="AC36" s="1536">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1"/>
      <c r="Q37" s="1535" t="str">
        <f t="shared" si="11"/>
        <v>内部装修状况</v>
      </c>
      <c r="R37" s="714" t="s">
        <v>17</v>
      </c>
      <c r="S37" s="715">
        <f t="shared" si="12"/>
        <v>100</v>
      </c>
      <c r="T37" s="714" t="s">
        <v>17</v>
      </c>
      <c r="U37" s="715">
        <f t="shared" si="13"/>
        <v>100</v>
      </c>
      <c r="V37" s="714" t="s">
        <v>17</v>
      </c>
      <c r="W37" s="715">
        <f t="shared" si="14"/>
        <v>100</v>
      </c>
      <c r="X37" s="1538"/>
      <c r="Y37" s="3311"/>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1"/>
      <c r="Q38" s="716">
        <f t="shared" si="11"/>
        <v>111</v>
      </c>
      <c r="R38" s="717" t="s">
        <v>17</v>
      </c>
      <c r="S38" s="718">
        <f t="shared" si="12"/>
        <v>100</v>
      </c>
      <c r="T38" s="717" t="s">
        <v>17</v>
      </c>
      <c r="U38" s="718">
        <f t="shared" si="13"/>
        <v>100</v>
      </c>
      <c r="V38" s="717" t="s">
        <v>17</v>
      </c>
      <c r="W38" s="718">
        <f t="shared" si="14"/>
        <v>100</v>
      </c>
      <c r="X38" s="719"/>
      <c r="Y38" s="3311"/>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1"/>
      <c r="Q39" s="1535">
        <f t="shared" si="11"/>
        <v>111</v>
      </c>
      <c r="R39" s="714" t="s">
        <v>17</v>
      </c>
      <c r="S39" s="715">
        <f t="shared" si="12"/>
        <v>100</v>
      </c>
      <c r="T39" s="714" t="s">
        <v>17</v>
      </c>
      <c r="U39" s="715">
        <f t="shared" si="13"/>
        <v>100</v>
      </c>
      <c r="V39" s="714" t="s">
        <v>17</v>
      </c>
      <c r="W39" s="715">
        <f t="shared" si="14"/>
        <v>100</v>
      </c>
      <c r="X39" s="1538"/>
      <c r="Y39" s="3311"/>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75"/>
      <c r="Q40" s="1535">
        <f t="shared" si="11"/>
        <v>111</v>
      </c>
      <c r="R40" s="714" t="s">
        <v>17</v>
      </c>
      <c r="S40" s="715">
        <f t="shared" si="12"/>
        <v>100</v>
      </c>
      <c r="T40" s="714" t="s">
        <v>17</v>
      </c>
      <c r="U40" s="715">
        <f t="shared" si="13"/>
        <v>100</v>
      </c>
      <c r="V40" s="714" t="s">
        <v>17</v>
      </c>
      <c r="W40" s="715">
        <f t="shared" si="14"/>
        <v>100</v>
      </c>
      <c r="X40" s="1538"/>
      <c r="Y40" s="3375"/>
      <c r="Z40" s="1539">
        <f t="shared" si="15"/>
        <v>111</v>
      </c>
      <c r="AA40" s="1536">
        <f t="shared" si="3"/>
        <v>1</v>
      </c>
      <c r="AB40" s="1536">
        <f t="shared" si="4"/>
        <v>1</v>
      </c>
      <c r="AC40" s="1536">
        <f t="shared" si="5"/>
        <v>1</v>
      </c>
    </row>
    <row r="41" spans="1:29" ht="15">
      <c r="A41" s="438" t="s">
        <v>2398</v>
      </c>
      <c r="B41" s="439"/>
      <c r="C41" s="1315" t="s">
        <v>1</v>
      </c>
      <c r="D41" s="1316"/>
      <c r="E41" s="1317"/>
      <c r="F41" s="1318"/>
      <c r="G41" s="1319"/>
      <c r="H41" s="1320"/>
      <c r="I41" s="1317"/>
      <c r="J41" s="1320"/>
      <c r="K41" s="723"/>
      <c r="L41" s="1057"/>
      <c r="M41" s="1058"/>
      <c r="N41" s="1045"/>
      <c r="O41" s="1058"/>
      <c r="P41" s="3306" t="str">
        <f>A41</f>
        <v>成交单价（元/平方米）</v>
      </c>
      <c r="Q41" s="3306"/>
      <c r="R41" s="3371">
        <f>E41</f>
        <v>0</v>
      </c>
      <c r="S41" s="3371"/>
      <c r="T41" s="3371">
        <f>G41</f>
        <v>0</v>
      </c>
      <c r="U41" s="3371"/>
      <c r="V41" s="3371">
        <f>I41</f>
        <v>0</v>
      </c>
      <c r="W41" s="3371"/>
      <c r="X41" s="699"/>
      <c r="Y41" s="721"/>
      <c r="Z41" s="699"/>
      <c r="AA41" s="699"/>
      <c r="AB41" s="699"/>
      <c r="AC41" s="699"/>
    </row>
    <row r="42" spans="1:29" ht="15.75" thickBot="1">
      <c r="A42" s="445" t="s">
        <v>2490</v>
      </c>
      <c r="B42" s="446"/>
      <c r="C42" s="1321" t="e">
        <f>R43</f>
        <v>#DIV/0!</v>
      </c>
      <c r="D42" s="2537" t="s">
        <v>2880</v>
      </c>
      <c r="E42" s="1322" t="e">
        <f>R42</f>
        <v>#DIV/0!</v>
      </c>
      <c r="F42" s="2538"/>
      <c r="G42" s="1321" t="e">
        <f>T42</f>
        <v>#DIV/0!</v>
      </c>
      <c r="H42" s="2538"/>
      <c r="I42" s="1322" t="e">
        <f>V42</f>
        <v>#DIV/0!</v>
      </c>
      <c r="J42" s="2538"/>
      <c r="K42" s="2540">
        <f>F42+H42+J42</f>
        <v>0</v>
      </c>
      <c r="L42" s="1057"/>
      <c r="M42" s="1058"/>
      <c r="N42" s="1045"/>
      <c r="O42" s="1058"/>
      <c r="P42" s="3306" t="str">
        <f>A42</f>
        <v>比较价值（元/平方米）</v>
      </c>
      <c r="Q42" s="3306"/>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699"/>
      <c r="Y42" s="699"/>
      <c r="Z42" s="699"/>
      <c r="AA42" s="699"/>
      <c r="AB42" s="699"/>
      <c r="AC42" s="699"/>
    </row>
    <row r="43" spans="1:29" ht="15.75" thickBot="1">
      <c r="A43" s="449" t="s">
        <v>2491</v>
      </c>
      <c r="B43" s="450"/>
      <c r="C43" s="1324" t="e">
        <f>R43</f>
        <v>#DIV/0!</v>
      </c>
      <c r="D43" s="1324"/>
      <c r="E43" s="1324"/>
      <c r="F43" s="1324"/>
      <c r="G43" s="1324"/>
      <c r="H43" s="1324"/>
      <c r="I43" s="1324"/>
      <c r="J43" s="1324"/>
      <c r="K43" s="724"/>
      <c r="L43" s="1057"/>
      <c r="M43" s="1058"/>
      <c r="N43" s="1058"/>
      <c r="O43" s="1058"/>
      <c r="P43" s="3300" t="str">
        <f>A43</f>
        <v>估价对象XX用房的比较价值（楼面单价，元/平方米）</v>
      </c>
      <c r="Q43" s="3301"/>
      <c r="R43" s="3370" t="e">
        <f>IF(F1="售价",ROUND(IF(D42="简单平均",AVERAGE(R42:V42),R42*F42+T42*H42+V42*J42),0),ROUND(IF(D42="简单平均",AVERAGE(R42:V42),R42*F42+T42*H42+V42*J42),1))</f>
        <v>#DIV/0!</v>
      </c>
      <c r="S43" s="3370"/>
      <c r="T43" s="3370"/>
      <c r="U43" s="3370"/>
      <c r="V43" s="3370"/>
      <c r="W43" s="3370"/>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2021-12</v>
      </c>
      <c r="D52" s="1346">
        <f>EDATE(C52,-1)</f>
        <v>44501</v>
      </c>
      <c r="E52" s="1346">
        <f t="shared" ref="E52:O52" si="16">EDATE(D52,-1)</f>
        <v>44470</v>
      </c>
      <c r="F52" s="1346">
        <f t="shared" si="16"/>
        <v>44440</v>
      </c>
      <c r="G52" s="1346">
        <f t="shared" si="16"/>
        <v>44409</v>
      </c>
      <c r="H52" s="1346">
        <f t="shared" si="16"/>
        <v>44378</v>
      </c>
      <c r="I52" s="1346">
        <f t="shared" si="16"/>
        <v>44348</v>
      </c>
      <c r="J52" s="1346">
        <f t="shared" si="16"/>
        <v>44317</v>
      </c>
      <c r="K52" s="1346">
        <f t="shared" si="16"/>
        <v>44287</v>
      </c>
      <c r="L52" s="1346">
        <f t="shared" si="16"/>
        <v>44256</v>
      </c>
      <c r="M52" s="1346">
        <f t="shared" si="16"/>
        <v>44228</v>
      </c>
      <c r="N52" s="1346">
        <f t="shared" si="16"/>
        <v>44197</v>
      </c>
      <c r="O52" s="1346">
        <f t="shared" si="16"/>
        <v>44166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4" priority="20" stopIfTrue="1" operator="containsText" text="超过">
      <formula>NOT(ISERROR(SEARCH("超过",F46)))</formula>
    </cfRule>
  </conditionalFormatting>
  <conditionalFormatting sqref="H48">
    <cfRule type="containsText" dxfId="93" priority="19" stopIfTrue="1" operator="containsText" text="超过">
      <formula>NOT(ISERROR(SEARCH("超过",H48)))</formula>
    </cfRule>
  </conditionalFormatting>
  <conditionalFormatting sqref="F48">
    <cfRule type="containsText" dxfId="92" priority="18" stopIfTrue="1" operator="containsText" text="超过">
      <formula>NOT(ISERROR(SEARCH("超过",F48)))</formula>
    </cfRule>
  </conditionalFormatting>
  <conditionalFormatting sqref="F47 H47">
    <cfRule type="containsText" dxfId="91" priority="17" stopIfTrue="1" operator="containsText" text="超过">
      <formula>NOT(ISERROR(SEARCH("超过",F47)))</formula>
    </cfRule>
  </conditionalFormatting>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G48">
    <cfRule type="expression" dxfId="87" priority="13" stopIfTrue="1">
      <formula>$H$48="超过30%"</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J46">
    <cfRule type="containsText" dxfId="84" priority="10" stopIfTrue="1" operator="containsText" text="超过">
      <formula>NOT(ISERROR(SEARCH("超过",J46)))</formula>
    </cfRule>
  </conditionalFormatting>
  <conditionalFormatting sqref="J48">
    <cfRule type="containsText" dxfId="83" priority="9" stopIfTrue="1" operator="containsText" text="超过">
      <formula>NOT(ISERROR(SEARCH("超过",J48)))</formula>
    </cfRule>
  </conditionalFormatting>
  <conditionalFormatting sqref="J47">
    <cfRule type="containsText" dxfId="82" priority="8" stopIfTrue="1" operator="containsText" text="超过">
      <formula>NOT(ISERROR(SEARCH("超过",J47)))</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F7:F40 H7:H40 J7:J40">
    <cfRule type="cellIs" dxfId="75"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1326"/>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6"/>
      <c r="Q3" s="708"/>
      <c r="R3" s="708"/>
      <c r="S3" s="708"/>
      <c r="T3" s="708"/>
      <c r="U3" s="708"/>
      <c r="V3" s="708"/>
      <c r="W3" s="708"/>
      <c r="X3" s="708"/>
      <c r="Y3" s="708"/>
      <c r="Z3" s="708"/>
      <c r="AA3" s="708"/>
      <c r="AB3" s="725"/>
      <c r="AC3" s="722"/>
    </row>
    <row r="4" spans="1:29" ht="15">
      <c r="A4" s="361" t="s">
        <v>2466</v>
      </c>
      <c r="B4" s="362"/>
      <c r="C4" s="3303" t="s">
        <v>2467</v>
      </c>
      <c r="D4" s="3316"/>
      <c r="E4" s="3317" t="s">
        <v>2468</v>
      </c>
      <c r="F4" s="3318"/>
      <c r="G4" s="3303" t="s">
        <v>2469</v>
      </c>
      <c r="H4" s="3316"/>
      <c r="I4" s="3303" t="s">
        <v>2470</v>
      </c>
      <c r="J4" s="3316"/>
      <c r="K4" s="567" t="s">
        <v>2471</v>
      </c>
      <c r="L4" s="2943"/>
      <c r="M4" s="2944"/>
      <c r="N4" s="2944"/>
      <c r="O4" s="2944"/>
      <c r="P4" s="3319" t="s">
        <v>2472</v>
      </c>
      <c r="Q4" s="3320"/>
      <c r="R4" s="3325" t="s">
        <v>2468</v>
      </c>
      <c r="S4" s="3326"/>
      <c r="T4" s="3325" t="s">
        <v>2469</v>
      </c>
      <c r="U4" s="3326"/>
      <c r="V4" s="3312" t="s">
        <v>2470</v>
      </c>
      <c r="W4" s="3312"/>
      <c r="X4" s="1538"/>
      <c r="Y4" s="3325" t="s">
        <v>2472</v>
      </c>
      <c r="Z4" s="3326"/>
      <c r="AA4" s="3313" t="s">
        <v>2468</v>
      </c>
      <c r="AB4" s="3314" t="s">
        <v>2469</v>
      </c>
      <c r="AC4" s="3313" t="s">
        <v>2470</v>
      </c>
    </row>
    <row r="5" spans="1:29" ht="15">
      <c r="A5" s="364"/>
      <c r="B5" s="365"/>
      <c r="C5" s="3333" t="s">
        <v>2363</v>
      </c>
      <c r="D5" s="3334"/>
      <c r="E5" s="3340" t="s">
        <v>2364</v>
      </c>
      <c r="F5" s="3341"/>
      <c r="G5" s="3333" t="s">
        <v>2365</v>
      </c>
      <c r="H5" s="3334"/>
      <c r="I5" s="3333" t="s">
        <v>2366</v>
      </c>
      <c r="J5" s="3334"/>
      <c r="K5" s="567"/>
      <c r="L5" s="2943"/>
      <c r="M5" s="2944"/>
      <c r="N5" s="2944"/>
      <c r="O5" s="2944"/>
      <c r="P5" s="3321"/>
      <c r="Q5" s="3322"/>
      <c r="R5" s="3327"/>
      <c r="S5" s="3328"/>
      <c r="T5" s="3327"/>
      <c r="U5" s="3328"/>
      <c r="V5" s="3312"/>
      <c r="W5" s="3312"/>
      <c r="X5" s="1538"/>
      <c r="Y5" s="3327"/>
      <c r="Z5" s="3328"/>
      <c r="AA5" s="3314"/>
      <c r="AB5" s="3314"/>
      <c r="AC5" s="3314"/>
    </row>
    <row r="6" spans="1:29" ht="15.75" thickBot="1">
      <c r="A6" s="366"/>
      <c r="B6" s="367"/>
      <c r="C6" s="3331" t="s">
        <v>2367</v>
      </c>
      <c r="D6" s="3332"/>
      <c r="E6" s="3338" t="s">
        <v>2367</v>
      </c>
      <c r="F6" s="3339"/>
      <c r="G6" s="3331" t="s">
        <v>2367</v>
      </c>
      <c r="H6" s="3332"/>
      <c r="I6" s="3331" t="s">
        <v>2367</v>
      </c>
      <c r="J6" s="3332"/>
      <c r="K6" s="567" t="s">
        <v>2368</v>
      </c>
      <c r="L6" s="2943"/>
      <c r="M6" s="2944"/>
      <c r="N6" s="2944"/>
      <c r="O6" s="2944"/>
      <c r="P6" s="3323"/>
      <c r="Q6" s="3324"/>
      <c r="R6" s="3327"/>
      <c r="S6" s="3328"/>
      <c r="T6" s="3329"/>
      <c r="U6" s="3330"/>
      <c r="V6" s="3312"/>
      <c r="W6" s="3312"/>
      <c r="X6" s="1538"/>
      <c r="Y6" s="3329"/>
      <c r="Z6" s="3330"/>
      <c r="AA6" s="3315"/>
      <c r="AB6" s="3315"/>
      <c r="AC6" s="3315"/>
    </row>
    <row r="7" spans="1:29" s="113" customFormat="1" ht="15.75" thickBot="1">
      <c r="A7" s="368" t="s">
        <v>2369</v>
      </c>
      <c r="B7" s="369"/>
      <c r="C7" s="370">
        <f>'数据-取费表'!B2</f>
        <v>44555</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35" t="s">
        <v>2370</v>
      </c>
      <c r="Q7" s="3337"/>
      <c r="R7" s="710" t="s">
        <v>17</v>
      </c>
      <c r="S7" s="711">
        <f t="shared" ref="S7:S14" si="0">F7</f>
        <v>0</v>
      </c>
      <c r="T7" s="710" t="s">
        <v>17</v>
      </c>
      <c r="U7" s="711">
        <f t="shared" ref="U7:U14" si="1">H7</f>
        <v>0</v>
      </c>
      <c r="V7" s="710" t="s">
        <v>17</v>
      </c>
      <c r="W7" s="711">
        <f t="shared" ref="W7:W14" si="2">J7</f>
        <v>0</v>
      </c>
      <c r="X7" s="712"/>
      <c r="Y7" s="3335" t="s">
        <v>2370</v>
      </c>
      <c r="Z7" s="3336"/>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35" t="s">
        <v>2373</v>
      </c>
      <c r="Q8" s="3336"/>
      <c r="R8" s="710" t="s">
        <v>17</v>
      </c>
      <c r="S8" s="711">
        <f t="shared" si="0"/>
        <v>0</v>
      </c>
      <c r="T8" s="710" t="s">
        <v>17</v>
      </c>
      <c r="U8" s="711">
        <f t="shared" si="1"/>
        <v>0</v>
      </c>
      <c r="V8" s="710" t="s">
        <v>17</v>
      </c>
      <c r="W8" s="711">
        <f t="shared" si="2"/>
        <v>0</v>
      </c>
      <c r="X8" s="712"/>
      <c r="Y8" s="3335" t="s">
        <v>2373</v>
      </c>
      <c r="Z8" s="3336"/>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06" t="s">
        <v>2376</v>
      </c>
      <c r="Q9" s="1526" t="str">
        <f t="shared" ref="Q9:Q14" si="6">B9</f>
        <v>用途</v>
      </c>
      <c r="R9" s="710" t="s">
        <v>17</v>
      </c>
      <c r="S9" s="711">
        <f t="shared" si="0"/>
        <v>100</v>
      </c>
      <c r="T9" s="710" t="s">
        <v>17</v>
      </c>
      <c r="U9" s="711">
        <f t="shared" si="1"/>
        <v>100</v>
      </c>
      <c r="V9" s="710" t="s">
        <v>17</v>
      </c>
      <c r="W9" s="711">
        <f t="shared" si="2"/>
        <v>100</v>
      </c>
      <c r="X9" s="712"/>
      <c r="Y9" s="3200"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06"/>
      <c r="Q10" s="1526" t="str">
        <f t="shared" si="6"/>
        <v>土地使用年限（年）</v>
      </c>
      <c r="R10" s="710" t="s">
        <v>17</v>
      </c>
      <c r="S10" s="711">
        <f t="shared" si="0"/>
        <v>100</v>
      </c>
      <c r="T10" s="710" t="s">
        <v>17</v>
      </c>
      <c r="U10" s="711">
        <f t="shared" si="1"/>
        <v>100</v>
      </c>
      <c r="V10" s="710" t="s">
        <v>17</v>
      </c>
      <c r="W10" s="711">
        <f t="shared" si="2"/>
        <v>100</v>
      </c>
      <c r="X10" s="712"/>
      <c r="Y10" s="320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06"/>
      <c r="Q11" s="1526">
        <f t="shared" si="6"/>
        <v>111</v>
      </c>
      <c r="R11" s="710" t="s">
        <v>17</v>
      </c>
      <c r="S11" s="711">
        <f t="shared" si="0"/>
        <v>100</v>
      </c>
      <c r="T11" s="710" t="s">
        <v>17</v>
      </c>
      <c r="U11" s="711">
        <f t="shared" si="1"/>
        <v>100</v>
      </c>
      <c r="V11" s="710" t="s">
        <v>17</v>
      </c>
      <c r="W11" s="711">
        <f t="shared" si="2"/>
        <v>100</v>
      </c>
      <c r="X11" s="712"/>
      <c r="Y11" s="320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06"/>
      <c r="Q12" s="1526">
        <f t="shared" si="6"/>
        <v>111</v>
      </c>
      <c r="R12" s="710" t="s">
        <v>17</v>
      </c>
      <c r="S12" s="711">
        <f t="shared" si="0"/>
        <v>100</v>
      </c>
      <c r="T12" s="710" t="s">
        <v>17</v>
      </c>
      <c r="U12" s="711">
        <f t="shared" si="1"/>
        <v>100</v>
      </c>
      <c r="V12" s="710" t="s">
        <v>17</v>
      </c>
      <c r="W12" s="711">
        <f t="shared" si="2"/>
        <v>100</v>
      </c>
      <c r="X12" s="712"/>
      <c r="Y12" s="320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06"/>
      <c r="Q13" s="1526">
        <f t="shared" si="6"/>
        <v>111</v>
      </c>
      <c r="R13" s="710" t="s">
        <v>17</v>
      </c>
      <c r="S13" s="711">
        <f t="shared" si="0"/>
        <v>100</v>
      </c>
      <c r="T13" s="710" t="s">
        <v>17</v>
      </c>
      <c r="U13" s="711">
        <f t="shared" si="1"/>
        <v>100</v>
      </c>
      <c r="V13" s="710" t="s">
        <v>17</v>
      </c>
      <c r="W13" s="711">
        <f t="shared" si="2"/>
        <v>100</v>
      </c>
      <c r="X13" s="712"/>
      <c r="Y13" s="3200"/>
      <c r="Z13" s="55">
        <f t="shared" si="7"/>
        <v>111</v>
      </c>
      <c r="AA13" s="713">
        <f t="shared" si="3"/>
        <v>1</v>
      </c>
      <c r="AB13" s="713">
        <f t="shared" si="4"/>
        <v>1</v>
      </c>
      <c r="AC13" s="713">
        <f t="shared" si="5"/>
        <v>1</v>
      </c>
    </row>
    <row r="14" spans="1:29" ht="85.5">
      <c r="A14" s="361" t="s">
        <v>2380</v>
      </c>
      <c r="B14" s="585" t="s">
        <v>2530</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08" t="s">
        <v>2381</v>
      </c>
      <c r="Q14" s="1535" t="str">
        <f t="shared" si="6"/>
        <v>交通便捷度</v>
      </c>
      <c r="R14" s="714" t="s">
        <v>17</v>
      </c>
      <c r="S14" s="715">
        <f t="shared" si="0"/>
        <v>100</v>
      </c>
      <c r="T14" s="714" t="s">
        <v>17</v>
      </c>
      <c r="U14" s="715">
        <f t="shared" si="1"/>
        <v>100</v>
      </c>
      <c r="V14" s="714" t="s">
        <v>17</v>
      </c>
      <c r="W14" s="715">
        <f t="shared" si="2"/>
        <v>100</v>
      </c>
      <c r="X14" s="1538"/>
      <c r="Y14" s="3308" t="s">
        <v>2381</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50"/>
      <c r="M15" s="2944"/>
      <c r="N15" s="2944"/>
      <c r="O15" s="2944"/>
      <c r="P15" s="3309"/>
      <c r="Q15" s="1535"/>
      <c r="R15" s="714"/>
      <c r="S15" s="715"/>
      <c r="T15" s="714"/>
      <c r="U15" s="715"/>
      <c r="V15" s="714"/>
      <c r="W15" s="715"/>
      <c r="X15" s="1538"/>
      <c r="Y15" s="3309"/>
      <c r="Z15" s="1539"/>
      <c r="AA15" s="1536">
        <v>1</v>
      </c>
      <c r="AB15" s="1536">
        <v>1</v>
      </c>
      <c r="AC15" s="1536">
        <v>1</v>
      </c>
    </row>
    <row r="16" spans="1:29" ht="42.75">
      <c r="A16" s="364"/>
      <c r="B16" s="587" t="s">
        <v>2509</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09"/>
      <c r="Q16" s="1535" t="str">
        <f>B16</f>
        <v>公共配套设施</v>
      </c>
      <c r="R16" s="714" t="s">
        <v>17</v>
      </c>
      <c r="S16" s="715">
        <f>F16</f>
        <v>100</v>
      </c>
      <c r="T16" s="714" t="s">
        <v>17</v>
      </c>
      <c r="U16" s="715">
        <f>H16</f>
        <v>100</v>
      </c>
      <c r="V16" s="714" t="s">
        <v>17</v>
      </c>
      <c r="W16" s="715">
        <f>J16</f>
        <v>100</v>
      </c>
      <c r="X16" s="1538"/>
      <c r="Y16" s="3309"/>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50"/>
      <c r="M17" s="2944"/>
      <c r="N17" s="2944"/>
      <c r="O17" s="2944"/>
      <c r="P17" s="3309"/>
      <c r="Q17" s="1535"/>
      <c r="R17" s="714"/>
      <c r="S17" s="715"/>
      <c r="T17" s="714"/>
      <c r="U17" s="715"/>
      <c r="V17" s="714"/>
      <c r="W17" s="715"/>
      <c r="X17" s="1538"/>
      <c r="Y17" s="3309"/>
      <c r="Z17" s="1539"/>
      <c r="AA17" s="1536">
        <v>1</v>
      </c>
      <c r="AB17" s="1536">
        <v>1</v>
      </c>
      <c r="AC17" s="1536">
        <v>1</v>
      </c>
    </row>
    <row r="18" spans="1:29" ht="28.5">
      <c r="A18" s="364"/>
      <c r="B18" s="589" t="s">
        <v>2510</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09"/>
      <c r="Q18" s="1535" t="str">
        <f>B18</f>
        <v>基础设施水平</v>
      </c>
      <c r="R18" s="714" t="s">
        <v>17</v>
      </c>
      <c r="S18" s="715">
        <f>F18</f>
        <v>100</v>
      </c>
      <c r="T18" s="714" t="s">
        <v>17</v>
      </c>
      <c r="U18" s="715">
        <f>H18</f>
        <v>100</v>
      </c>
      <c r="V18" s="714" t="s">
        <v>17</v>
      </c>
      <c r="W18" s="715">
        <f>J18</f>
        <v>100</v>
      </c>
      <c r="X18" s="1538"/>
      <c r="Y18" s="3309"/>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2"/>
      <c r="L19" s="2950"/>
      <c r="M19" s="2944"/>
      <c r="N19" s="2944"/>
      <c r="O19" s="2944"/>
      <c r="P19" s="3309"/>
      <c r="Q19" s="1535"/>
      <c r="R19" s="714"/>
      <c r="S19" s="715"/>
      <c r="T19" s="714"/>
      <c r="U19" s="715"/>
      <c r="V19" s="714"/>
      <c r="W19" s="715"/>
      <c r="X19" s="1538"/>
      <c r="Y19" s="3309"/>
      <c r="Z19" s="1539"/>
      <c r="AA19" s="1536">
        <v>1</v>
      </c>
      <c r="AB19" s="1536">
        <v>1</v>
      </c>
      <c r="AC19" s="1536">
        <v>1</v>
      </c>
    </row>
    <row r="20" spans="1:29" ht="57">
      <c r="A20" s="364"/>
      <c r="B20" s="587" t="s">
        <v>2531</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09"/>
      <c r="Q20" s="1535" t="str">
        <f>B20</f>
        <v>自然及人文环境</v>
      </c>
      <c r="R20" s="714" t="s">
        <v>17</v>
      </c>
      <c r="S20" s="715">
        <f>F20</f>
        <v>100</v>
      </c>
      <c r="T20" s="714" t="s">
        <v>17</v>
      </c>
      <c r="U20" s="715">
        <f>H20</f>
        <v>100</v>
      </c>
      <c r="V20" s="714" t="s">
        <v>17</v>
      </c>
      <c r="W20" s="715">
        <f>J20</f>
        <v>100</v>
      </c>
      <c r="X20" s="1538"/>
      <c r="Y20" s="3309"/>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50"/>
      <c r="M21" s="2944"/>
      <c r="N21" s="2944"/>
      <c r="O21" s="2944"/>
      <c r="P21" s="3309"/>
      <c r="Q21" s="1535"/>
      <c r="R21" s="714"/>
      <c r="S21" s="715"/>
      <c r="T21" s="714"/>
      <c r="U21" s="715"/>
      <c r="V21" s="714"/>
      <c r="W21" s="715"/>
      <c r="X21" s="1538"/>
      <c r="Y21" s="3309"/>
      <c r="Z21" s="1539"/>
      <c r="AA21" s="1536">
        <v>1</v>
      </c>
      <c r="AB21" s="1536">
        <v>1</v>
      </c>
      <c r="AC21" s="1536">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09"/>
      <c r="Q22" s="1535" t="str">
        <f>B22</f>
        <v>楼层</v>
      </c>
      <c r="R22" s="714" t="s">
        <v>17</v>
      </c>
      <c r="S22" s="715">
        <f>F22</f>
        <v>100</v>
      </c>
      <c r="T22" s="714" t="s">
        <v>17</v>
      </c>
      <c r="U22" s="715">
        <f>H22</f>
        <v>100</v>
      </c>
      <c r="V22" s="714" t="s">
        <v>17</v>
      </c>
      <c r="W22" s="715">
        <f>J22</f>
        <v>100</v>
      </c>
      <c r="X22" s="1538"/>
      <c r="Y22" s="3309"/>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09"/>
      <c r="Q23" s="1535">
        <f>B23</f>
        <v>111</v>
      </c>
      <c r="R23" s="714" t="s">
        <v>17</v>
      </c>
      <c r="S23" s="715">
        <f>F23</f>
        <v>100</v>
      </c>
      <c r="T23" s="714" t="s">
        <v>17</v>
      </c>
      <c r="U23" s="715">
        <f>H23</f>
        <v>100</v>
      </c>
      <c r="V23" s="714" t="s">
        <v>17</v>
      </c>
      <c r="W23" s="715">
        <f>J23</f>
        <v>100</v>
      </c>
      <c r="X23" s="1538"/>
      <c r="Y23" s="3309"/>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09"/>
      <c r="Q24" s="1535">
        <f t="shared" ref="Q24:Q36" si="11">B24</f>
        <v>111</v>
      </c>
      <c r="R24" s="714" t="s">
        <v>17</v>
      </c>
      <c r="S24" s="715">
        <f>F24</f>
        <v>100</v>
      </c>
      <c r="T24" s="714" t="s">
        <v>17</v>
      </c>
      <c r="U24" s="715">
        <f>H24</f>
        <v>100</v>
      </c>
      <c r="V24" s="714" t="s">
        <v>17</v>
      </c>
      <c r="W24" s="715">
        <f>J24</f>
        <v>100</v>
      </c>
      <c r="X24" s="1538"/>
      <c r="Y24" s="3309"/>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09"/>
      <c r="Q25" s="1526">
        <f t="shared" si="11"/>
        <v>111</v>
      </c>
      <c r="R25" s="710" t="s">
        <v>17</v>
      </c>
      <c r="S25" s="711">
        <f>F25</f>
        <v>100</v>
      </c>
      <c r="T25" s="710" t="s">
        <v>17</v>
      </c>
      <c r="U25" s="711">
        <f>H25</f>
        <v>100</v>
      </c>
      <c r="V25" s="710" t="s">
        <v>17</v>
      </c>
      <c r="W25" s="711">
        <f>J25</f>
        <v>100</v>
      </c>
      <c r="X25" s="712"/>
      <c r="Y25" s="3309"/>
      <c r="Z25" s="55">
        <f>Q25</f>
        <v>111</v>
      </c>
      <c r="AA25" s="1536">
        <f>D25/F25</f>
        <v>1</v>
      </c>
      <c r="AB25" s="1536">
        <f>D25/H25</f>
        <v>1</v>
      </c>
      <c r="AC25" s="1536">
        <f>D25/J25</f>
        <v>1</v>
      </c>
    </row>
    <row r="26" spans="1:29" ht="28.5">
      <c r="A26" s="608" t="s">
        <v>2384</v>
      </c>
      <c r="B26" s="66" t="s">
        <v>2533</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10" t="s">
        <v>2386</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11" t="s">
        <v>2386</v>
      </c>
      <c r="Z26" s="1539" t="str">
        <f t="shared" ref="Z26:Z36" si="15">Q26</f>
        <v>配套类型</v>
      </c>
      <c r="AA26" s="1536">
        <f t="shared" si="3"/>
        <v>1</v>
      </c>
      <c r="AB26" s="1536">
        <f t="shared" si="4"/>
        <v>1</v>
      </c>
      <c r="AC26" s="1536">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11"/>
      <c r="Q27" s="716" t="str">
        <f t="shared" si="11"/>
        <v>项目停车位配比</v>
      </c>
      <c r="R27" s="717" t="s">
        <v>17</v>
      </c>
      <c r="S27" s="718">
        <f t="shared" si="12"/>
        <v>100</v>
      </c>
      <c r="T27" s="717" t="s">
        <v>17</v>
      </c>
      <c r="U27" s="718">
        <f t="shared" si="13"/>
        <v>100</v>
      </c>
      <c r="V27" s="717" t="s">
        <v>17</v>
      </c>
      <c r="W27" s="718">
        <f t="shared" si="14"/>
        <v>100</v>
      </c>
      <c r="X27" s="719"/>
      <c r="Y27" s="3311"/>
      <c r="Z27" s="720" t="str">
        <f t="shared" si="15"/>
        <v>项目停车位配比</v>
      </c>
      <c r="AA27" s="1536">
        <f t="shared" si="3"/>
        <v>1</v>
      </c>
      <c r="AB27" s="1536">
        <f t="shared" si="4"/>
        <v>1</v>
      </c>
      <c r="AC27" s="1536">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11"/>
      <c r="Q28" s="1535" t="str">
        <f t="shared" si="11"/>
        <v>公共部分装修</v>
      </c>
      <c r="R28" s="714" t="s">
        <v>17</v>
      </c>
      <c r="S28" s="715">
        <f t="shared" si="12"/>
        <v>100</v>
      </c>
      <c r="T28" s="714" t="s">
        <v>17</v>
      </c>
      <c r="U28" s="715">
        <f t="shared" si="13"/>
        <v>100</v>
      </c>
      <c r="V28" s="714" t="s">
        <v>17</v>
      </c>
      <c r="W28" s="715">
        <f t="shared" si="14"/>
        <v>100</v>
      </c>
      <c r="X28" s="1538"/>
      <c r="Y28" s="3311"/>
      <c r="Z28" s="1539" t="str">
        <f t="shared" si="15"/>
        <v>公共部分装修</v>
      </c>
      <c r="AA28" s="1536">
        <f t="shared" si="3"/>
        <v>1</v>
      </c>
      <c r="AB28" s="1536">
        <f t="shared" si="4"/>
        <v>1</v>
      </c>
      <c r="AC28" s="1536">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11"/>
      <c r="Q29" s="1535" t="str">
        <f t="shared" si="11"/>
        <v>成新率</v>
      </c>
      <c r="R29" s="714" t="s">
        <v>17</v>
      </c>
      <c r="S29" s="715" t="e">
        <f t="shared" si="12"/>
        <v>#N/A</v>
      </c>
      <c r="T29" s="714" t="s">
        <v>17</v>
      </c>
      <c r="U29" s="715" t="e">
        <f t="shared" si="13"/>
        <v>#N/A</v>
      </c>
      <c r="V29" s="714" t="s">
        <v>17</v>
      </c>
      <c r="W29" s="715" t="e">
        <f t="shared" si="14"/>
        <v>#N/A</v>
      </c>
      <c r="X29" s="1538"/>
      <c r="Y29" s="3311"/>
      <c r="Z29" s="1539" t="str">
        <f t="shared" si="15"/>
        <v>成新率</v>
      </c>
      <c r="AA29" s="1536" t="e">
        <f t="shared" si="3"/>
        <v>#N/A</v>
      </c>
      <c r="AB29" s="1536" t="e">
        <f t="shared" si="4"/>
        <v>#N/A</v>
      </c>
      <c r="AC29" s="1536"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11"/>
      <c r="Q30" s="1535" t="str">
        <f t="shared" si="11"/>
        <v>物业等级</v>
      </c>
      <c r="R30" s="714" t="s">
        <v>17</v>
      </c>
      <c r="S30" s="715">
        <f t="shared" si="12"/>
        <v>100</v>
      </c>
      <c r="T30" s="714" t="s">
        <v>17</v>
      </c>
      <c r="U30" s="715">
        <f t="shared" si="13"/>
        <v>100</v>
      </c>
      <c r="V30" s="714" t="s">
        <v>17</v>
      </c>
      <c r="W30" s="715">
        <f t="shared" si="14"/>
        <v>100</v>
      </c>
      <c r="X30" s="1538"/>
      <c r="Y30" s="3311"/>
      <c r="Z30" s="1539" t="str">
        <f t="shared" si="15"/>
        <v>物业等级</v>
      </c>
      <c r="AA30" s="1536">
        <f t="shared" si="3"/>
        <v>1</v>
      </c>
      <c r="AB30" s="1536">
        <f t="shared" si="4"/>
        <v>1</v>
      </c>
      <c r="AC30" s="1536">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11"/>
      <c r="Q31" s="1526" t="str">
        <f t="shared" si="11"/>
        <v>停车位面积</v>
      </c>
      <c r="R31" s="710" t="s">
        <v>17</v>
      </c>
      <c r="S31" s="711" t="e">
        <f t="shared" si="12"/>
        <v>#N/A</v>
      </c>
      <c r="T31" s="710" t="s">
        <v>17</v>
      </c>
      <c r="U31" s="711" t="e">
        <f t="shared" si="13"/>
        <v>#N/A</v>
      </c>
      <c r="V31" s="710" t="s">
        <v>17</v>
      </c>
      <c r="W31" s="711" t="e">
        <f t="shared" si="14"/>
        <v>#N/A</v>
      </c>
      <c r="X31" s="712"/>
      <c r="Y31" s="3311"/>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11" t="s">
        <v>2386</v>
      </c>
      <c r="Q32" s="1535" t="str">
        <f t="shared" si="11"/>
        <v>车位类型</v>
      </c>
      <c r="R32" s="714" t="s">
        <v>17</v>
      </c>
      <c r="S32" s="715">
        <f t="shared" si="12"/>
        <v>100</v>
      </c>
      <c r="T32" s="714" t="s">
        <v>17</v>
      </c>
      <c r="U32" s="715">
        <f t="shared" si="13"/>
        <v>100</v>
      </c>
      <c r="V32" s="714" t="s">
        <v>17</v>
      </c>
      <c r="W32" s="715">
        <f t="shared" si="14"/>
        <v>100</v>
      </c>
      <c r="X32" s="1538"/>
      <c r="Y32" s="3311" t="s">
        <v>2386</v>
      </c>
      <c r="Z32" s="1539" t="str">
        <f t="shared" si="15"/>
        <v>车位类型</v>
      </c>
      <c r="AA32" s="1536">
        <f t="shared" si="3"/>
        <v>1</v>
      </c>
      <c r="AB32" s="1536">
        <f t="shared" si="4"/>
        <v>1</v>
      </c>
      <c r="AC32" s="1536">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11"/>
      <c r="Q33" s="1535" t="str">
        <f t="shared" si="11"/>
        <v>是否直接入户</v>
      </c>
      <c r="R33" s="714" t="s">
        <v>17</v>
      </c>
      <c r="S33" s="715">
        <f t="shared" si="12"/>
        <v>100</v>
      </c>
      <c r="T33" s="714" t="s">
        <v>17</v>
      </c>
      <c r="U33" s="715">
        <f t="shared" si="13"/>
        <v>100</v>
      </c>
      <c r="V33" s="714" t="s">
        <v>17</v>
      </c>
      <c r="W33" s="715">
        <f t="shared" si="14"/>
        <v>100</v>
      </c>
      <c r="X33" s="1538"/>
      <c r="Y33" s="3311"/>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11"/>
      <c r="Q34" s="1535">
        <f t="shared" si="11"/>
        <v>111</v>
      </c>
      <c r="R34" s="714" t="s">
        <v>17</v>
      </c>
      <c r="S34" s="715">
        <f t="shared" si="12"/>
        <v>100</v>
      </c>
      <c r="T34" s="714" t="s">
        <v>17</v>
      </c>
      <c r="U34" s="715">
        <f t="shared" si="13"/>
        <v>100</v>
      </c>
      <c r="V34" s="714" t="s">
        <v>17</v>
      </c>
      <c r="W34" s="715">
        <f t="shared" si="14"/>
        <v>100</v>
      </c>
      <c r="X34" s="1538"/>
      <c r="Y34" s="3311"/>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11"/>
      <c r="Q35" s="716">
        <f t="shared" si="11"/>
        <v>111</v>
      </c>
      <c r="R35" s="717" t="s">
        <v>17</v>
      </c>
      <c r="S35" s="718">
        <f t="shared" si="12"/>
        <v>100</v>
      </c>
      <c r="T35" s="717" t="s">
        <v>17</v>
      </c>
      <c r="U35" s="718">
        <f t="shared" si="13"/>
        <v>100</v>
      </c>
      <c r="V35" s="717" t="s">
        <v>17</v>
      </c>
      <c r="W35" s="718">
        <f t="shared" si="14"/>
        <v>100</v>
      </c>
      <c r="X35" s="719"/>
      <c r="Y35" s="3311"/>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11"/>
      <c r="Q36" s="1535">
        <f t="shared" si="11"/>
        <v>111</v>
      </c>
      <c r="R36" s="714" t="s">
        <v>17</v>
      </c>
      <c r="S36" s="715">
        <f t="shared" si="12"/>
        <v>100</v>
      </c>
      <c r="T36" s="714" t="s">
        <v>17</v>
      </c>
      <c r="U36" s="715">
        <f t="shared" si="13"/>
        <v>100</v>
      </c>
      <c r="V36" s="714" t="s">
        <v>17</v>
      </c>
      <c r="W36" s="715">
        <f t="shared" si="14"/>
        <v>100</v>
      </c>
      <c r="X36" s="1538"/>
      <c r="Y36" s="3311"/>
      <c r="Z36" s="1539">
        <f t="shared" si="15"/>
        <v>111</v>
      </c>
      <c r="AA36" s="1536">
        <f t="shared" si="3"/>
        <v>1</v>
      </c>
      <c r="AB36" s="1536">
        <f t="shared" si="4"/>
        <v>1</v>
      </c>
      <c r="AC36" s="1536">
        <f t="shared" si="5"/>
        <v>1</v>
      </c>
    </row>
    <row r="37" spans="1:29" ht="15">
      <c r="A37" s="438" t="s">
        <v>2541</v>
      </c>
      <c r="B37" s="2158" t="s">
        <v>2542</v>
      </c>
      <c r="C37" s="1315" t="s">
        <v>1</v>
      </c>
      <c r="D37" s="1316"/>
      <c r="E37" s="1317"/>
      <c r="F37" s="1318"/>
      <c r="G37" s="1319"/>
      <c r="H37" s="1320"/>
      <c r="I37" s="1317"/>
      <c r="J37" s="1320"/>
      <c r="K37" s="576"/>
      <c r="L37" s="2952"/>
      <c r="M37" s="2953"/>
      <c r="N37" s="2944"/>
      <c r="O37" s="2953"/>
      <c r="P37" s="3306" t="str">
        <f>A37</f>
        <v>成交单价</v>
      </c>
      <c r="Q37" s="3306"/>
      <c r="R37" s="3371">
        <f>E37</f>
        <v>0</v>
      </c>
      <c r="S37" s="3371"/>
      <c r="T37" s="3371">
        <f>G37</f>
        <v>0</v>
      </c>
      <c r="U37" s="3371"/>
      <c r="V37" s="3371">
        <f>I37</f>
        <v>0</v>
      </c>
      <c r="W37" s="3371"/>
      <c r="X37" s="699"/>
      <c r="Y37" s="721"/>
      <c r="Z37" s="699"/>
      <c r="AA37" s="699"/>
      <c r="AB37" s="699"/>
      <c r="AC37" s="699"/>
    </row>
    <row r="38" spans="1:29" ht="15.75" thickBot="1">
      <c r="A38" s="445" t="s">
        <v>2543</v>
      </c>
      <c r="B38" s="446" t="str">
        <f>B37</f>
        <v>元/车位</v>
      </c>
      <c r="C38" s="1321" t="e">
        <f>R39</f>
        <v>#DIV/0!</v>
      </c>
      <c r="D38" s="2537" t="s">
        <v>2880</v>
      </c>
      <c r="E38" s="1322" t="e">
        <f>R38</f>
        <v>#DIV/0!</v>
      </c>
      <c r="F38" s="2538"/>
      <c r="G38" s="1321" t="e">
        <f>T38</f>
        <v>#DIV/0!</v>
      </c>
      <c r="H38" s="2538"/>
      <c r="I38" s="1322" t="e">
        <f>V38</f>
        <v>#DIV/0!</v>
      </c>
      <c r="J38" s="2538"/>
      <c r="K38" s="2540">
        <f>F38+H38+J38</f>
        <v>0</v>
      </c>
      <c r="L38" s="2952"/>
      <c r="M38" s="2953"/>
      <c r="N38" s="2953"/>
      <c r="O38" s="2953"/>
      <c r="P38" s="3306" t="str">
        <f>A38</f>
        <v>比较价值（元/平方米）</v>
      </c>
      <c r="Q38" s="3306"/>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699"/>
      <c r="Y38" s="699"/>
      <c r="Z38" s="699"/>
      <c r="AA38" s="699"/>
      <c r="AB38" s="699"/>
      <c r="AC38" s="699"/>
    </row>
    <row r="39" spans="1:29" ht="15.75" thickBot="1">
      <c r="A39" s="449" t="s">
        <v>2544</v>
      </c>
      <c r="B39" s="450"/>
      <c r="C39" s="1324" t="e">
        <f>R39</f>
        <v>#DIV/0!</v>
      </c>
      <c r="D39" s="1324"/>
      <c r="E39" s="1324"/>
      <c r="F39" s="1324"/>
      <c r="G39" s="1324"/>
      <c r="H39" s="1324"/>
      <c r="I39" s="1324"/>
      <c r="J39" s="1324"/>
      <c r="K39" s="577"/>
      <c r="L39" s="2952"/>
      <c r="M39" s="2953"/>
      <c r="N39" s="2953"/>
      <c r="O39" s="2953"/>
      <c r="P39" s="3300" t="str">
        <f>A39</f>
        <v>估价对象XX用房的比较价值（楼面单价，元/平方米）</v>
      </c>
      <c r="Q39" s="3301"/>
      <c r="R39" s="3393" t="e">
        <f>IF(F1="售价",ROUND(IF(D38="简单平均",AVERAGE(R38:W38),R38*F38+T38*H38+V38*J38),0),ROUND(IF(D38="简单平均",AVERAGE(R38:V38),R38*F38+T38*H38+V38*J38),1))</f>
        <v>#DIV/0!</v>
      </c>
      <c r="S39" s="3393"/>
      <c r="T39" s="3393"/>
      <c r="U39" s="3393"/>
      <c r="V39" s="3393"/>
      <c r="W39" s="3393"/>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7" t="s">
        <v>2548</v>
      </c>
      <c r="B47" s="1058"/>
      <c r="C47" s="1071"/>
      <c r="D47" s="1071"/>
      <c r="E47" s="1071"/>
      <c r="F47" s="1328"/>
      <c r="G47" s="1328"/>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5" t="str">
        <f>YEAR(C7)&amp;"-"&amp;MONTH(C7)</f>
        <v>2021-12</v>
      </c>
      <c r="D48" s="1346">
        <f>EDATE(C48,-1)</f>
        <v>44501</v>
      </c>
      <c r="E48" s="1346">
        <f t="shared" ref="E48:O48" si="16">EDATE(D48,-1)</f>
        <v>44470</v>
      </c>
      <c r="F48" s="1346">
        <f t="shared" si="16"/>
        <v>44440</v>
      </c>
      <c r="G48" s="1346">
        <f t="shared" si="16"/>
        <v>44409</v>
      </c>
      <c r="H48" s="1346">
        <f t="shared" si="16"/>
        <v>44378</v>
      </c>
      <c r="I48" s="1346">
        <f t="shared" si="16"/>
        <v>44348</v>
      </c>
      <c r="J48" s="1346">
        <f t="shared" si="16"/>
        <v>44317</v>
      </c>
      <c r="K48" s="1346">
        <f t="shared" si="16"/>
        <v>44287</v>
      </c>
      <c r="L48" s="1346">
        <f t="shared" si="16"/>
        <v>44256</v>
      </c>
      <c r="M48" s="1346">
        <f t="shared" si="16"/>
        <v>44228</v>
      </c>
      <c r="N48" s="1346">
        <f t="shared" si="16"/>
        <v>44197</v>
      </c>
      <c r="O48" s="1346">
        <f t="shared" si="16"/>
        <v>44166</v>
      </c>
      <c r="P48" s="2987"/>
      <c r="Q48" s="2969"/>
      <c r="R48" s="2969"/>
      <c r="S48" s="2969"/>
      <c r="T48" s="2969"/>
      <c r="U48" s="2969"/>
      <c r="V48" s="2969"/>
      <c r="W48" s="2969"/>
      <c r="X48" s="2969"/>
      <c r="Y48" s="2969"/>
      <c r="Z48" s="2969"/>
      <c r="AA48" s="2969"/>
      <c r="AB48" s="2969"/>
      <c r="AC48" s="2969"/>
    </row>
    <row r="49" spans="1:29" s="113" customFormat="1" ht="15">
      <c r="A49" s="466"/>
      <c r="B49" s="467"/>
      <c r="C49" s="1338">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8" stopIfTrue="1" operator="containsText" text="超过">
      <formula>NOT(ISERROR(SEARCH("超过",F42)))</formula>
    </cfRule>
  </conditionalFormatting>
  <conditionalFormatting sqref="J44">
    <cfRule type="containsText" dxfId="73" priority="17" stopIfTrue="1" operator="containsText" text="超过">
      <formula>NOT(ISERROR(SEARCH("超过",J44)))</formula>
    </cfRule>
  </conditionalFormatting>
  <conditionalFormatting sqref="H44">
    <cfRule type="containsText" dxfId="72" priority="16" stopIfTrue="1" operator="containsText" text="超过">
      <formula>NOT(ISERROR(SEARCH("超过",H44)))</formula>
    </cfRule>
  </conditionalFormatting>
  <conditionalFormatting sqref="F44">
    <cfRule type="containsText" dxfId="71" priority="15" stopIfTrue="1" operator="containsText" text="超过">
      <formula>NOT(ISERROR(SEARCH("超过",F44)))</formula>
    </cfRule>
  </conditionalFormatting>
  <conditionalFormatting sqref="F43 H43 J43">
    <cfRule type="containsText" dxfId="70" priority="14" stopIfTrue="1" operator="containsText" text="超过">
      <formula>NOT(ISERROR(SEARCH("超过",F43)))</formula>
    </cfRule>
  </conditionalFormatting>
  <conditionalFormatting sqref="E42">
    <cfRule type="expression" dxfId="69" priority="13" stopIfTrue="1">
      <formula>$F$42="超过30%"</formula>
    </cfRule>
  </conditionalFormatting>
  <conditionalFormatting sqref="G44">
    <cfRule type="expression" dxfId="68" priority="12" stopIfTrue="1">
      <formula>$H$54+$H$44="超过30%"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03" t="s">
        <v>2467</v>
      </c>
      <c r="D4" s="3316"/>
      <c r="E4" s="3317" t="s">
        <v>2468</v>
      </c>
      <c r="F4" s="3318"/>
      <c r="G4" s="3303" t="s">
        <v>2469</v>
      </c>
      <c r="H4" s="3316"/>
      <c r="I4" s="3303" t="s">
        <v>2470</v>
      </c>
      <c r="J4" s="3316"/>
      <c r="K4" s="567" t="s">
        <v>2471</v>
      </c>
      <c r="L4" s="2943"/>
      <c r="M4" s="2944"/>
      <c r="N4" s="2944"/>
      <c r="O4" s="2944"/>
      <c r="P4" s="3319" t="s">
        <v>2472</v>
      </c>
      <c r="Q4" s="3320"/>
      <c r="R4" s="3325" t="s">
        <v>2468</v>
      </c>
      <c r="S4" s="3326"/>
      <c r="T4" s="3325" t="s">
        <v>2469</v>
      </c>
      <c r="U4" s="3326"/>
      <c r="V4" s="3312" t="s">
        <v>2470</v>
      </c>
      <c r="W4" s="3312"/>
      <c r="X4" s="1538"/>
      <c r="Y4" s="3325" t="s">
        <v>2472</v>
      </c>
      <c r="Z4" s="3326"/>
      <c r="AA4" s="3313" t="s">
        <v>2468</v>
      </c>
      <c r="AB4" s="3314" t="s">
        <v>2469</v>
      </c>
      <c r="AC4" s="3313" t="s">
        <v>2470</v>
      </c>
    </row>
    <row r="5" spans="1:29" ht="15">
      <c r="A5" s="364"/>
      <c r="B5" s="365"/>
      <c r="C5" s="3333" t="s">
        <v>2363</v>
      </c>
      <c r="D5" s="3334"/>
      <c r="E5" s="3340" t="s">
        <v>2364</v>
      </c>
      <c r="F5" s="3341"/>
      <c r="G5" s="3333" t="s">
        <v>2365</v>
      </c>
      <c r="H5" s="3334"/>
      <c r="I5" s="3333" t="s">
        <v>2366</v>
      </c>
      <c r="J5" s="3334"/>
      <c r="K5" s="567"/>
      <c r="L5" s="2943"/>
      <c r="M5" s="2944"/>
      <c r="N5" s="2944"/>
      <c r="O5" s="2944"/>
      <c r="P5" s="3321"/>
      <c r="Q5" s="3322"/>
      <c r="R5" s="3327"/>
      <c r="S5" s="3328"/>
      <c r="T5" s="3327"/>
      <c r="U5" s="3328"/>
      <c r="V5" s="3312"/>
      <c r="W5" s="3312"/>
      <c r="X5" s="1538"/>
      <c r="Y5" s="3327"/>
      <c r="Z5" s="3328"/>
      <c r="AA5" s="3314"/>
      <c r="AB5" s="3314"/>
      <c r="AC5" s="3314"/>
    </row>
    <row r="6" spans="1:29" ht="15.75" thickBot="1">
      <c r="A6" s="366"/>
      <c r="B6" s="367"/>
      <c r="C6" s="3331" t="s">
        <v>2367</v>
      </c>
      <c r="D6" s="3332"/>
      <c r="E6" s="3338" t="s">
        <v>2367</v>
      </c>
      <c r="F6" s="3339"/>
      <c r="G6" s="3331" t="s">
        <v>2367</v>
      </c>
      <c r="H6" s="3332"/>
      <c r="I6" s="3331" t="s">
        <v>2367</v>
      </c>
      <c r="J6" s="3332"/>
      <c r="K6" s="567" t="s">
        <v>2368</v>
      </c>
      <c r="L6" s="2943"/>
      <c r="M6" s="2944"/>
      <c r="N6" s="2944"/>
      <c r="O6" s="2944"/>
      <c r="P6" s="3323"/>
      <c r="Q6" s="3324"/>
      <c r="R6" s="3327"/>
      <c r="S6" s="3328"/>
      <c r="T6" s="3329"/>
      <c r="U6" s="3330"/>
      <c r="V6" s="3312"/>
      <c r="W6" s="3312"/>
      <c r="X6" s="1538"/>
      <c r="Y6" s="3329"/>
      <c r="Z6" s="3330"/>
      <c r="AA6" s="3315"/>
      <c r="AB6" s="3315"/>
      <c r="AC6" s="3315"/>
    </row>
    <row r="7" spans="1:29" s="113" customFormat="1" ht="15.75" thickBot="1">
      <c r="A7" s="368" t="s">
        <v>2369</v>
      </c>
      <c r="B7" s="369"/>
      <c r="C7" s="370">
        <f>'数据-取费表'!B2</f>
        <v>44555</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35" t="s">
        <v>2370</v>
      </c>
      <c r="Q7" s="3337"/>
      <c r="R7" s="710" t="s">
        <v>17</v>
      </c>
      <c r="S7" s="711">
        <f t="shared" ref="S7:S14" si="0">F7</f>
        <v>0</v>
      </c>
      <c r="T7" s="710" t="s">
        <v>17</v>
      </c>
      <c r="U7" s="711">
        <f t="shared" ref="U7:U14" si="1">H7</f>
        <v>0</v>
      </c>
      <c r="V7" s="710" t="s">
        <v>17</v>
      </c>
      <c r="W7" s="711">
        <f t="shared" ref="W7:W14" si="2">J7</f>
        <v>0</v>
      </c>
      <c r="X7" s="712"/>
      <c r="Y7" s="3335" t="s">
        <v>2370</v>
      </c>
      <c r="Z7" s="3336"/>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35" t="s">
        <v>2373</v>
      </c>
      <c r="Q8" s="3336"/>
      <c r="R8" s="710" t="s">
        <v>17</v>
      </c>
      <c r="S8" s="711">
        <f t="shared" si="0"/>
        <v>0</v>
      </c>
      <c r="T8" s="710" t="s">
        <v>17</v>
      </c>
      <c r="U8" s="711">
        <f t="shared" si="1"/>
        <v>0</v>
      </c>
      <c r="V8" s="710" t="s">
        <v>17</v>
      </c>
      <c r="W8" s="711">
        <f t="shared" si="2"/>
        <v>0</v>
      </c>
      <c r="X8" s="712"/>
      <c r="Y8" s="3335" t="s">
        <v>2373</v>
      </c>
      <c r="Z8" s="3336"/>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06" t="s">
        <v>2376</v>
      </c>
      <c r="Q9" s="1526" t="str">
        <f t="shared" ref="Q9:Q14" si="6">B9</f>
        <v>用途</v>
      </c>
      <c r="R9" s="710" t="s">
        <v>17</v>
      </c>
      <c r="S9" s="711">
        <f t="shared" si="0"/>
        <v>100</v>
      </c>
      <c r="T9" s="710" t="s">
        <v>17</v>
      </c>
      <c r="U9" s="711">
        <f t="shared" si="1"/>
        <v>100</v>
      </c>
      <c r="V9" s="710" t="s">
        <v>17</v>
      </c>
      <c r="W9" s="711">
        <f t="shared" si="2"/>
        <v>100</v>
      </c>
      <c r="X9" s="712"/>
      <c r="Y9" s="3200"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06"/>
      <c r="Q10" s="1526" t="str">
        <f t="shared" si="6"/>
        <v>土地使用年限（年）</v>
      </c>
      <c r="R10" s="710" t="s">
        <v>17</v>
      </c>
      <c r="S10" s="711">
        <f t="shared" si="0"/>
        <v>100</v>
      </c>
      <c r="T10" s="710" t="s">
        <v>17</v>
      </c>
      <c r="U10" s="711">
        <f t="shared" si="1"/>
        <v>100</v>
      </c>
      <c r="V10" s="710" t="s">
        <v>17</v>
      </c>
      <c r="W10" s="711">
        <f t="shared" si="2"/>
        <v>100</v>
      </c>
      <c r="X10" s="712"/>
      <c r="Y10" s="3200"/>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06"/>
      <c r="Q11" s="1526">
        <f t="shared" si="6"/>
        <v>111</v>
      </c>
      <c r="R11" s="710" t="s">
        <v>17</v>
      </c>
      <c r="S11" s="711">
        <f t="shared" si="0"/>
        <v>100</v>
      </c>
      <c r="T11" s="710" t="s">
        <v>17</v>
      </c>
      <c r="U11" s="711">
        <f t="shared" si="1"/>
        <v>100</v>
      </c>
      <c r="V11" s="710" t="s">
        <v>17</v>
      </c>
      <c r="W11" s="711">
        <f t="shared" si="2"/>
        <v>100</v>
      </c>
      <c r="X11" s="712"/>
      <c r="Y11" s="3200"/>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06"/>
      <c r="Q12" s="1526">
        <f t="shared" si="6"/>
        <v>111</v>
      </c>
      <c r="R12" s="710" t="s">
        <v>17</v>
      </c>
      <c r="S12" s="711">
        <f t="shared" si="0"/>
        <v>100</v>
      </c>
      <c r="T12" s="710" t="s">
        <v>17</v>
      </c>
      <c r="U12" s="711">
        <f t="shared" si="1"/>
        <v>100</v>
      </c>
      <c r="V12" s="710" t="s">
        <v>17</v>
      </c>
      <c r="W12" s="711">
        <f t="shared" si="2"/>
        <v>100</v>
      </c>
      <c r="X12" s="712"/>
      <c r="Y12" s="3200"/>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306"/>
      <c r="Q13" s="1526">
        <f t="shared" si="6"/>
        <v>111</v>
      </c>
      <c r="R13" s="710" t="s">
        <v>17</v>
      </c>
      <c r="S13" s="711">
        <f t="shared" si="0"/>
        <v>100</v>
      </c>
      <c r="T13" s="710" t="s">
        <v>17</v>
      </c>
      <c r="U13" s="711">
        <f t="shared" si="1"/>
        <v>100</v>
      </c>
      <c r="V13" s="710" t="s">
        <v>17</v>
      </c>
      <c r="W13" s="711">
        <f t="shared" si="2"/>
        <v>100</v>
      </c>
      <c r="X13" s="712"/>
      <c r="Y13" s="3200"/>
      <c r="Z13" s="55">
        <f t="shared" si="7"/>
        <v>111</v>
      </c>
      <c r="AA13" s="713">
        <f t="shared" si="3"/>
        <v>1</v>
      </c>
      <c r="AB13" s="713">
        <f t="shared" si="4"/>
        <v>1</v>
      </c>
      <c r="AC13" s="713">
        <f t="shared" si="5"/>
        <v>1</v>
      </c>
    </row>
    <row r="14" spans="1:29" ht="85.5">
      <c r="A14" s="399" t="s">
        <v>2380</v>
      </c>
      <c r="B14" s="65" t="s">
        <v>2530</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08" t="s">
        <v>2381</v>
      </c>
      <c r="Q14" s="1535" t="str">
        <f t="shared" si="6"/>
        <v>交通便捷度</v>
      </c>
      <c r="R14" s="714" t="s">
        <v>17</v>
      </c>
      <c r="S14" s="715">
        <f t="shared" si="0"/>
        <v>100</v>
      </c>
      <c r="T14" s="714" t="s">
        <v>17</v>
      </c>
      <c r="U14" s="715">
        <f t="shared" si="1"/>
        <v>100</v>
      </c>
      <c r="V14" s="714" t="s">
        <v>17</v>
      </c>
      <c r="W14" s="715">
        <f t="shared" si="2"/>
        <v>100</v>
      </c>
      <c r="X14" s="1538"/>
      <c r="Y14" s="3308" t="s">
        <v>2381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50"/>
      <c r="M15" s="2944"/>
      <c r="N15" s="2944"/>
      <c r="O15" s="3002"/>
      <c r="P15" s="3309"/>
      <c r="Q15" s="1535"/>
      <c r="R15" s="714"/>
      <c r="S15" s="715"/>
      <c r="T15" s="714"/>
      <c r="U15" s="715"/>
      <c r="V15" s="714"/>
      <c r="W15" s="715"/>
      <c r="X15" s="1538"/>
      <c r="Y15" s="3309"/>
      <c r="Z15" s="1539"/>
      <c r="AA15" s="1536">
        <v>1</v>
      </c>
      <c r="AB15" s="1536">
        <v>1</v>
      </c>
      <c r="AC15" s="1536">
        <v>1</v>
      </c>
    </row>
    <row r="16" spans="1:29" ht="42.75">
      <c r="A16" s="387"/>
      <c r="B16" s="410" t="s">
        <v>2509</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09"/>
      <c r="Q16" s="1535" t="str">
        <f>B16</f>
        <v>公共配套设施</v>
      </c>
      <c r="R16" s="714" t="s">
        <v>17</v>
      </c>
      <c r="S16" s="715">
        <f>F16</f>
        <v>100</v>
      </c>
      <c r="T16" s="714" t="s">
        <v>17</v>
      </c>
      <c r="U16" s="715">
        <f>H16</f>
        <v>100</v>
      </c>
      <c r="V16" s="714" t="s">
        <v>17</v>
      </c>
      <c r="W16" s="715">
        <f>J16</f>
        <v>100</v>
      </c>
      <c r="X16" s="1538"/>
      <c r="Y16" s="3309"/>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50"/>
      <c r="M17" s="2944"/>
      <c r="N17" s="2944"/>
      <c r="O17" s="3002"/>
      <c r="P17" s="3309"/>
      <c r="Q17" s="1535"/>
      <c r="R17" s="714"/>
      <c r="S17" s="715"/>
      <c r="T17" s="714"/>
      <c r="U17" s="715"/>
      <c r="V17" s="714"/>
      <c r="W17" s="715"/>
      <c r="X17" s="1538"/>
      <c r="Y17" s="3309"/>
      <c r="Z17" s="1539"/>
      <c r="AA17" s="1536">
        <v>1</v>
      </c>
      <c r="AB17" s="1536">
        <v>1</v>
      </c>
      <c r="AC17" s="1536">
        <v>1</v>
      </c>
    </row>
    <row r="18" spans="1:29" ht="28.5">
      <c r="A18" s="387"/>
      <c r="B18" s="1293" t="s">
        <v>2510</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09"/>
      <c r="Q18" s="1535" t="str">
        <f>B18</f>
        <v>基础设施水平</v>
      </c>
      <c r="R18" s="714" t="s">
        <v>17</v>
      </c>
      <c r="S18" s="715">
        <f>F18</f>
        <v>100</v>
      </c>
      <c r="T18" s="714" t="s">
        <v>17</v>
      </c>
      <c r="U18" s="715">
        <f>H18</f>
        <v>100</v>
      </c>
      <c r="V18" s="714" t="s">
        <v>17</v>
      </c>
      <c r="W18" s="715">
        <f>J18</f>
        <v>100</v>
      </c>
      <c r="X18" s="1538"/>
      <c r="Y18" s="3309"/>
      <c r="Z18" s="1539" t="str">
        <f>Q18</f>
        <v>基础设施水平</v>
      </c>
      <c r="AA18" s="1536">
        <f t="shared" ref="AA18" si="8">D18/F18</f>
        <v>1</v>
      </c>
      <c r="AB18" s="1536">
        <f t="shared" ref="AB18" si="9">D18/H18</f>
        <v>1</v>
      </c>
      <c r="AC18" s="1536">
        <f t="shared" ref="AC18" si="10">D18/J18</f>
        <v>1</v>
      </c>
    </row>
    <row r="19" spans="1:29" ht="15">
      <c r="A19" s="387"/>
      <c r="B19" s="1293"/>
      <c r="C19" s="2086"/>
      <c r="D19" s="409"/>
      <c r="E19" s="2086"/>
      <c r="F19" s="412"/>
      <c r="G19" s="2086"/>
      <c r="H19" s="407"/>
      <c r="I19" s="406"/>
      <c r="J19" s="407"/>
      <c r="K19" s="1292"/>
      <c r="L19" s="2950"/>
      <c r="M19" s="2944"/>
      <c r="N19" s="2944"/>
      <c r="O19" s="3002"/>
      <c r="P19" s="3309"/>
      <c r="Q19" s="1535"/>
      <c r="R19" s="714"/>
      <c r="S19" s="715"/>
      <c r="T19" s="714"/>
      <c r="U19" s="715"/>
      <c r="V19" s="714"/>
      <c r="W19" s="715"/>
      <c r="X19" s="1538"/>
      <c r="Y19" s="3309"/>
      <c r="Z19" s="1539"/>
      <c r="AA19" s="1536">
        <v>1</v>
      </c>
      <c r="AB19" s="1536">
        <v>1</v>
      </c>
      <c r="AC19" s="1536">
        <v>1</v>
      </c>
    </row>
    <row r="20" spans="1:29" ht="57">
      <c r="A20" s="387"/>
      <c r="B20" s="410" t="s">
        <v>2531</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09"/>
      <c r="Q20" s="1535" t="str">
        <f>B20</f>
        <v>自然及人文环境</v>
      </c>
      <c r="R20" s="714" t="s">
        <v>17</v>
      </c>
      <c r="S20" s="715">
        <f>F20</f>
        <v>100</v>
      </c>
      <c r="T20" s="714" t="s">
        <v>17</v>
      </c>
      <c r="U20" s="715">
        <f>H20</f>
        <v>100</v>
      </c>
      <c r="V20" s="714" t="s">
        <v>17</v>
      </c>
      <c r="W20" s="715">
        <f>J20</f>
        <v>100</v>
      </c>
      <c r="X20" s="1538"/>
      <c r="Y20" s="3309"/>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50"/>
      <c r="M21" s="2944"/>
      <c r="N21" s="2944"/>
      <c r="O21" s="3002"/>
      <c r="P21" s="3309"/>
      <c r="Q21" s="1535"/>
      <c r="R21" s="714"/>
      <c r="S21" s="715"/>
      <c r="T21" s="714"/>
      <c r="U21" s="715"/>
      <c r="V21" s="714"/>
      <c r="W21" s="715"/>
      <c r="X21" s="1538"/>
      <c r="Y21" s="3309"/>
      <c r="Z21" s="1539"/>
      <c r="AA21" s="1536">
        <v>1</v>
      </c>
      <c r="AB21" s="1536">
        <v>1</v>
      </c>
      <c r="AC21" s="1536">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09"/>
      <c r="Q22" s="1535" t="str">
        <f>B22</f>
        <v>楼层</v>
      </c>
      <c r="R22" s="714" t="s">
        <v>17</v>
      </c>
      <c r="S22" s="715">
        <f>F22</f>
        <v>100</v>
      </c>
      <c r="T22" s="714" t="s">
        <v>17</v>
      </c>
      <c r="U22" s="715">
        <f>H22</f>
        <v>100</v>
      </c>
      <c r="V22" s="714" t="s">
        <v>17</v>
      </c>
      <c r="W22" s="715">
        <f>J22</f>
        <v>100</v>
      </c>
      <c r="X22" s="1538"/>
      <c r="Y22" s="3309"/>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09"/>
      <c r="Q23" s="1535">
        <f>B23</f>
        <v>111</v>
      </c>
      <c r="R23" s="714" t="s">
        <v>17</v>
      </c>
      <c r="S23" s="715">
        <f>F23</f>
        <v>100</v>
      </c>
      <c r="T23" s="714" t="s">
        <v>17</v>
      </c>
      <c r="U23" s="715">
        <f>H23</f>
        <v>100</v>
      </c>
      <c r="V23" s="714" t="s">
        <v>17</v>
      </c>
      <c r="W23" s="715">
        <f>J23</f>
        <v>100</v>
      </c>
      <c r="X23" s="1538"/>
      <c r="Y23" s="3309"/>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09"/>
      <c r="Q24" s="1535">
        <f t="shared" ref="Q24:Q34" si="11">B24</f>
        <v>111</v>
      </c>
      <c r="R24" s="714" t="s">
        <v>17</v>
      </c>
      <c r="S24" s="715">
        <f>F24</f>
        <v>100</v>
      </c>
      <c r="T24" s="714" t="s">
        <v>17</v>
      </c>
      <c r="U24" s="715">
        <f>H24</f>
        <v>100</v>
      </c>
      <c r="V24" s="714" t="s">
        <v>17</v>
      </c>
      <c r="W24" s="715">
        <f>J24</f>
        <v>100</v>
      </c>
      <c r="X24" s="1538"/>
      <c r="Y24" s="3309"/>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309"/>
      <c r="Q25" s="1526">
        <f t="shared" si="11"/>
        <v>111</v>
      </c>
      <c r="R25" s="710" t="s">
        <v>17</v>
      </c>
      <c r="S25" s="711">
        <f>F25</f>
        <v>100</v>
      </c>
      <c r="T25" s="710" t="s">
        <v>17</v>
      </c>
      <c r="U25" s="711">
        <f>H25</f>
        <v>100</v>
      </c>
      <c r="V25" s="710" t="s">
        <v>17</v>
      </c>
      <c r="W25" s="711">
        <f>J25</f>
        <v>100</v>
      </c>
      <c r="X25" s="712"/>
      <c r="Y25" s="3309"/>
      <c r="Z25" s="55">
        <f>Q25</f>
        <v>111</v>
      </c>
      <c r="AA25" s="1536">
        <f>D25/F25</f>
        <v>1</v>
      </c>
      <c r="AB25" s="1536">
        <f>D25/H25</f>
        <v>1</v>
      </c>
      <c r="AC25" s="1536">
        <f>D25/J25</f>
        <v>1</v>
      </c>
    </row>
    <row r="26" spans="1:29" ht="28.5">
      <c r="A26" s="425" t="s">
        <v>2384</v>
      </c>
      <c r="B26" s="67" t="s">
        <v>2535</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310" t="s">
        <v>2386</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11" t="s">
        <v>2386</v>
      </c>
      <c r="Z26" s="1539" t="str">
        <f t="shared" ref="Z26:Z34" si="15">Q26</f>
        <v>公共部分装修</v>
      </c>
      <c r="AA26" s="1536">
        <f t="shared" si="3"/>
        <v>1</v>
      </c>
      <c r="AB26" s="1536">
        <f t="shared" si="4"/>
        <v>1</v>
      </c>
      <c r="AC26" s="1536">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11"/>
      <c r="Q27" s="716" t="str">
        <f t="shared" si="11"/>
        <v>成新率</v>
      </c>
      <c r="R27" s="717" t="s">
        <v>17</v>
      </c>
      <c r="S27" s="718" t="e">
        <f t="shared" si="12"/>
        <v>#N/A</v>
      </c>
      <c r="T27" s="717" t="s">
        <v>17</v>
      </c>
      <c r="U27" s="718" t="e">
        <f t="shared" si="13"/>
        <v>#N/A</v>
      </c>
      <c r="V27" s="717" t="s">
        <v>17</v>
      </c>
      <c r="W27" s="718" t="e">
        <f t="shared" si="14"/>
        <v>#N/A</v>
      </c>
      <c r="X27" s="719"/>
      <c r="Y27" s="3311"/>
      <c r="Z27" s="720" t="str">
        <f t="shared" si="15"/>
        <v>成新率</v>
      </c>
      <c r="AA27" s="1536" t="e">
        <f t="shared" si="3"/>
        <v>#N/A</v>
      </c>
      <c r="AB27" s="1536" t="e">
        <f t="shared" si="4"/>
        <v>#N/A</v>
      </c>
      <c r="AC27" s="1536"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11"/>
      <c r="Q28" s="1535" t="str">
        <f t="shared" si="11"/>
        <v>物业等级</v>
      </c>
      <c r="R28" s="714" t="s">
        <v>17</v>
      </c>
      <c r="S28" s="715">
        <f t="shared" si="12"/>
        <v>100</v>
      </c>
      <c r="T28" s="714" t="s">
        <v>17</v>
      </c>
      <c r="U28" s="715">
        <f t="shared" si="13"/>
        <v>100</v>
      </c>
      <c r="V28" s="714" t="s">
        <v>17</v>
      </c>
      <c r="W28" s="715">
        <f t="shared" si="14"/>
        <v>100</v>
      </c>
      <c r="X28" s="1538"/>
      <c r="Y28" s="3311"/>
      <c r="Z28" s="1539" t="str">
        <f t="shared" si="15"/>
        <v>物业等级</v>
      </c>
      <c r="AA28" s="1536">
        <f t="shared" si="3"/>
        <v>1</v>
      </c>
      <c r="AB28" s="1536">
        <f t="shared" si="4"/>
        <v>1</v>
      </c>
      <c r="AC28" s="1536">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11"/>
      <c r="Q29" s="1535" t="str">
        <f t="shared" si="11"/>
        <v>有无电梯</v>
      </c>
      <c r="R29" s="714" t="s">
        <v>17</v>
      </c>
      <c r="S29" s="715">
        <f t="shared" si="12"/>
        <v>100</v>
      </c>
      <c r="T29" s="714" t="s">
        <v>17</v>
      </c>
      <c r="U29" s="715">
        <f t="shared" si="13"/>
        <v>100</v>
      </c>
      <c r="V29" s="714" t="s">
        <v>17</v>
      </c>
      <c r="W29" s="715">
        <f t="shared" si="14"/>
        <v>100</v>
      </c>
      <c r="X29" s="1538"/>
      <c r="Y29" s="3311"/>
      <c r="Z29" s="1539" t="str">
        <f t="shared" si="15"/>
        <v>有无电梯</v>
      </c>
      <c r="AA29" s="1536">
        <f t="shared" si="3"/>
        <v>1</v>
      </c>
      <c r="AB29" s="1536">
        <f t="shared" si="4"/>
        <v>1</v>
      </c>
      <c r="AC29" s="1536">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11"/>
      <c r="Q30" s="1535" t="str">
        <f t="shared" si="11"/>
        <v>建筑面积</v>
      </c>
      <c r="R30" s="714" t="s">
        <v>17</v>
      </c>
      <c r="S30" s="715" t="e">
        <f t="shared" si="12"/>
        <v>#N/A</v>
      </c>
      <c r="T30" s="714" t="s">
        <v>17</v>
      </c>
      <c r="U30" s="715" t="e">
        <f t="shared" si="13"/>
        <v>#N/A</v>
      </c>
      <c r="V30" s="714" t="s">
        <v>17</v>
      </c>
      <c r="W30" s="715" t="e">
        <f t="shared" si="14"/>
        <v>#N/A</v>
      </c>
      <c r="X30" s="1538"/>
      <c r="Y30" s="3311"/>
      <c r="Z30" s="1539" t="str">
        <f t="shared" si="15"/>
        <v>建筑面积</v>
      </c>
      <c r="AA30" s="1536" t="e">
        <f t="shared" si="3"/>
        <v>#N/A</v>
      </c>
      <c r="AB30" s="1536" t="e">
        <f t="shared" si="4"/>
        <v>#N/A</v>
      </c>
      <c r="AC30" s="1536"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11"/>
      <c r="Q31" s="1526" t="str">
        <f t="shared" si="11"/>
        <v>是否封闭</v>
      </c>
      <c r="R31" s="710" t="s">
        <v>17</v>
      </c>
      <c r="S31" s="711">
        <f t="shared" si="12"/>
        <v>100</v>
      </c>
      <c r="T31" s="710" t="s">
        <v>17</v>
      </c>
      <c r="U31" s="711">
        <f t="shared" si="13"/>
        <v>100</v>
      </c>
      <c r="V31" s="710" t="s">
        <v>17</v>
      </c>
      <c r="W31" s="711">
        <f t="shared" si="14"/>
        <v>100</v>
      </c>
      <c r="X31" s="712"/>
      <c r="Y31" s="3311"/>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11" t="s">
        <v>2386</v>
      </c>
      <c r="Q32" s="1535">
        <f t="shared" si="11"/>
        <v>111</v>
      </c>
      <c r="R32" s="714" t="s">
        <v>17</v>
      </c>
      <c r="S32" s="715">
        <f t="shared" si="12"/>
        <v>100</v>
      </c>
      <c r="T32" s="714" t="s">
        <v>17</v>
      </c>
      <c r="U32" s="715">
        <f t="shared" si="13"/>
        <v>100</v>
      </c>
      <c r="V32" s="714" t="s">
        <v>17</v>
      </c>
      <c r="W32" s="715">
        <f t="shared" si="14"/>
        <v>100</v>
      </c>
      <c r="X32" s="1538"/>
      <c r="Y32" s="3311" t="s">
        <v>2386</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11"/>
      <c r="Q33" s="1535">
        <f t="shared" si="11"/>
        <v>111</v>
      </c>
      <c r="R33" s="714" t="s">
        <v>17</v>
      </c>
      <c r="S33" s="715">
        <f t="shared" si="12"/>
        <v>100</v>
      </c>
      <c r="T33" s="714" t="s">
        <v>17</v>
      </c>
      <c r="U33" s="715">
        <f t="shared" si="13"/>
        <v>100</v>
      </c>
      <c r="V33" s="714" t="s">
        <v>17</v>
      </c>
      <c r="W33" s="715">
        <f t="shared" si="14"/>
        <v>100</v>
      </c>
      <c r="X33" s="1538"/>
      <c r="Y33" s="3311"/>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311"/>
      <c r="Q34" s="1535">
        <f t="shared" si="11"/>
        <v>111</v>
      </c>
      <c r="R34" s="714" t="s">
        <v>17</v>
      </c>
      <c r="S34" s="715">
        <f t="shared" si="12"/>
        <v>100</v>
      </c>
      <c r="T34" s="714" t="s">
        <v>17</v>
      </c>
      <c r="U34" s="715">
        <f t="shared" si="13"/>
        <v>100</v>
      </c>
      <c r="V34" s="714" t="s">
        <v>17</v>
      </c>
      <c r="W34" s="715">
        <f t="shared" si="14"/>
        <v>100</v>
      </c>
      <c r="X34" s="1538"/>
      <c r="Y34" s="3311"/>
      <c r="Z34" s="1539">
        <f t="shared" si="15"/>
        <v>111</v>
      </c>
      <c r="AA34" s="1536">
        <f t="shared" si="3"/>
        <v>1</v>
      </c>
      <c r="AB34" s="1536">
        <f t="shared" si="4"/>
        <v>1</v>
      </c>
      <c r="AC34" s="1536">
        <f t="shared" si="5"/>
        <v>1</v>
      </c>
    </row>
    <row r="35" spans="1:30" ht="15">
      <c r="A35" s="438" t="s">
        <v>2398</v>
      </c>
      <c r="B35" s="439"/>
      <c r="C35" s="1315" t="s">
        <v>1</v>
      </c>
      <c r="D35" s="1316"/>
      <c r="E35" s="1317"/>
      <c r="F35" s="1318"/>
      <c r="G35" s="1319"/>
      <c r="H35" s="1320"/>
      <c r="I35" s="1317"/>
      <c r="J35" s="1320"/>
      <c r="K35" s="723"/>
      <c r="L35" s="2952"/>
      <c r="M35" s="2953"/>
      <c r="N35" s="2944"/>
      <c r="O35" s="2953"/>
      <c r="P35" s="3306" t="str">
        <f>A35</f>
        <v>成交单价（元/平方米）</v>
      </c>
      <c r="Q35" s="3306"/>
      <c r="R35" s="3371">
        <f>E35</f>
        <v>0</v>
      </c>
      <c r="S35" s="3371"/>
      <c r="T35" s="3371">
        <f>G35</f>
        <v>0</v>
      </c>
      <c r="U35" s="3371"/>
      <c r="V35" s="3371">
        <f>I35</f>
        <v>0</v>
      </c>
      <c r="W35" s="3371"/>
      <c r="X35" s="699"/>
      <c r="Y35" s="721"/>
      <c r="Z35" s="699"/>
      <c r="AA35" s="699"/>
      <c r="AB35" s="699"/>
      <c r="AC35" s="699"/>
    </row>
    <row r="36" spans="1:30" ht="15.75" thickBot="1">
      <c r="A36" s="445" t="s">
        <v>2490</v>
      </c>
      <c r="B36" s="446"/>
      <c r="C36" s="1321" t="e">
        <f>R37</f>
        <v>#DIV/0!</v>
      </c>
      <c r="D36" s="2537" t="s">
        <v>2880</v>
      </c>
      <c r="E36" s="1322" t="e">
        <f>R36</f>
        <v>#DIV/0!</v>
      </c>
      <c r="F36" s="2538"/>
      <c r="G36" s="1321" t="e">
        <f>T36</f>
        <v>#DIV/0!</v>
      </c>
      <c r="H36" s="2538"/>
      <c r="I36" s="1322" t="e">
        <f>V36</f>
        <v>#DIV/0!</v>
      </c>
      <c r="J36" s="2538"/>
      <c r="K36" s="2540">
        <f>F36+H36+J36</f>
        <v>0</v>
      </c>
      <c r="L36" s="2952"/>
      <c r="M36" s="2953"/>
      <c r="N36" s="2944"/>
      <c r="O36" s="2953"/>
      <c r="P36" s="3306" t="str">
        <f>A36</f>
        <v>比较价值（元/平方米）</v>
      </c>
      <c r="Q36" s="3306"/>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699"/>
      <c r="Y36" s="699"/>
      <c r="Z36" s="699"/>
      <c r="AA36" s="699"/>
      <c r="AB36" s="699"/>
      <c r="AC36" s="699"/>
    </row>
    <row r="37" spans="1:30" ht="15.75" thickBot="1">
      <c r="A37" s="449" t="s">
        <v>2491</v>
      </c>
      <c r="B37" s="450"/>
      <c r="C37" s="1324" t="e">
        <f>R37</f>
        <v>#DIV/0!</v>
      </c>
      <c r="D37" s="1324"/>
      <c r="E37" s="1324"/>
      <c r="F37" s="1324"/>
      <c r="G37" s="1324"/>
      <c r="H37" s="1324"/>
      <c r="I37" s="1324"/>
      <c r="J37" s="1324"/>
      <c r="K37" s="724"/>
      <c r="L37" s="2952"/>
      <c r="M37" s="2953"/>
      <c r="N37" s="2953"/>
      <c r="O37" s="2953"/>
      <c r="P37" s="3300" t="str">
        <f>A37</f>
        <v>估价对象XX用房的比较价值（楼面单价，元/平方米）</v>
      </c>
      <c r="Q37" s="3301"/>
      <c r="R37" s="3393" t="e">
        <f>IF(F1="售价",ROUND(IF(D36="简单平均",AVERAGE(R36:W36),R36*F36+T36*H36+V36*J36),0),ROUND(IF(D36="简单平均",AVERAGE(R36:V36),R36*F36+T36*H36+V36*J36),1))</f>
        <v>#DIV/0!</v>
      </c>
      <c r="S37" s="3393"/>
      <c r="T37" s="3393"/>
      <c r="U37" s="3393"/>
      <c r="V37" s="3393"/>
      <c r="W37" s="3393"/>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5" t="str">
        <f>YEAR(C7)&amp;"-"&amp;MONTH(C7)</f>
        <v>2021-12</v>
      </c>
      <c r="D46" s="1346">
        <f>EDATE(C46,-1)</f>
        <v>44501</v>
      </c>
      <c r="E46" s="1346">
        <f t="shared" ref="E46:O46" si="16">EDATE(D46,-1)</f>
        <v>44470</v>
      </c>
      <c r="F46" s="1346">
        <f t="shared" si="16"/>
        <v>44440</v>
      </c>
      <c r="G46" s="1346">
        <f t="shared" si="16"/>
        <v>44409</v>
      </c>
      <c r="H46" s="1346">
        <f t="shared" si="16"/>
        <v>44378</v>
      </c>
      <c r="I46" s="1346">
        <f t="shared" si="16"/>
        <v>44348</v>
      </c>
      <c r="J46" s="1346">
        <f t="shared" si="16"/>
        <v>44317</v>
      </c>
      <c r="K46" s="1346">
        <f t="shared" si="16"/>
        <v>44287</v>
      </c>
      <c r="L46" s="1346">
        <f t="shared" si="16"/>
        <v>44256</v>
      </c>
      <c r="M46" s="1346">
        <f t="shared" si="16"/>
        <v>44228</v>
      </c>
      <c r="N46" s="1346">
        <f t="shared" si="16"/>
        <v>44197</v>
      </c>
      <c r="O46" s="1346">
        <f t="shared" si="16"/>
        <v>44166</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8" stopIfTrue="1" operator="containsText" text="超过">
      <formula>NOT(ISERROR(SEARCH("超过",F40)))</formula>
    </cfRule>
  </conditionalFormatting>
  <conditionalFormatting sqref="J42">
    <cfRule type="containsText" dxfId="55" priority="17" stopIfTrue="1" operator="containsText" text="超过">
      <formula>NOT(ISERROR(SEARCH("超过",J42)))</formula>
    </cfRule>
  </conditionalFormatting>
  <conditionalFormatting sqref="H42">
    <cfRule type="containsText" dxfId="54" priority="16" stopIfTrue="1" operator="containsText" text="超过">
      <formula>NOT(ISERROR(SEARCH("超过",H42)))</formula>
    </cfRule>
  </conditionalFormatting>
  <conditionalFormatting sqref="F42">
    <cfRule type="containsText" dxfId="53" priority="15" stopIfTrue="1" operator="containsText" text="超过">
      <formula>NOT(ISERROR(SEARCH("超过",F42)))</formula>
    </cfRule>
  </conditionalFormatting>
  <conditionalFormatting sqref="F41 H41 J41">
    <cfRule type="containsText" dxfId="52" priority="14" stopIfTrue="1" operator="containsText" text="超过">
      <formula>NOT(ISERROR(SEARCH("超过",F41)))</formula>
    </cfRule>
  </conditionalFormatting>
  <conditionalFormatting sqref="E40">
    <cfRule type="expression" dxfId="51" priority="13" stopIfTrue="1">
      <formula>$F$40="超过30%"</formula>
    </cfRule>
  </conditionalFormatting>
  <conditionalFormatting sqref="G42">
    <cfRule type="expression" dxfId="50" priority="12" stopIfTrue="1">
      <formula>$H$54+$H$42="超过30%"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F7:F34 H7:H34 J7:J34">
    <cfRule type="cellIs" dxfId="39"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03" t="s">
        <v>2467</v>
      </c>
      <c r="D4" s="3316"/>
      <c r="E4" s="3317" t="s">
        <v>2468</v>
      </c>
      <c r="F4" s="3318"/>
      <c r="G4" s="3303" t="s">
        <v>2469</v>
      </c>
      <c r="H4" s="3316"/>
      <c r="I4" s="3303" t="s">
        <v>2470</v>
      </c>
      <c r="J4" s="3316"/>
      <c r="K4" s="567" t="s">
        <v>2471</v>
      </c>
      <c r="L4" s="2943"/>
      <c r="M4" s="2944"/>
      <c r="N4" s="2944"/>
      <c r="O4" s="2944"/>
      <c r="P4" s="3319" t="s">
        <v>2472</v>
      </c>
      <c r="Q4" s="3320"/>
      <c r="R4" s="3325" t="s">
        <v>2468</v>
      </c>
      <c r="S4" s="3326"/>
      <c r="T4" s="3325" t="s">
        <v>2469</v>
      </c>
      <c r="U4" s="3326"/>
      <c r="V4" s="3312" t="s">
        <v>2470</v>
      </c>
      <c r="W4" s="3312"/>
      <c r="X4" s="1538"/>
      <c r="Y4" s="3325" t="s">
        <v>2472</v>
      </c>
      <c r="Z4" s="3326"/>
      <c r="AA4" s="3313" t="s">
        <v>2468</v>
      </c>
      <c r="AB4" s="3314" t="s">
        <v>2469</v>
      </c>
      <c r="AC4" s="3313" t="s">
        <v>2470</v>
      </c>
    </row>
    <row r="5" spans="1:29" ht="15">
      <c r="A5" s="364"/>
      <c r="B5" s="365"/>
      <c r="C5" s="3333" t="s">
        <v>2363</v>
      </c>
      <c r="D5" s="3334"/>
      <c r="E5" s="3340" t="s">
        <v>2364</v>
      </c>
      <c r="F5" s="3341"/>
      <c r="G5" s="3333" t="s">
        <v>2365</v>
      </c>
      <c r="H5" s="3334"/>
      <c r="I5" s="3333" t="s">
        <v>2366</v>
      </c>
      <c r="J5" s="3334"/>
      <c r="K5" s="567"/>
      <c r="L5" s="2943"/>
      <c r="M5" s="2944"/>
      <c r="N5" s="2944"/>
      <c r="O5" s="2944"/>
      <c r="P5" s="3321"/>
      <c r="Q5" s="3322"/>
      <c r="R5" s="3327"/>
      <c r="S5" s="3328"/>
      <c r="T5" s="3327"/>
      <c r="U5" s="3328"/>
      <c r="V5" s="3312"/>
      <c r="W5" s="3312"/>
      <c r="X5" s="1538"/>
      <c r="Y5" s="3327"/>
      <c r="Z5" s="3328"/>
      <c r="AA5" s="3314"/>
      <c r="AB5" s="3314"/>
      <c r="AC5" s="3314"/>
    </row>
    <row r="6" spans="1:29" ht="15.75" thickBot="1">
      <c r="A6" s="366"/>
      <c r="B6" s="367"/>
      <c r="C6" s="3394" t="s">
        <v>2617</v>
      </c>
      <c r="D6" s="3395"/>
      <c r="E6" s="3396" t="s">
        <v>2617</v>
      </c>
      <c r="F6" s="3397"/>
      <c r="G6" s="3394" t="s">
        <v>2617</v>
      </c>
      <c r="H6" s="3395"/>
      <c r="I6" s="3394" t="s">
        <v>2617</v>
      </c>
      <c r="J6" s="3395"/>
      <c r="K6" s="567" t="s">
        <v>2368</v>
      </c>
      <c r="L6" s="2943"/>
      <c r="M6" s="2944"/>
      <c r="N6" s="2944"/>
      <c r="O6" s="2944"/>
      <c r="P6" s="3323"/>
      <c r="Q6" s="3324"/>
      <c r="R6" s="3327"/>
      <c r="S6" s="3328"/>
      <c r="T6" s="3329"/>
      <c r="U6" s="3330"/>
      <c r="V6" s="3312"/>
      <c r="W6" s="3312"/>
      <c r="X6" s="1538"/>
      <c r="Y6" s="3329"/>
      <c r="Z6" s="3330"/>
      <c r="AA6" s="3315"/>
      <c r="AB6" s="3315"/>
      <c r="AC6" s="3315"/>
    </row>
    <row r="7" spans="1:29" s="113" customFormat="1" ht="15.75" thickBot="1">
      <c r="A7" s="368" t="s">
        <v>2369</v>
      </c>
      <c r="B7" s="369"/>
      <c r="C7" s="370">
        <f>'数据-取费表'!B2</f>
        <v>44555</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335" t="s">
        <v>2370</v>
      </c>
      <c r="Q7" s="3337"/>
      <c r="R7" s="710" t="s">
        <v>17</v>
      </c>
      <c r="S7" s="711">
        <f t="shared" ref="S7:S15" si="0">F7</f>
        <v>0</v>
      </c>
      <c r="T7" s="710" t="s">
        <v>17</v>
      </c>
      <c r="U7" s="711">
        <f t="shared" ref="U7:U15" si="1">H7</f>
        <v>0</v>
      </c>
      <c r="V7" s="710" t="s">
        <v>17</v>
      </c>
      <c r="W7" s="711">
        <f t="shared" ref="W7:W15" si="2">J7</f>
        <v>0</v>
      </c>
      <c r="X7" s="712"/>
      <c r="Y7" s="3335" t="s">
        <v>2370</v>
      </c>
      <c r="Z7" s="3336"/>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35" t="s">
        <v>2373</v>
      </c>
      <c r="Q8" s="3336"/>
      <c r="R8" s="710" t="s">
        <v>17</v>
      </c>
      <c r="S8" s="711">
        <f t="shared" si="0"/>
        <v>0</v>
      </c>
      <c r="T8" s="710" t="s">
        <v>17</v>
      </c>
      <c r="U8" s="711">
        <f t="shared" si="1"/>
        <v>0</v>
      </c>
      <c r="V8" s="710" t="s">
        <v>17</v>
      </c>
      <c r="W8" s="711">
        <f t="shared" si="2"/>
        <v>0</v>
      </c>
      <c r="X8" s="712"/>
      <c r="Y8" s="3335" t="s">
        <v>2373</v>
      </c>
      <c r="Z8" s="3336"/>
      <c r="AA8" s="713" t="e">
        <f t="shared" ref="AA8:AA40" si="3">D8/F8</f>
        <v>#DIV/0!</v>
      </c>
      <c r="AB8" s="713" t="e">
        <f t="shared" ref="AB8:AB40" si="4">D8/H8</f>
        <v>#DIV/0!</v>
      </c>
      <c r="AC8" s="713" t="e">
        <f t="shared" ref="AC8:AC40" si="5">D8/J8</f>
        <v>#DIV/0!</v>
      </c>
    </row>
    <row r="9" spans="1:29" s="113" customFormat="1">
      <c r="A9" s="375" t="s">
        <v>2374</v>
      </c>
      <c r="B9" s="67" t="s">
        <v>2375</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306" t="s">
        <v>2376</v>
      </c>
      <c r="Q9" s="1526" t="str">
        <f t="shared" ref="Q9:Q15" si="6">B9</f>
        <v>用途</v>
      </c>
      <c r="R9" s="710" t="s">
        <v>17</v>
      </c>
      <c r="S9" s="711">
        <f t="shared" si="0"/>
        <v>100</v>
      </c>
      <c r="T9" s="710" t="s">
        <v>17</v>
      </c>
      <c r="U9" s="711">
        <f t="shared" si="1"/>
        <v>100</v>
      </c>
      <c r="V9" s="710" t="s">
        <v>17</v>
      </c>
      <c r="W9" s="711">
        <f t="shared" si="2"/>
        <v>100</v>
      </c>
      <c r="X9" s="712"/>
      <c r="Y9" s="3200"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104</v>
      </c>
      <c r="G10" s="391"/>
      <c r="H10" s="132">
        <f>ROUND(100/'数据-取费表'!G16,0)</f>
        <v>104</v>
      </c>
      <c r="I10" s="391"/>
      <c r="J10" s="132">
        <f>ROUND(100/'数据-取费表'!G16,0)</f>
        <v>104</v>
      </c>
      <c r="K10" s="628"/>
      <c r="L10" s="2947"/>
      <c r="M10" s="2948"/>
      <c r="N10" s="2948"/>
      <c r="O10" s="3001"/>
      <c r="P10" s="3306"/>
      <c r="Q10" s="1526" t="str">
        <f t="shared" si="6"/>
        <v>土地使用年限（年）</v>
      </c>
      <c r="R10" s="710" t="s">
        <v>17</v>
      </c>
      <c r="S10" s="711">
        <f t="shared" si="0"/>
        <v>104</v>
      </c>
      <c r="T10" s="710" t="s">
        <v>17</v>
      </c>
      <c r="U10" s="711">
        <f t="shared" si="1"/>
        <v>104</v>
      </c>
      <c r="V10" s="710" t="s">
        <v>17</v>
      </c>
      <c r="W10" s="711">
        <f t="shared" si="2"/>
        <v>104</v>
      </c>
      <c r="X10" s="712"/>
      <c r="Y10" s="3200"/>
      <c r="Z10" s="55" t="str">
        <f t="shared" si="7"/>
        <v>土地使用年限（年）</v>
      </c>
      <c r="AA10" s="713">
        <f t="shared" si="3"/>
        <v>0.96153846153846156</v>
      </c>
      <c r="AB10" s="713">
        <f t="shared" si="4"/>
        <v>0.96153846153846156</v>
      </c>
      <c r="AC10" s="713">
        <f t="shared" si="5"/>
        <v>0.96153846153846156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06"/>
      <c r="Q11" s="1526" t="str">
        <f t="shared" si="6"/>
        <v>容积率</v>
      </c>
      <c r="R11" s="710" t="s">
        <v>17</v>
      </c>
      <c r="S11" s="711" t="e">
        <f t="shared" si="0"/>
        <v>#N/A</v>
      </c>
      <c r="T11" s="710" t="s">
        <v>17</v>
      </c>
      <c r="U11" s="711" t="e">
        <f t="shared" si="1"/>
        <v>#N/A</v>
      </c>
      <c r="V11" s="710" t="s">
        <v>17</v>
      </c>
      <c r="W11" s="711" t="e">
        <f t="shared" si="2"/>
        <v>#N/A</v>
      </c>
      <c r="X11" s="712"/>
      <c r="Y11" s="3200"/>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06"/>
      <c r="Q12" s="1526">
        <f t="shared" si="6"/>
        <v>111</v>
      </c>
      <c r="R12" s="710" t="s">
        <v>17</v>
      </c>
      <c r="S12" s="711">
        <f t="shared" si="0"/>
        <v>100</v>
      </c>
      <c r="T12" s="710" t="s">
        <v>17</v>
      </c>
      <c r="U12" s="711">
        <f t="shared" si="1"/>
        <v>100</v>
      </c>
      <c r="V12" s="710" t="s">
        <v>17</v>
      </c>
      <c r="W12" s="711">
        <f t="shared" si="2"/>
        <v>100</v>
      </c>
      <c r="X12" s="712"/>
      <c r="Y12" s="3200"/>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06"/>
      <c r="Q13" s="1526">
        <f t="shared" si="6"/>
        <v>111</v>
      </c>
      <c r="R13" s="710" t="s">
        <v>17</v>
      </c>
      <c r="S13" s="711">
        <f t="shared" si="0"/>
        <v>100</v>
      </c>
      <c r="T13" s="710" t="s">
        <v>17</v>
      </c>
      <c r="U13" s="711">
        <f t="shared" si="1"/>
        <v>100</v>
      </c>
      <c r="V13" s="710" t="s">
        <v>17</v>
      </c>
      <c r="W13" s="711">
        <f t="shared" si="2"/>
        <v>100</v>
      </c>
      <c r="X13" s="712"/>
      <c r="Y13" s="3200"/>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06"/>
      <c r="Q14" s="1526">
        <f t="shared" si="6"/>
        <v>111</v>
      </c>
      <c r="R14" s="710" t="s">
        <v>17</v>
      </c>
      <c r="S14" s="711">
        <f t="shared" si="0"/>
        <v>100</v>
      </c>
      <c r="T14" s="710" t="s">
        <v>17</v>
      </c>
      <c r="U14" s="711">
        <f t="shared" si="1"/>
        <v>100</v>
      </c>
      <c r="V14" s="710" t="s">
        <v>17</v>
      </c>
      <c r="W14" s="711">
        <f t="shared" si="2"/>
        <v>100</v>
      </c>
      <c r="X14" s="712"/>
      <c r="Y14" s="3200"/>
      <c r="Z14" s="55">
        <f t="shared" si="7"/>
        <v>111</v>
      </c>
      <c r="AA14" s="713">
        <f t="shared" si="3"/>
        <v>1</v>
      </c>
      <c r="AB14" s="713">
        <f t="shared" si="4"/>
        <v>1</v>
      </c>
      <c r="AC14" s="713">
        <f t="shared" si="5"/>
        <v>1</v>
      </c>
    </row>
    <row r="15" spans="1:29" ht="57">
      <c r="A15" s="399" t="s">
        <v>2380</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08" t="s">
        <v>2381</v>
      </c>
      <c r="Q15" s="1535" t="str">
        <f t="shared" si="6"/>
        <v>产业集聚程度</v>
      </c>
      <c r="R15" s="714" t="s">
        <v>17</v>
      </c>
      <c r="S15" s="715">
        <f t="shared" si="0"/>
        <v>100</v>
      </c>
      <c r="T15" s="714" t="s">
        <v>17</v>
      </c>
      <c r="U15" s="715">
        <f t="shared" si="1"/>
        <v>100</v>
      </c>
      <c r="V15" s="714" t="s">
        <v>17</v>
      </c>
      <c r="W15" s="715">
        <f t="shared" si="2"/>
        <v>100</v>
      </c>
      <c r="X15" s="1538"/>
      <c r="Y15" s="3308" t="s">
        <v>2381</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50"/>
      <c r="M16" s="2944"/>
      <c r="N16" s="2944"/>
      <c r="O16" s="3002"/>
      <c r="P16" s="3309"/>
      <c r="Q16" s="1535"/>
      <c r="R16" s="714"/>
      <c r="S16" s="715"/>
      <c r="T16" s="714"/>
      <c r="U16" s="715"/>
      <c r="V16" s="714"/>
      <c r="W16" s="715"/>
      <c r="X16" s="1538"/>
      <c r="Y16" s="3309"/>
      <c r="Z16" s="1539"/>
      <c r="AA16" s="1536">
        <v>1</v>
      </c>
      <c r="AB16" s="1536">
        <v>1</v>
      </c>
      <c r="AC16" s="1536">
        <v>1</v>
      </c>
    </row>
    <row r="17" spans="1:29" ht="85.5">
      <c r="A17" s="387"/>
      <c r="B17" s="587" t="s">
        <v>2530</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09"/>
      <c r="Q17" s="1535" t="str">
        <f>B17</f>
        <v>交通便捷度</v>
      </c>
      <c r="R17" s="714" t="s">
        <v>17</v>
      </c>
      <c r="S17" s="715">
        <f>F17</f>
        <v>100</v>
      </c>
      <c r="T17" s="714" t="s">
        <v>17</v>
      </c>
      <c r="U17" s="715">
        <f>H17</f>
        <v>100</v>
      </c>
      <c r="V17" s="714" t="s">
        <v>17</v>
      </c>
      <c r="W17" s="715">
        <f>J17</f>
        <v>100</v>
      </c>
      <c r="X17" s="1538"/>
      <c r="Y17" s="3309"/>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50"/>
      <c r="M18" s="2944"/>
      <c r="N18" s="2944"/>
      <c r="O18" s="3002"/>
      <c r="P18" s="3309"/>
      <c r="Q18" s="1535"/>
      <c r="R18" s="714"/>
      <c r="S18" s="715"/>
      <c r="T18" s="714"/>
      <c r="U18" s="715"/>
      <c r="V18" s="714"/>
      <c r="W18" s="715"/>
      <c r="X18" s="1538"/>
      <c r="Y18" s="3309"/>
      <c r="Z18" s="1539"/>
      <c r="AA18" s="1536">
        <v>1</v>
      </c>
      <c r="AB18" s="1536">
        <v>1</v>
      </c>
      <c r="AC18" s="1536">
        <v>1</v>
      </c>
    </row>
    <row r="19" spans="1:29" ht="15">
      <c r="A19" s="387"/>
      <c r="B19" s="587" t="s">
        <v>2569</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09"/>
      <c r="Q19" s="1535" t="str">
        <f t="shared" ref="Q19:Q33" si="8">B19</f>
        <v>区域土地利用方向</v>
      </c>
      <c r="R19" s="714" t="s">
        <v>17</v>
      </c>
      <c r="S19" s="715">
        <f>F19</f>
        <v>100</v>
      </c>
      <c r="T19" s="714" t="s">
        <v>17</v>
      </c>
      <c r="U19" s="715">
        <f>H19</f>
        <v>100</v>
      </c>
      <c r="V19" s="714" t="s">
        <v>17</v>
      </c>
      <c r="W19" s="715">
        <f>J19</f>
        <v>100</v>
      </c>
      <c r="X19" s="1538"/>
      <c r="Y19" s="3309"/>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50"/>
      <c r="M20" s="2944"/>
      <c r="N20" s="2944"/>
      <c r="O20" s="3002"/>
      <c r="P20" s="3309"/>
      <c r="Q20" s="1535"/>
      <c r="R20" s="714"/>
      <c r="S20" s="715"/>
      <c r="T20" s="714"/>
      <c r="U20" s="715"/>
      <c r="V20" s="714"/>
      <c r="W20" s="715"/>
      <c r="X20" s="1538"/>
      <c r="Y20" s="3309"/>
      <c r="Z20" s="1539"/>
      <c r="AA20" s="1536"/>
      <c r="AB20" s="1536"/>
      <c r="AC20" s="1536"/>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09"/>
      <c r="Q21" s="1535" t="str">
        <f t="shared" si="8"/>
        <v>环境状况</v>
      </c>
      <c r="R21" s="714" t="s">
        <v>17</v>
      </c>
      <c r="S21" s="715">
        <f>F21</f>
        <v>100</v>
      </c>
      <c r="T21" s="714" t="s">
        <v>17</v>
      </c>
      <c r="U21" s="715">
        <f>H21</f>
        <v>100</v>
      </c>
      <c r="V21" s="714" t="s">
        <v>17</v>
      </c>
      <c r="W21" s="715">
        <f>J21</f>
        <v>100</v>
      </c>
      <c r="X21" s="1538"/>
      <c r="Y21" s="3309"/>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50"/>
      <c r="M22" s="2944"/>
      <c r="N22" s="2944"/>
      <c r="O22" s="3002"/>
      <c r="P22" s="3309"/>
      <c r="Q22" s="1535"/>
      <c r="R22" s="714"/>
      <c r="S22" s="715"/>
      <c r="T22" s="714"/>
      <c r="U22" s="715"/>
      <c r="V22" s="714"/>
      <c r="W22" s="715"/>
      <c r="X22" s="1538"/>
      <c r="Y22" s="3309"/>
      <c r="Z22" s="1539"/>
      <c r="AA22" s="1536">
        <v>1</v>
      </c>
      <c r="AB22" s="1536">
        <v>1</v>
      </c>
      <c r="AC22" s="1536">
        <v>1</v>
      </c>
    </row>
    <row r="23" spans="1:29" s="113" customFormat="1" ht="42.75">
      <c r="A23" s="605"/>
      <c r="B23" s="589" t="s">
        <v>2475</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09"/>
      <c r="Q23" s="1526" t="str">
        <f t="shared" si="8"/>
        <v>公共配套设施</v>
      </c>
      <c r="R23" s="710" t="s">
        <v>17</v>
      </c>
      <c r="S23" s="711">
        <f>F23</f>
        <v>100</v>
      </c>
      <c r="T23" s="710" t="s">
        <v>17</v>
      </c>
      <c r="U23" s="711">
        <f>H23</f>
        <v>100</v>
      </c>
      <c r="V23" s="710" t="s">
        <v>17</v>
      </c>
      <c r="W23" s="711">
        <f>J23</f>
        <v>100</v>
      </c>
      <c r="X23" s="712"/>
      <c r="Y23" s="3309"/>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45"/>
      <c r="M24" s="2946"/>
      <c r="N24" s="2946"/>
      <c r="O24" s="3000"/>
      <c r="P24" s="3309"/>
      <c r="Q24" s="1526"/>
      <c r="R24" s="710"/>
      <c r="S24" s="711"/>
      <c r="T24" s="710"/>
      <c r="U24" s="711"/>
      <c r="V24" s="710"/>
      <c r="W24" s="711"/>
      <c r="X24" s="712"/>
      <c r="Y24" s="3309"/>
      <c r="Z24" s="55"/>
      <c r="AA24" s="713">
        <v>1</v>
      </c>
      <c r="AB24" s="713">
        <v>1</v>
      </c>
      <c r="AC24" s="713">
        <v>1</v>
      </c>
    </row>
    <row r="25" spans="1:29" s="113" customFormat="1" ht="28.5">
      <c r="A25" s="605"/>
      <c r="B25" s="589" t="s">
        <v>2476</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09"/>
      <c r="Q25" s="1526" t="str">
        <f t="shared" ref="Q25" si="9">B25</f>
        <v>基础设施水平</v>
      </c>
      <c r="R25" s="710" t="s">
        <v>17</v>
      </c>
      <c r="S25" s="711">
        <f>F25</f>
        <v>100</v>
      </c>
      <c r="T25" s="710" t="s">
        <v>17</v>
      </c>
      <c r="U25" s="711">
        <f>H25</f>
        <v>100</v>
      </c>
      <c r="V25" s="710" t="s">
        <v>17</v>
      </c>
      <c r="W25" s="711">
        <f>J25</f>
        <v>100</v>
      </c>
      <c r="X25" s="712"/>
      <c r="Y25" s="3309"/>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45"/>
      <c r="M26" s="2946"/>
      <c r="N26" s="2946"/>
      <c r="O26" s="3000"/>
      <c r="P26" s="3309"/>
      <c r="Q26" s="1526"/>
      <c r="R26" s="710"/>
      <c r="S26" s="711"/>
      <c r="T26" s="710"/>
      <c r="U26" s="711"/>
      <c r="V26" s="710"/>
      <c r="W26" s="711"/>
      <c r="X26" s="712"/>
      <c r="Y26" s="3309"/>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09"/>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09"/>
      <c r="Z27" s="1539" t="str">
        <f t="shared" ref="Z27:Z40" si="13">Q27</f>
        <v>临街状况</v>
      </c>
      <c r="AA27" s="1536">
        <f t="shared" si="3"/>
        <v>1</v>
      </c>
      <c r="AB27" s="1536">
        <f t="shared" si="4"/>
        <v>1</v>
      </c>
      <c r="AC27" s="1536">
        <f t="shared" si="5"/>
        <v>1</v>
      </c>
    </row>
    <row r="28" spans="1:29" ht="27">
      <c r="A28" s="387"/>
      <c r="B28" s="589" t="s">
        <v>2512</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09"/>
      <c r="Q28" s="1535" t="str">
        <f t="shared" si="8"/>
        <v>毗邻道路的类型与等级</v>
      </c>
      <c r="R28" s="714" t="s">
        <v>17</v>
      </c>
      <c r="S28" s="715">
        <f t="shared" si="10"/>
        <v>100</v>
      </c>
      <c r="T28" s="714" t="s">
        <v>17</v>
      </c>
      <c r="U28" s="715">
        <f t="shared" si="11"/>
        <v>100</v>
      </c>
      <c r="V28" s="714" t="s">
        <v>17</v>
      </c>
      <c r="W28" s="715">
        <f t="shared" si="12"/>
        <v>100</v>
      </c>
      <c r="X28" s="1538"/>
      <c r="Y28" s="3309"/>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50"/>
      <c r="M29" s="2944"/>
      <c r="N29" s="2944"/>
      <c r="O29" s="3002"/>
      <c r="P29" s="3309"/>
      <c r="Q29" s="1535"/>
      <c r="R29" s="714"/>
      <c r="S29" s="715"/>
      <c r="T29" s="714"/>
      <c r="U29" s="715"/>
      <c r="V29" s="714"/>
      <c r="W29" s="715"/>
      <c r="X29" s="1538"/>
      <c r="Y29" s="3309"/>
      <c r="Z29" s="1539"/>
      <c r="AA29" s="1536">
        <v>1</v>
      </c>
      <c r="AB29" s="1536">
        <v>1</v>
      </c>
      <c r="AC29" s="1536">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09"/>
      <c r="Q30" s="1535" t="str">
        <f t="shared" si="8"/>
        <v>土地级别</v>
      </c>
      <c r="R30" s="714" t="s">
        <v>17</v>
      </c>
      <c r="S30" s="715">
        <f t="shared" si="10"/>
        <v>100</v>
      </c>
      <c r="T30" s="714" t="s">
        <v>17</v>
      </c>
      <c r="U30" s="715">
        <f t="shared" si="11"/>
        <v>100</v>
      </c>
      <c r="V30" s="714" t="s">
        <v>17</v>
      </c>
      <c r="W30" s="715">
        <f t="shared" si="12"/>
        <v>100</v>
      </c>
      <c r="X30" s="1538"/>
      <c r="Y30" s="3309"/>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09"/>
      <c r="Q31" s="1535">
        <f t="shared" si="8"/>
        <v>111</v>
      </c>
      <c r="R31" s="714" t="s">
        <v>17</v>
      </c>
      <c r="S31" s="715">
        <f t="shared" si="10"/>
        <v>100</v>
      </c>
      <c r="T31" s="714" t="s">
        <v>17</v>
      </c>
      <c r="U31" s="715">
        <f t="shared" si="11"/>
        <v>100</v>
      </c>
      <c r="V31" s="714" t="s">
        <v>17</v>
      </c>
      <c r="W31" s="715">
        <f t="shared" si="12"/>
        <v>100</v>
      </c>
      <c r="X31" s="1538"/>
      <c r="Y31" s="3309"/>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10" t="s">
        <v>2386</v>
      </c>
      <c r="Q32" s="1535">
        <f t="shared" si="8"/>
        <v>111</v>
      </c>
      <c r="R32" s="714" t="s">
        <v>17</v>
      </c>
      <c r="S32" s="715">
        <f t="shared" si="10"/>
        <v>100</v>
      </c>
      <c r="T32" s="714" t="s">
        <v>17</v>
      </c>
      <c r="U32" s="715">
        <f t="shared" si="11"/>
        <v>100</v>
      </c>
      <c r="V32" s="714" t="s">
        <v>17</v>
      </c>
      <c r="W32" s="715">
        <f t="shared" si="12"/>
        <v>100</v>
      </c>
      <c r="X32" s="1538"/>
      <c r="Y32" s="3311" t="s">
        <v>2386</v>
      </c>
      <c r="Z32" s="1539">
        <f t="shared" si="13"/>
        <v>111</v>
      </c>
      <c r="AA32" s="1536">
        <f t="shared" si="3"/>
        <v>1</v>
      </c>
      <c r="AB32" s="1536">
        <f t="shared" si="4"/>
        <v>1</v>
      </c>
      <c r="AC32" s="1536">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11"/>
      <c r="Q33" s="1535">
        <f t="shared" si="8"/>
        <v>111</v>
      </c>
      <c r="R33" s="717" t="s">
        <v>17</v>
      </c>
      <c r="S33" s="718">
        <f t="shared" si="10"/>
        <v>100</v>
      </c>
      <c r="T33" s="717" t="s">
        <v>17</v>
      </c>
      <c r="U33" s="718">
        <f t="shared" si="11"/>
        <v>100</v>
      </c>
      <c r="V33" s="717" t="s">
        <v>17</v>
      </c>
      <c r="W33" s="718">
        <f t="shared" si="12"/>
        <v>100</v>
      </c>
      <c r="X33" s="719"/>
      <c r="Y33" s="3311"/>
      <c r="Z33" s="720">
        <f t="shared" si="13"/>
        <v>111</v>
      </c>
      <c r="AA33" s="1536">
        <f t="shared" si="3"/>
        <v>1</v>
      </c>
      <c r="AB33" s="1536">
        <f t="shared" si="4"/>
        <v>1</v>
      </c>
      <c r="AC33" s="1536">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11"/>
      <c r="Q34" s="1535" t="str">
        <f>B34</f>
        <v>宗地面积</v>
      </c>
      <c r="R34" s="714" t="s">
        <v>17</v>
      </c>
      <c r="S34" s="715" t="e">
        <f t="shared" si="10"/>
        <v>#N/A</v>
      </c>
      <c r="T34" s="714" t="s">
        <v>17</v>
      </c>
      <c r="U34" s="715" t="e">
        <f t="shared" si="11"/>
        <v>#N/A</v>
      </c>
      <c r="V34" s="714" t="s">
        <v>17</v>
      </c>
      <c r="W34" s="715" t="e">
        <f t="shared" si="12"/>
        <v>#N/A</v>
      </c>
      <c r="X34" s="1538"/>
      <c r="Y34" s="3311"/>
      <c r="Z34" s="1539" t="str">
        <f t="shared" si="13"/>
        <v>宗地面积</v>
      </c>
      <c r="AA34" s="1536" t="e">
        <f t="shared" si="3"/>
        <v>#N/A</v>
      </c>
      <c r="AB34" s="1536" t="e">
        <f t="shared" si="4"/>
        <v>#N/A</v>
      </c>
      <c r="AC34" s="1536" t="e">
        <f t="shared" si="5"/>
        <v>#N/A</v>
      </c>
    </row>
    <row r="35" spans="1:31" ht="15">
      <c r="A35" s="431"/>
      <c r="B35" s="381" t="s">
        <v>2573</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311"/>
      <c r="Q35" s="1535" t="str">
        <f t="shared" ref="Q35:Q40" si="14">B35</f>
        <v>宗地形状</v>
      </c>
      <c r="R35" s="714" t="s">
        <v>17</v>
      </c>
      <c r="S35" s="715">
        <f t="shared" si="10"/>
        <v>100</v>
      </c>
      <c r="T35" s="714" t="s">
        <v>17</v>
      </c>
      <c r="U35" s="715">
        <f t="shared" si="11"/>
        <v>100</v>
      </c>
      <c r="V35" s="714" t="s">
        <v>17</v>
      </c>
      <c r="W35" s="715">
        <f t="shared" si="12"/>
        <v>100</v>
      </c>
      <c r="X35" s="1538"/>
      <c r="Y35" s="3311"/>
      <c r="Z35" s="1539" t="str">
        <f t="shared" si="13"/>
        <v>宗地形状</v>
      </c>
      <c r="AA35" s="1536">
        <f t="shared" si="3"/>
        <v>1</v>
      </c>
      <c r="AB35" s="1536">
        <f t="shared" si="4"/>
        <v>1</v>
      </c>
      <c r="AC35" s="1536">
        <f t="shared" si="5"/>
        <v>1</v>
      </c>
    </row>
    <row r="36" spans="1:31" s="113" customFormat="1" ht="15">
      <c r="A36" s="432"/>
      <c r="B36" s="381" t="s">
        <v>2575</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311"/>
      <c r="Q36" s="1535" t="str">
        <f t="shared" si="14"/>
        <v>宗地开发程度</v>
      </c>
      <c r="R36" s="710" t="s">
        <v>17</v>
      </c>
      <c r="S36" s="711">
        <f t="shared" si="10"/>
        <v>100</v>
      </c>
      <c r="T36" s="710" t="s">
        <v>17</v>
      </c>
      <c r="U36" s="711">
        <f t="shared" si="11"/>
        <v>100</v>
      </c>
      <c r="V36" s="710" t="s">
        <v>17</v>
      </c>
      <c r="W36" s="711">
        <f t="shared" si="12"/>
        <v>100</v>
      </c>
      <c r="X36" s="712"/>
      <c r="Y36" s="3311"/>
      <c r="Z36" s="55" t="str">
        <f t="shared" si="13"/>
        <v>宗地开发程度</v>
      </c>
      <c r="AA36" s="713">
        <f t="shared" si="3"/>
        <v>1</v>
      </c>
      <c r="AB36" s="713">
        <f t="shared" si="4"/>
        <v>1</v>
      </c>
      <c r="AC36" s="713">
        <f t="shared" si="5"/>
        <v>1</v>
      </c>
    </row>
    <row r="37" spans="1:31" ht="15">
      <c r="A37" s="431"/>
      <c r="B37" s="381" t="s">
        <v>2576</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311" t="s">
        <v>2386</v>
      </c>
      <c r="Q37" s="1535" t="str">
        <f t="shared" si="14"/>
        <v>工程地质条件</v>
      </c>
      <c r="R37" s="714" t="s">
        <v>17</v>
      </c>
      <c r="S37" s="715">
        <f t="shared" si="10"/>
        <v>100</v>
      </c>
      <c r="T37" s="714" t="s">
        <v>17</v>
      </c>
      <c r="U37" s="715">
        <f t="shared" si="11"/>
        <v>100</v>
      </c>
      <c r="V37" s="714" t="s">
        <v>17</v>
      </c>
      <c r="W37" s="715">
        <f t="shared" si="12"/>
        <v>100</v>
      </c>
      <c r="X37" s="1538"/>
      <c r="Y37" s="3311" t="s">
        <v>2386</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11"/>
      <c r="Q38" s="1535">
        <f t="shared" si="14"/>
        <v>111</v>
      </c>
      <c r="R38" s="714" t="s">
        <v>17</v>
      </c>
      <c r="S38" s="715">
        <f t="shared" si="10"/>
        <v>100</v>
      </c>
      <c r="T38" s="714" t="s">
        <v>17</v>
      </c>
      <c r="U38" s="715">
        <f t="shared" si="11"/>
        <v>100</v>
      </c>
      <c r="V38" s="714" t="s">
        <v>17</v>
      </c>
      <c r="W38" s="715">
        <f t="shared" si="12"/>
        <v>100</v>
      </c>
      <c r="X38" s="1538"/>
      <c r="Y38" s="3311"/>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11"/>
      <c r="Q39" s="1535">
        <f t="shared" si="14"/>
        <v>111</v>
      </c>
      <c r="R39" s="714" t="s">
        <v>17</v>
      </c>
      <c r="S39" s="715">
        <f t="shared" si="10"/>
        <v>100</v>
      </c>
      <c r="T39" s="714" t="s">
        <v>17</v>
      </c>
      <c r="U39" s="715">
        <f t="shared" si="11"/>
        <v>100</v>
      </c>
      <c r="V39" s="714" t="s">
        <v>17</v>
      </c>
      <c r="W39" s="715">
        <f t="shared" si="12"/>
        <v>100</v>
      </c>
      <c r="X39" s="1538"/>
      <c r="Y39" s="3311"/>
      <c r="Z39" s="1539">
        <f t="shared" si="13"/>
        <v>111</v>
      </c>
      <c r="AA39" s="1536">
        <f t="shared" si="3"/>
        <v>1</v>
      </c>
      <c r="AB39" s="1536">
        <f t="shared" si="4"/>
        <v>1</v>
      </c>
      <c r="AC39" s="1536">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11"/>
      <c r="Q40" s="1535">
        <f t="shared" si="14"/>
        <v>111</v>
      </c>
      <c r="R40" s="717" t="s">
        <v>17</v>
      </c>
      <c r="S40" s="718">
        <f t="shared" si="10"/>
        <v>100</v>
      </c>
      <c r="T40" s="717" t="s">
        <v>17</v>
      </c>
      <c r="U40" s="718">
        <f t="shared" si="11"/>
        <v>100</v>
      </c>
      <c r="V40" s="717" t="s">
        <v>17</v>
      </c>
      <c r="W40" s="718">
        <f t="shared" si="12"/>
        <v>100</v>
      </c>
      <c r="X40" s="719"/>
      <c r="Y40" s="3311"/>
      <c r="Z40" s="720">
        <f t="shared" si="13"/>
        <v>111</v>
      </c>
      <c r="AA40" s="1536">
        <f t="shared" si="3"/>
        <v>1</v>
      </c>
      <c r="AB40" s="1536">
        <f t="shared" si="4"/>
        <v>1</v>
      </c>
      <c r="AC40" s="1536">
        <f t="shared" si="5"/>
        <v>1</v>
      </c>
    </row>
    <row r="41" spans="1:31" ht="15">
      <c r="A41" s="438" t="s">
        <v>2541</v>
      </c>
      <c r="B41" s="2167" t="s">
        <v>2620</v>
      </c>
      <c r="C41" s="638" t="s">
        <v>1</v>
      </c>
      <c r="D41" s="440"/>
      <c r="E41" s="441"/>
      <c r="F41" s="442"/>
      <c r="G41" s="443"/>
      <c r="H41" s="444"/>
      <c r="I41" s="441"/>
      <c r="J41" s="444"/>
      <c r="K41" s="723"/>
      <c r="L41" s="2952"/>
      <c r="M41" s="2944"/>
      <c r="N41" s="2944"/>
      <c r="O41" s="2953"/>
      <c r="P41" s="3306" t="str">
        <f>A41</f>
        <v>成交单价</v>
      </c>
      <c r="Q41" s="3306"/>
      <c r="R41" s="3312">
        <f>E41</f>
        <v>0</v>
      </c>
      <c r="S41" s="3312"/>
      <c r="T41" s="3312">
        <f>G41</f>
        <v>0</v>
      </c>
      <c r="U41" s="3312"/>
      <c r="V41" s="3312">
        <f>I41</f>
        <v>0</v>
      </c>
      <c r="W41" s="3312"/>
      <c r="X41" s="699"/>
      <c r="Y41" s="721"/>
      <c r="Z41" s="699"/>
      <c r="AA41" s="699"/>
      <c r="AB41" s="699"/>
      <c r="AC41" s="699"/>
    </row>
    <row r="42" spans="1:31" ht="15.75" thickBot="1">
      <c r="A42" s="445" t="s">
        <v>2490</v>
      </c>
      <c r="B42" s="639"/>
      <c r="C42" s="448" t="e">
        <f>R43</f>
        <v>#DIV/0!</v>
      </c>
      <c r="D42" s="2537" t="s">
        <v>2880</v>
      </c>
      <c r="E42" s="448" t="e">
        <f>R42</f>
        <v>#DIV/0!</v>
      </c>
      <c r="F42" s="2538"/>
      <c r="G42" s="447" t="e">
        <f>T42</f>
        <v>#DIV/0!</v>
      </c>
      <c r="H42" s="2538"/>
      <c r="I42" s="448" t="e">
        <f>V42</f>
        <v>#DIV/0!</v>
      </c>
      <c r="J42" s="2538"/>
      <c r="K42" s="2540">
        <f>F42+H42+J42</f>
        <v>0</v>
      </c>
      <c r="L42" s="2952"/>
      <c r="M42" s="2944"/>
      <c r="N42" s="2944"/>
      <c r="O42" s="2953"/>
      <c r="P42" s="3306" t="str">
        <f>A42</f>
        <v>比较价值（元/平方米）</v>
      </c>
      <c r="Q42" s="3306"/>
      <c r="R42" s="3299" t="e">
        <f>ROUND(PRODUCT(R41,AA7:AA40),0)</f>
        <v>#DIV/0!</v>
      </c>
      <c r="S42" s="3299"/>
      <c r="T42" s="3299" t="e">
        <f>ROUND(PRODUCT(T41,AB7:AB40),0)</f>
        <v>#DIV/0!</v>
      </c>
      <c r="U42" s="3299"/>
      <c r="V42" s="3299" t="e">
        <f>ROUND(PRODUCT(V41,AC7:AC40),0)</f>
        <v>#DIV/0!</v>
      </c>
      <c r="W42" s="3299"/>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300" t="str">
        <f>A43</f>
        <v>估价对象XX用房的比较价值（楼面单价，元/平方米）</v>
      </c>
      <c r="Q43" s="3301"/>
      <c r="R43" s="3302" t="e">
        <f>ROUND(IF(D42="简单平均",AVERAGE(R42:W42),R42*F42+T42*H42+V42*J42),0)</f>
        <v>#DIV/0!</v>
      </c>
      <c r="S43" s="3302"/>
      <c r="T43" s="3302"/>
      <c r="U43" s="3302"/>
      <c r="V43" s="3302"/>
      <c r="W43" s="3302"/>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2578</v>
      </c>
      <c r="B50" s="641" t="s">
        <v>2579</v>
      </c>
      <c r="C50" s="2168" t="s">
        <v>2580</v>
      </c>
      <c r="D50" s="2169" t="s">
        <v>2581</v>
      </c>
      <c r="E50" s="642" t="s">
        <v>2582</v>
      </c>
      <c r="F50" s="643" t="s">
        <v>2583</v>
      </c>
      <c r="G50" s="3303" t="s">
        <v>2584</v>
      </c>
      <c r="H50" s="3304"/>
      <c r="I50" s="1539" t="s">
        <v>2621</v>
      </c>
      <c r="J50" s="1539">
        <f>项目基本情况!F35</f>
        <v>0</v>
      </c>
      <c r="K50" s="2171" t="s">
        <v>2586</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2587</v>
      </c>
      <c r="B51" s="645" t="e">
        <f>C43</f>
        <v>#DIV/0!</v>
      </c>
      <c r="C51" s="646">
        <v>1</v>
      </c>
      <c r="D51" s="1075">
        <v>1</v>
      </c>
      <c r="E51" s="646">
        <f>'数据-汇总表'!E8+'数据-汇总表'!E9</f>
        <v>58794.39</v>
      </c>
      <c r="F51" s="647" t="e">
        <f t="shared" ref="F51:F60" si="15">ROUND(B51*E51/10000,0)</f>
        <v>#DIV/0!</v>
      </c>
      <c r="G51" s="3305"/>
      <c r="H51" s="3306"/>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2588</v>
      </c>
      <c r="B52" s="224" t="e">
        <f>ROUND($C$43*C52*D52,0)</f>
        <v>#DIV/0!</v>
      </c>
      <c r="C52" s="176">
        <f t="shared" ref="C52:C60" si="16">IF($C$50="北京市系数",I52,J52)</f>
        <v>0</v>
      </c>
      <c r="D52" s="1076">
        <v>0.25</v>
      </c>
      <c r="E52" s="650"/>
      <c r="F52" s="647" t="e">
        <f t="shared" si="15"/>
        <v>#DIV/0!</v>
      </c>
      <c r="G52" s="3307" t="s">
        <v>2589</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2590</v>
      </c>
      <c r="B53" s="224" t="e">
        <f t="shared" ref="B53:B60" si="17">ROUND($C$43*C53*D53,0)</f>
        <v>#DIV/0!</v>
      </c>
      <c r="C53" s="176">
        <f t="shared" si="16"/>
        <v>0</v>
      </c>
      <c r="D53" s="1076">
        <v>0.25</v>
      </c>
      <c r="E53" s="650"/>
      <c r="F53" s="647" t="e">
        <f t="shared" si="15"/>
        <v>#DIV/0!</v>
      </c>
      <c r="G53" s="3307"/>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2591</v>
      </c>
      <c r="B54" s="224" t="e">
        <f t="shared" si="17"/>
        <v>#DIV/0!</v>
      </c>
      <c r="C54" s="176">
        <f t="shared" si="16"/>
        <v>0</v>
      </c>
      <c r="D54" s="1076">
        <v>0.25</v>
      </c>
      <c r="E54" s="650"/>
      <c r="F54" s="647" t="e">
        <f t="shared" si="15"/>
        <v>#DIV/0!</v>
      </c>
      <c r="G54" s="3307"/>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2592</v>
      </c>
      <c r="B55" s="224" t="e">
        <f t="shared" si="17"/>
        <v>#DIV/0!</v>
      </c>
      <c r="C55" s="176">
        <f t="shared" si="16"/>
        <v>0</v>
      </c>
      <c r="D55" s="1076">
        <v>0.25</v>
      </c>
      <c r="E55" s="650"/>
      <c r="F55" s="647" t="e">
        <f t="shared" si="15"/>
        <v>#DIV/0!</v>
      </c>
      <c r="G55" s="3307"/>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2593</v>
      </c>
      <c r="B56" s="224" t="e">
        <f t="shared" si="17"/>
        <v>#DIV/0!</v>
      </c>
      <c r="C56" s="176">
        <f t="shared" si="16"/>
        <v>0</v>
      </c>
      <c r="D56" s="1076">
        <v>0.25</v>
      </c>
      <c r="E56" s="223">
        <f>'数据-汇总表'!E11</f>
        <v>0</v>
      </c>
      <c r="F56" s="647" t="e">
        <f t="shared" si="15"/>
        <v>#DIV/0!</v>
      </c>
      <c r="G56" s="2172" t="s">
        <v>2594</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2599</v>
      </c>
      <c r="B59" s="224" t="e">
        <f t="shared" si="17"/>
        <v>#DIV/0!</v>
      </c>
      <c r="C59" s="176">
        <f t="shared" si="16"/>
        <v>0</v>
      </c>
      <c r="D59" s="1076">
        <v>0.25</v>
      </c>
      <c r="E59" s="223">
        <f>'数据-汇总表'!E14</f>
        <v>0</v>
      </c>
      <c r="F59" s="647" t="e">
        <f t="shared" si="15"/>
        <v>#DIV/0!</v>
      </c>
      <c r="G59" s="2172" t="s">
        <v>2589</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2600</v>
      </c>
      <c r="B60" s="224" t="e">
        <f t="shared" si="17"/>
        <v>#DIV/0!</v>
      </c>
      <c r="C60" s="176">
        <f t="shared" si="16"/>
        <v>0</v>
      </c>
      <c r="D60" s="1076">
        <v>0.25</v>
      </c>
      <c r="E60" s="223">
        <f>'数据-汇总表'!E15</f>
        <v>0</v>
      </c>
      <c r="F60" s="647" t="e">
        <f t="shared" si="15"/>
        <v>#DIV/0!</v>
      </c>
      <c r="G60" s="2173" t="s">
        <v>2594</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2601</v>
      </c>
      <c r="B61" s="652" t="s">
        <v>28</v>
      </c>
      <c r="C61" s="652" t="s">
        <v>29</v>
      </c>
      <c r="D61" s="652" t="s">
        <v>997</v>
      </c>
      <c r="E61" s="652">
        <f>IF(B41="楼面地价",SUM(E51:E60),'数据-汇总表'!D3)</f>
        <v>133089</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2602</v>
      </c>
      <c r="B65" s="1269"/>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2622</v>
      </c>
      <c r="B66" s="294" t="str">
        <f>"北京市平均增长率"&amp;TEXT(基准地价修正!P24,"0.00%")</f>
        <v>北京市平均增长率1.22%</v>
      </c>
      <c r="C66" s="560">
        <v>100</v>
      </c>
      <c r="D66" s="552"/>
      <c r="E66" s="552"/>
      <c r="F66" s="552"/>
      <c r="G66" s="552"/>
      <c r="H66" s="552"/>
      <c r="I66" s="552"/>
      <c r="J66" s="552"/>
      <c r="K66" s="552"/>
      <c r="L66" s="552"/>
      <c r="M66" s="1339"/>
      <c r="N66" s="1339"/>
      <c r="O66" s="1341"/>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2605</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2606</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2623</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2612</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2614</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2615</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0</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4" t="s">
        <v>2633</v>
      </c>
      <c r="D2" s="2185" t="s">
        <v>2634</v>
      </c>
      <c r="E2" s="2186"/>
      <c r="F2" s="2185" t="s">
        <v>2635</v>
      </c>
      <c r="G2" s="2187">
        <f>IF(E2="商业",项目基本情况!B37,IF(E2="办公",项目基本情况!C37,IF(E2="住宅",项目基本情况!D37,项目基本情况!E37)))</f>
        <v>0</v>
      </c>
      <c r="H2" s="2185" t="s">
        <v>2636</v>
      </c>
      <c r="I2" s="2187">
        <f>IF(E2="商业",项目基本情况!B38,IF(E2="办公",项目基本情况!C38,IF(E2="住宅",项目基本情况!D38,项目基本情况!E38)))</f>
        <v>0</v>
      </c>
      <c r="J2" s="2188"/>
      <c r="K2" s="1280"/>
      <c r="L2" s="2189" t="s">
        <v>2637</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4" t="s">
        <v>2639</v>
      </c>
      <c r="D3" s="2185" t="s">
        <v>2640</v>
      </c>
      <c r="E3" s="2190"/>
      <c r="F3" s="2191" t="s">
        <v>2641</v>
      </c>
      <c r="G3" s="855">
        <f>IF(F3="宗地容积率",'数据-汇总表'!I4,IF(F3="估价对象容积率",'数据-汇总表'!I6,'数据-汇总表'!I7))</f>
        <v>0.44</v>
      </c>
      <c r="H3" s="175" t="s">
        <v>2642</v>
      </c>
      <c r="I3" s="881"/>
      <c r="J3" s="2188" t="s">
        <v>2643</v>
      </c>
      <c r="K3" s="1280"/>
      <c r="L3" s="2189" t="s">
        <v>2644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401"/>
      <c r="B4" s="3402"/>
      <c r="C4" s="3402"/>
      <c r="D4" s="3403"/>
      <c r="E4" s="3403"/>
      <c r="F4" s="3403"/>
      <c r="G4" s="3403"/>
      <c r="H4" s="3403"/>
      <c r="I4" s="3403"/>
      <c r="J4" s="3404"/>
      <c r="K4" s="1280"/>
      <c r="L4" s="2189" t="s">
        <v>2645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2646</v>
      </c>
      <c r="C5" s="856" t="e">
        <f>ROUND(IF(E2="商业",C6*C7+C16,(IF(E2="住宅",C6*C12+C16,C6+C16))),0)</f>
        <v>#DIV/0!</v>
      </c>
      <c r="D5" s="1522" t="e">
        <f>ROUND(C6+C16,0)</f>
        <v>#DIV/0!</v>
      </c>
      <c r="E5" s="1522"/>
      <c r="F5" s="2194"/>
      <c r="G5" s="2195"/>
      <c r="H5" s="2195"/>
      <c r="I5" s="2195"/>
      <c r="J5" s="2196"/>
      <c r="K5" s="2197"/>
      <c r="L5" s="2189" t="s">
        <v>2647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8"/>
      <c r="AD5" s="2199"/>
      <c r="AE5" s="2199"/>
      <c r="AF5" s="2199"/>
      <c r="AG5" s="2199"/>
      <c r="AH5" s="2199"/>
      <c r="AI5" s="2199"/>
      <c r="AJ5" s="2200"/>
    </row>
    <row r="6" spans="1:36" ht="15.75" thickBot="1">
      <c r="A6" s="2202" t="s">
        <v>2648</v>
      </c>
      <c r="B6" s="2203" t="s">
        <v>2649</v>
      </c>
      <c r="C6" s="857">
        <f>SUMIF(L1:L12,G2,M1:M12)</f>
        <v>0</v>
      </c>
      <c r="D6" s="2204" t="s">
        <v>2650</v>
      </c>
      <c r="E6" s="2205"/>
      <c r="F6" s="2205"/>
      <c r="G6" s="2206"/>
      <c r="H6" s="2206"/>
      <c r="I6" s="2206"/>
      <c r="J6" s="2207"/>
      <c r="K6" s="1567"/>
      <c r="L6" s="2189" t="s">
        <v>2651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8"/>
      <c r="AD6" s="2199"/>
      <c r="AE6" s="2199"/>
      <c r="AF6" s="2199"/>
      <c r="AG6" s="2199"/>
      <c r="AH6" s="2199"/>
      <c r="AI6" s="2199"/>
      <c r="AJ6" s="2200"/>
    </row>
    <row r="7" spans="1:36" ht="24">
      <c r="A7" s="3405" t="str">
        <f>IF(E2="商业",IF(C8="不临58条商业街","",2),"")</f>
        <v/>
      </c>
      <c r="B7" s="2208" t="s">
        <v>2652</v>
      </c>
      <c r="C7" s="858" t="e">
        <f>IF(C8="不临58条商业街",1,ROUND(1+(1.6*E8+1.2*E9+0.8*E10+0.4*E11)*C9,4))</f>
        <v>#DIV/0!</v>
      </c>
      <c r="D7" s="2209" t="s">
        <v>2653</v>
      </c>
      <c r="E7" s="882"/>
      <c r="F7" s="2210"/>
      <c r="G7" s="2211"/>
      <c r="H7" s="2211"/>
      <c r="I7" s="2211"/>
      <c r="J7" s="2212"/>
      <c r="K7" s="1567"/>
      <c r="L7" s="2189" t="s">
        <v>2654</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2655</v>
      </c>
      <c r="X7" s="1375">
        <f>G2</f>
        <v>0</v>
      </c>
      <c r="Y7" s="1375" t="s">
        <v>2656</v>
      </c>
      <c r="Z7" s="1376">
        <f>G3</f>
        <v>0.44</v>
      </c>
      <c r="AA7" s="1377"/>
      <c r="AB7" s="1377"/>
      <c r="AC7" s="1378"/>
      <c r="AD7" s="1379"/>
      <c r="AE7" s="1379"/>
      <c r="AF7" s="1379"/>
      <c r="AG7" s="1379"/>
      <c r="AH7" s="1379"/>
      <c r="AI7" s="1379"/>
      <c r="AJ7" s="1380"/>
    </row>
    <row r="8" spans="1:36" ht="15">
      <c r="A8" s="3406"/>
      <c r="B8" s="175" t="s">
        <v>2657</v>
      </c>
      <c r="C8" s="2213"/>
      <c r="D8" s="859" t="s">
        <v>139</v>
      </c>
      <c r="E8" s="860" t="e">
        <f>ROUND(C11/E7,4)</f>
        <v>#DIV/0!</v>
      </c>
      <c r="F8" s="2214" t="s">
        <v>2658</v>
      </c>
      <c r="G8" s="2215"/>
      <c r="H8" s="2215"/>
      <c r="I8" s="2215"/>
      <c r="J8" s="2216"/>
      <c r="K8" s="1280"/>
      <c r="L8" s="2189" t="s">
        <v>2659</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98" t="s">
        <v>2660</v>
      </c>
      <c r="X8" s="3399"/>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406"/>
      <c r="B9" s="175" t="s">
        <v>2673</v>
      </c>
      <c r="C9" s="861">
        <f>SUMIF(修正!C59:C119,C8,修正!E59:E119)</f>
        <v>0</v>
      </c>
      <c r="D9" s="176" t="s">
        <v>140</v>
      </c>
      <c r="E9" s="176" t="e">
        <f>ROUND(C11/E7,4)</f>
        <v>#DIV/0!</v>
      </c>
      <c r="F9" s="2214" t="s">
        <v>2674</v>
      </c>
      <c r="G9" s="2215"/>
      <c r="H9" s="2215"/>
      <c r="I9" s="2215"/>
      <c r="J9" s="2216"/>
      <c r="K9" s="1280"/>
      <c r="L9" s="2189" t="s">
        <v>2675</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400"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06"/>
      <c r="B10" s="175" t="s">
        <v>2678</v>
      </c>
      <c r="C10" s="176">
        <f>SUMIF(修正!C59:C119,C8,修正!F59:F119)</f>
        <v>0</v>
      </c>
      <c r="D10" s="176" t="s">
        <v>141</v>
      </c>
      <c r="E10" s="176" t="e">
        <f>ROUND(C11/E7,4)</f>
        <v>#DIV/0!</v>
      </c>
      <c r="F10" s="2214" t="s">
        <v>2679</v>
      </c>
      <c r="G10" s="2215"/>
      <c r="H10" s="2215"/>
      <c r="I10" s="2215"/>
      <c r="J10" s="2216"/>
      <c r="K10" s="1280"/>
      <c r="L10" s="2189" t="s">
        <v>2680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400"/>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06"/>
      <c r="B11" s="2217" t="s">
        <v>2681</v>
      </c>
      <c r="C11" s="862">
        <f>C10/4</f>
        <v>0</v>
      </c>
      <c r="D11" s="862" t="s">
        <v>142</v>
      </c>
      <c r="E11" s="862" t="e">
        <f>ROUND(C11/E7,4)</f>
        <v>#DIV/0!</v>
      </c>
      <c r="F11" s="2218" t="s">
        <v>2682</v>
      </c>
      <c r="G11" s="2219"/>
      <c r="H11" s="2219"/>
      <c r="I11" s="2219"/>
      <c r="J11" s="2220"/>
      <c r="K11" s="1280"/>
      <c r="L11" s="2189" t="s">
        <v>2683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400" t="s">
        <v>2684</v>
      </c>
      <c r="X11" s="1385" t="s">
        <v>2685</v>
      </c>
      <c r="Y11" s="1386">
        <f>$G$3</f>
        <v>0.44</v>
      </c>
      <c r="Z11" s="1386">
        <f t="shared" ref="Z11:AJ11" si="3">$G$3</f>
        <v>0.44</v>
      </c>
      <c r="AA11" s="1386">
        <f t="shared" si="3"/>
        <v>0.44</v>
      </c>
      <c r="AB11" s="1386">
        <f t="shared" si="3"/>
        <v>0.44</v>
      </c>
      <c r="AC11" s="1386">
        <f t="shared" si="3"/>
        <v>0.44</v>
      </c>
      <c r="AD11" s="1386">
        <f t="shared" si="3"/>
        <v>0.44</v>
      </c>
      <c r="AE11" s="1386">
        <f t="shared" si="3"/>
        <v>0.44</v>
      </c>
      <c r="AF11" s="1386">
        <f t="shared" si="3"/>
        <v>0.44</v>
      </c>
      <c r="AG11" s="1386">
        <f t="shared" si="3"/>
        <v>0.44</v>
      </c>
      <c r="AH11" s="1386">
        <f t="shared" si="3"/>
        <v>0.44</v>
      </c>
      <c r="AI11" s="1386">
        <f t="shared" si="3"/>
        <v>0.44</v>
      </c>
      <c r="AJ11" s="1386">
        <f t="shared" si="3"/>
        <v>0.44</v>
      </c>
    </row>
    <row r="12" spans="1:36" ht="25.5" thickBot="1">
      <c r="A12" s="3405" t="s">
        <v>2686</v>
      </c>
      <c r="B12" s="2221" t="s">
        <v>2687</v>
      </c>
      <c r="C12" s="858">
        <f>ROUND(C15*D15*E15*F15*G15*H15*I15*J15,4)</f>
        <v>1</v>
      </c>
      <c r="D12" s="2222" t="s">
        <v>2688</v>
      </c>
      <c r="E12" s="2223"/>
      <c r="F12" s="2223"/>
      <c r="G12" s="2224"/>
      <c r="H12" s="2224"/>
      <c r="I12" s="2224"/>
      <c r="J12" s="2225"/>
      <c r="K12" s="1280"/>
      <c r="L12" s="2226" t="s">
        <v>2689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400"/>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07"/>
      <c r="B13" s="2227" t="s">
        <v>2691</v>
      </c>
      <c r="C13" s="2228" t="s">
        <v>2692</v>
      </c>
      <c r="D13" s="1533" t="s">
        <v>2693</v>
      </c>
      <c r="E13" s="1533" t="s">
        <v>2694</v>
      </c>
      <c r="F13" s="30" t="s">
        <v>2695</v>
      </c>
      <c r="G13" s="2229" t="s">
        <v>2696</v>
      </c>
      <c r="H13" s="2229" t="s">
        <v>2696</v>
      </c>
      <c r="I13" s="2229" t="s">
        <v>2696</v>
      </c>
      <c r="J13" s="2230" t="s">
        <v>2696</v>
      </c>
      <c r="K13" s="1280"/>
      <c r="L13" s="1280"/>
      <c r="M13" s="1280"/>
      <c r="N13" s="1280"/>
      <c r="O13" s="1280"/>
      <c r="P13" s="1280"/>
      <c r="Q13" s="1280"/>
      <c r="R13" s="1373">
        <v>12</v>
      </c>
      <c r="S13" s="1374"/>
      <c r="T13" s="1373" t="e">
        <f t="shared" si="0"/>
        <v>#DIV/0!</v>
      </c>
      <c r="U13" s="1374"/>
      <c r="V13" s="1373" t="e">
        <f t="shared" si="1"/>
        <v>#DIV/0!</v>
      </c>
      <c r="W13" s="3400"/>
      <c r="X13" s="1387"/>
      <c r="Y13" s="1384">
        <f>(-0.163*(Y12^2)-0.59*Y12+7617)*(10^(-4))/Y11</f>
        <v>1.7311363636363637</v>
      </c>
      <c r="Z13" s="1384">
        <f t="shared" ref="Z13:AJ13" si="5">(-0.163*(Z12^2)-0.59*Z12+7617)*(10^(-4))/Z11</f>
        <v>1.7311363636363637</v>
      </c>
      <c r="AA13" s="1384">
        <f t="shared" si="5"/>
        <v>1.7311363636363637</v>
      </c>
      <c r="AB13" s="1384">
        <f t="shared" si="5"/>
        <v>1.7311363636363637</v>
      </c>
      <c r="AC13" s="1384">
        <f t="shared" si="5"/>
        <v>1.7311363636363637</v>
      </c>
      <c r="AD13" s="1384">
        <f t="shared" si="5"/>
        <v>1.7311363636363637</v>
      </c>
      <c r="AE13" s="1384">
        <f t="shared" si="5"/>
        <v>1.7311363636363637</v>
      </c>
      <c r="AF13" s="1384">
        <f t="shared" si="5"/>
        <v>1.7311363636363637</v>
      </c>
      <c r="AG13" s="1384">
        <f t="shared" si="5"/>
        <v>1.7311363636363637</v>
      </c>
      <c r="AH13" s="1384">
        <f t="shared" si="5"/>
        <v>1.7311363636363637</v>
      </c>
      <c r="AI13" s="1384">
        <f t="shared" si="5"/>
        <v>1.7311363636363637</v>
      </c>
      <c r="AJ13" s="1384">
        <f t="shared" si="5"/>
        <v>1.7311363636363637</v>
      </c>
    </row>
    <row r="14" spans="1:36" ht="15">
      <c r="A14" s="3407"/>
      <c r="B14" s="2231"/>
      <c r="C14" s="2232"/>
      <c r="D14" s="2233"/>
      <c r="E14" s="2233"/>
      <c r="F14" s="2234"/>
      <c r="G14" s="2235" t="s">
        <v>2697</v>
      </c>
      <c r="H14" s="2236"/>
      <c r="I14" s="2237"/>
      <c r="J14" s="2238"/>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9"/>
      <c r="AE14" s="3019"/>
      <c r="AF14" s="3019"/>
      <c r="AG14" s="3019"/>
      <c r="AH14" s="3019"/>
      <c r="AI14" s="3019"/>
      <c r="AJ14" s="3020"/>
    </row>
    <row r="15" spans="1:36" ht="15.75" thickBot="1">
      <c r="A15" s="3408"/>
      <c r="B15" s="2239" t="s">
        <v>2698</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3">
        <v>14</v>
      </c>
      <c r="S15" s="1374"/>
      <c r="T15" s="1373" t="e">
        <f t="shared" si="0"/>
        <v>#DIV/0!</v>
      </c>
      <c r="U15" s="1374"/>
      <c r="V15" s="1373" t="e">
        <f t="shared" si="1"/>
        <v>#DIV/0!</v>
      </c>
      <c r="W15" s="1377"/>
      <c r="X15" s="1377"/>
      <c r="Y15" s="1377"/>
      <c r="Z15" s="1377"/>
      <c r="AA15" s="1377"/>
      <c r="AB15" s="1377"/>
      <c r="AC15" s="1378"/>
      <c r="AD15" s="3019"/>
      <c r="AE15" s="3019"/>
      <c r="AF15" s="3019"/>
      <c r="AG15" s="3019"/>
      <c r="AH15" s="3019"/>
      <c r="AI15" s="3019"/>
      <c r="AJ15" s="3020"/>
    </row>
    <row r="16" spans="1:36" ht="24.6" customHeight="1">
      <c r="A16" s="3405" t="s">
        <v>2703</v>
      </c>
      <c r="B16" s="2208" t="s">
        <v>2704</v>
      </c>
      <c r="C16" s="2370" t="e">
        <f>ROUND(IF(F17="与级别开发程度一致",0,(G17-E17)/C17),0)</f>
        <v>#DIV/0!</v>
      </c>
      <c r="D16" s="3421" t="s">
        <v>2708</v>
      </c>
      <c r="E16" s="3422"/>
      <c r="F16" s="3421" t="s">
        <v>2705</v>
      </c>
      <c r="G16" s="3422"/>
      <c r="H16" s="2240"/>
      <c r="I16" s="2240"/>
      <c r="J16" s="2374"/>
      <c r="K16" s="2240"/>
      <c r="L16" s="2240"/>
      <c r="M16" s="2240"/>
      <c r="N16" s="2240"/>
      <c r="O16" s="2241"/>
      <c r="P16" s="2182"/>
      <c r="Q16" s="1280"/>
      <c r="R16" s="1373">
        <v>15</v>
      </c>
      <c r="S16" s="1374"/>
      <c r="T16" s="1373" t="e">
        <f t="shared" si="0"/>
        <v>#DIV/0!</v>
      </c>
      <c r="U16" s="1374"/>
      <c r="V16" s="1373" t="e">
        <f t="shared" si="1"/>
        <v>#DIV/0!</v>
      </c>
      <c r="W16" s="1377"/>
      <c r="X16" s="1377"/>
      <c r="Y16" s="1377"/>
      <c r="Z16" s="1377"/>
      <c r="AA16" s="1377"/>
      <c r="AB16" s="1377"/>
      <c r="AC16" s="1378"/>
      <c r="AD16" s="3019"/>
      <c r="AE16" s="3019"/>
      <c r="AF16" s="3019"/>
      <c r="AG16" s="3019"/>
      <c r="AH16" s="3019"/>
      <c r="AI16" s="3019"/>
      <c r="AJ16" s="3020"/>
    </row>
    <row r="17" spans="1:37" ht="13.5" thickBot="1">
      <c r="A17" s="3409"/>
      <c r="B17" s="2381" t="s">
        <v>2707</v>
      </c>
      <c r="C17" s="2382">
        <f>SUMPRODUCT((修正!A2:A5=E2)*(修正!B1:M1=G2)*(修正!B2:M5))</f>
        <v>0</v>
      </c>
      <c r="D17" s="193"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2710</v>
      </c>
      <c r="C18" s="2377">
        <f>SUMIF(修正!C18:C39,E3,修正!E18:E39)</f>
        <v>0</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7.75" thickBot="1">
      <c r="A19" s="2245" t="s">
        <v>809</v>
      </c>
      <c r="B19" s="2246" t="s">
        <v>2711</v>
      </c>
      <c r="C19" s="863" t="e">
        <f>ROUND(IF(H19="按公示增长率计算",SUMPRODUCT((地价!A3:A36=YEAR(G19)&amp;"-"&amp;ROUNDUP(MONTH(G19)/3,0))*(地价!X2:AB2=E2)*(地价!X3:AB36)),IF(H19="地价指数",M20/M19,(1+I19)^O19)),4)</f>
        <v>#VALUE!</v>
      </c>
      <c r="D19" s="2250" t="s">
        <v>2712</v>
      </c>
      <c r="E19" s="864">
        <v>41640</v>
      </c>
      <c r="F19" s="2250" t="s">
        <v>2713</v>
      </c>
      <c r="G19" s="865">
        <f>'数据-取费表'!B2</f>
        <v>44555</v>
      </c>
      <c r="H19" s="2251"/>
      <c r="I19" s="866" t="str">
        <f>IF(H19="季度增幅（自定义）",SUMIF(N21:N24,E2,O21:O24),"")</f>
        <v/>
      </c>
      <c r="J19" s="2248"/>
      <c r="K19" s="1287"/>
      <c r="L19" s="2252" t="s">
        <v>2714</v>
      </c>
      <c r="M19" s="1495">
        <f>ROUND(SUMIF(地价!B2:F2,E2,地价!B36:F36),0)</f>
        <v>0</v>
      </c>
      <c r="N19" s="2253" t="s">
        <v>2715</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7.75" thickBot="1">
      <c r="A20" s="2255" t="s">
        <v>810</v>
      </c>
      <c r="B20" s="2256" t="s">
        <v>2716</v>
      </c>
      <c r="C20" s="868" t="e">
        <f>ROUND(POWER(1+G20,J20-I20)*(POWER(1+G20,I20)-1)/(POWER(1+G20,J20)-1),4)</f>
        <v>#DIV/0!</v>
      </c>
      <c r="D20" s="2257" t="s">
        <v>2717</v>
      </c>
      <c r="E20" s="1504">
        <f>存贷款利率!E18/100</f>
        <v>4.3499999999999997E-2</v>
      </c>
      <c r="F20" s="2257" t="s">
        <v>2709</v>
      </c>
      <c r="G20" s="873">
        <f>SUMIF(M26:P26,E2,M28:P28)</f>
        <v>0</v>
      </c>
      <c r="H20" s="2257" t="s">
        <v>2718</v>
      </c>
      <c r="I20" s="874" t="e">
        <f>SUMIF('数据-取费表'!C6:C15,E2,'数据-取费表'!F6:F15)/COUNTIF('数据-取费表'!C6:C15,E2)</f>
        <v>#DIV/0!</v>
      </c>
      <c r="J20" s="875">
        <f>IF(E2="住宅",70,IF(E2="商业",40,50))</f>
        <v>50</v>
      </c>
      <c r="K20" s="1287"/>
      <c r="L20" s="2258" t="s">
        <v>2719</v>
      </c>
      <c r="M20" s="1496">
        <f>ROUND(SUMPRODUCT((地价!A4:A36=YEAR(G19)&amp;"-"&amp;ROUNDUP(MONTH(G19)/3,0))*(地价!B2:F2=E2)*(地价!B4:F36)),0)</f>
        <v>0</v>
      </c>
      <c r="N20" s="2259" t="s">
        <v>2720</v>
      </c>
      <c r="O20" s="2260" t="s">
        <v>2721</v>
      </c>
      <c r="P20" s="2261"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5">
      <c r="A21" s="2262" t="s">
        <v>811</v>
      </c>
      <c r="B21" s="2263" t="s">
        <v>2723</v>
      </c>
      <c r="C21" s="876">
        <f>IF(B21="容积率修正",IF(G3&lt;=10,D22,J22),C23)</f>
        <v>0</v>
      </c>
      <c r="D21" s="2264"/>
      <c r="E21" s="2264"/>
      <c r="F21" s="2264"/>
      <c r="G21" s="2264"/>
      <c r="H21" s="2264"/>
      <c r="I21" s="2264"/>
      <c r="J21" s="2265"/>
      <c r="K21" s="1287"/>
      <c r="L21" s="3018"/>
      <c r="M21" s="3018"/>
      <c r="N21" s="2266" t="s">
        <v>2724</v>
      </c>
      <c r="O21" s="1334"/>
      <c r="P21" s="1335">
        <f>SUMPRODUCT((地价!A3:A36=YEAR(G19)&amp;"-"&amp;ROUNDUP(MONTH(G19)/3,0))*(地价!AD2:AH2=N21)*(地价!AD3:AH36))</f>
        <v>1.0500000000000001E-2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25">
      <c r="A22" s="2140" t="s">
        <v>2725</v>
      </c>
      <c r="B22" s="2267" t="s">
        <v>2726</v>
      </c>
      <c r="C22" s="1535" t="s">
        <v>2727</v>
      </c>
      <c r="D22" s="1535">
        <f>IF(E22=G22,F22,IF(G3&lt;=10,ROUND(F22+(H22-F22)*(G3-E22)/(G22-E22),4),"——"))</f>
        <v>0</v>
      </c>
      <c r="E22" s="855">
        <f>ROUNDDOWN(G3,1)</f>
        <v>0.4</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0.5</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8"/>
      <c r="M22" s="3018"/>
      <c r="N22" s="2266" t="s">
        <v>2728</v>
      </c>
      <c r="O22" s="1334"/>
      <c r="P22" s="1335">
        <f>SUMPRODUCT((地价!A3:A36=YEAR(G19)&amp;"-"&amp;ROUNDUP(MONTH(G19)/3,0))*(地价!AD2:AH2=N22)*(地价!AD3:AH36))</f>
        <v>1.0500000000000001E-2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0" t="s">
        <v>2729</v>
      </c>
      <c r="B23" s="2268" t="s">
        <v>2730</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2731</v>
      </c>
      <c r="O23" s="1334"/>
      <c r="P23" s="1335">
        <f>SUMPRODUCT((地价!A3:A36=YEAR(G19)&amp;"-"&amp;ROUNDUP(MONTH(G19)/3,0))*(地价!AD2:AH2=N23)*(地价!AD3:AH36))</f>
        <v>1.83E-2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2732</v>
      </c>
      <c r="C24" s="863">
        <f>SUMIF(A45:A88,E2,B45:B88)</f>
        <v>0</v>
      </c>
      <c r="D24" s="2247"/>
      <c r="E24" s="2274"/>
      <c r="F24" s="2274"/>
      <c r="G24" s="2274"/>
      <c r="H24" s="2274"/>
      <c r="I24" s="2274"/>
      <c r="J24" s="2275"/>
      <c r="K24" s="1287"/>
      <c r="L24" s="3018"/>
      <c r="M24" s="3018"/>
      <c r="N24" s="2276" t="s">
        <v>2733</v>
      </c>
      <c r="O24" s="1336"/>
      <c r="P24" s="1337">
        <f>SUMPRODUCT((地价!A3:A36=YEAR(G19)&amp;"-"&amp;ROUNDUP(MONTH(G19)/3,0))*(地价!AD2:AH2=N24)*(地价!AD3:AH36))</f>
        <v>1.2200000000000001E-2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2734</v>
      </c>
      <c r="C25" s="869"/>
      <c r="D25" s="2211"/>
      <c r="E25" s="2211"/>
      <c r="F25" s="2278"/>
      <c r="G25" s="2211"/>
      <c r="H25" s="2211"/>
      <c r="I25" s="2211"/>
      <c r="J25" s="2212"/>
      <c r="K25" s="1280"/>
      <c r="L25" s="2182"/>
      <c r="M25" s="2182"/>
      <c r="N25" s="3013" t="s">
        <v>2735</v>
      </c>
      <c r="O25" s="3014"/>
      <c r="P25" s="3015">
        <f>SUMPRODUCT((地价!A3:A36=YEAR(G19)&amp;"-"&amp;ROUNDUP(MONTH(G19)/3,0))*(地价!AD2:AH2=N25)*(地价!AD3:AH36))</f>
        <v>1.66E-2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2736</v>
      </c>
      <c r="C26" s="2541" t="e">
        <f>IF(B21="容积率修正",E29+SUM(E33:E39),SUM(V2:V16)+SUM(E33:E39))</f>
        <v>#DIV/0!</v>
      </c>
      <c r="D26" s="2280"/>
      <c r="E26" s="2236"/>
      <c r="F26" s="2281"/>
      <c r="G26" s="2236"/>
      <c r="H26" s="2236"/>
      <c r="I26" s="2236"/>
      <c r="J26" s="2282"/>
      <c r="K26" s="1280"/>
      <c r="L26" s="3016" t="s">
        <v>2634</v>
      </c>
      <c r="M26" s="2209" t="s">
        <v>2699</v>
      </c>
      <c r="N26" s="2209" t="s">
        <v>2700</v>
      </c>
      <c r="O26" s="2209" t="s">
        <v>2701</v>
      </c>
      <c r="P26" s="3017" t="s">
        <v>2702</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2737</v>
      </c>
      <c r="C27" s="870" t="e">
        <f>E30+SUM(I33:I39)</f>
        <v>#DIV/0!</v>
      </c>
      <c r="D27" s="2284"/>
      <c r="E27" s="2285"/>
      <c r="F27" s="2286"/>
      <c r="G27" s="2285"/>
      <c r="H27" s="2285"/>
      <c r="I27" s="2285"/>
      <c r="J27" s="2287"/>
      <c r="K27" s="1280"/>
      <c r="L27" s="2242"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2738</v>
      </c>
      <c r="C28" s="2290" t="s">
        <v>2739</v>
      </c>
      <c r="D28" s="2290" t="s">
        <v>2740</v>
      </c>
      <c r="E28" s="2291" t="s">
        <v>2741</v>
      </c>
      <c r="F28" s="2292"/>
      <c r="G28" s="2224"/>
      <c r="H28" s="2224"/>
      <c r="I28" s="2224"/>
      <c r="J28" s="2225"/>
      <c r="K28" s="1280"/>
      <c r="L28" s="2243"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2742</v>
      </c>
      <c r="C29" s="180" t="e">
        <f>ROUND(C5*C18*C19*C20*C21*C24,0)</f>
        <v>#DIV/0!</v>
      </c>
      <c r="D29" s="2295"/>
      <c r="E29" s="879" t="e">
        <f>ROUND(C29*D29/10000,0)</f>
        <v>#DIV/0!</v>
      </c>
      <c r="F29" s="2296" t="s">
        <v>2743</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2744</v>
      </c>
      <c r="C30" s="193" t="e">
        <f>ROUND(IF(E2="工业",C29*M39,C29*M38),0)</f>
        <v>#DIV/0!</v>
      </c>
      <c r="D30" s="2301"/>
      <c r="E30" s="879" t="e">
        <f>ROUND(C30*D30/10000,0)</f>
        <v>#DIV/0!</v>
      </c>
      <c r="F30" s="2302" t="s">
        <v>2745</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2746</v>
      </c>
      <c r="C31" s="2307" t="s">
        <v>2747</v>
      </c>
      <c r="D31" s="2224"/>
      <c r="E31" s="2307"/>
      <c r="F31" s="2307"/>
      <c r="G31" s="2222" t="s">
        <v>2748</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2739</v>
      </c>
      <c r="D32" s="455" t="s">
        <v>2740</v>
      </c>
      <c r="E32" s="455" t="s">
        <v>2741</v>
      </c>
      <c r="F32" s="348" t="s">
        <v>2749</v>
      </c>
      <c r="G32" s="2310" t="s">
        <v>2739</v>
      </c>
      <c r="H32" s="2310" t="s">
        <v>2740</v>
      </c>
      <c r="I32" s="2310"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418"/>
      <c r="B33" s="2311" t="s">
        <v>2750</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423"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419"/>
      <c r="B34" s="2228" t="s">
        <v>2751</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1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419"/>
      <c r="B35" s="2228" t="s">
        <v>2752</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41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420"/>
      <c r="B36" s="2228" t="s">
        <v>2753</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420"/>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2754</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80"/>
      <c r="L37" s="2314" t="s">
        <v>2755</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2756</v>
      </c>
      <c r="C38" s="176" t="e">
        <f>ROUND(D5*C19*C41*C24*F38,0)</f>
        <v>#DIV/0!</v>
      </c>
      <c r="D38" s="2295"/>
      <c r="E38" s="176" t="e">
        <f t="shared" si="7"/>
        <v>#DIV/0!</v>
      </c>
      <c r="F38" s="180">
        <f>SUMIF(修正!A45:A56,G2,修正!G45:G56)</f>
        <v>0</v>
      </c>
      <c r="G38" s="176" t="e">
        <f>ROUND(IF(E2="工业",C38*$M$39,C38*$M$38),0)</f>
        <v>#DIV/0!</v>
      </c>
      <c r="H38" s="176">
        <f t="shared" si="8"/>
        <v>0</v>
      </c>
      <c r="I38" s="176" t="e">
        <f t="shared" si="9"/>
        <v>#DIV/0!</v>
      </c>
      <c r="J38" s="2312"/>
      <c r="K38" s="1280"/>
      <c r="L38" s="1604" t="s">
        <v>2757</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2758</v>
      </c>
      <c r="C39" s="193" t="e">
        <f>ROUND(D5*C19*C41*C24*F39,0)</f>
        <v>#DIV/0!</v>
      </c>
      <c r="D39" s="2301"/>
      <c r="E39" s="193" t="e">
        <f t="shared" si="7"/>
        <v>#DIV/0!</v>
      </c>
      <c r="F39" s="871">
        <f>SUMIF(修正!A45:A56,G2,修正!H45:H56)</f>
        <v>0</v>
      </c>
      <c r="G39" s="193" t="e">
        <f>ROUND(IF(E2="工业",C39*$M$39,C39*$M$38),0)</f>
        <v>#DIV/0!</v>
      </c>
      <c r="H39" s="193">
        <f t="shared" si="8"/>
        <v>0</v>
      </c>
      <c r="I39" s="193" t="e">
        <f t="shared" si="9"/>
        <v>#DIV/0!</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2863</v>
      </c>
      <c r="C41" s="348" t="e">
        <f>ROUND(POWER(1+E41,H41-G41)*(POWER(1+E41,G41)-1)/(POWER(1+E41,H41)-1),4)</f>
        <v>#DIV/0!</v>
      </c>
      <c r="D41" s="176" t="s">
        <v>2709</v>
      </c>
      <c r="E41" s="2368">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2759</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2760</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2761</v>
      </c>
      <c r="B47" s="1534" t="s">
        <v>2762</v>
      </c>
      <c r="C47" s="1534" t="s">
        <v>2763</v>
      </c>
      <c r="D47" s="1534" t="s">
        <v>2764</v>
      </c>
      <c r="E47" s="758" t="s">
        <v>2765</v>
      </c>
      <c r="F47" s="2329" t="s">
        <v>2766</v>
      </c>
      <c r="G47" s="1534" t="s">
        <v>754</v>
      </c>
      <c r="H47" s="2330" t="s">
        <v>2767</v>
      </c>
      <c r="I47" s="1534"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8" t="s">
        <v>2769</v>
      </c>
      <c r="B48" s="2331" t="str">
        <f>估价对象房地状况!C4</f>
        <v>估价对象位于XX商圈，周边商业氛围成熟，人流量大，商业繁华度好</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8" t="s">
        <v>2770</v>
      </c>
      <c r="B49" s="2332" t="str">
        <f>估价对象房地状况!C18</f>
        <v>估价对象周边道路状况、公共交通通达情况、停车便捷程度，综合评价交通便捷度较好</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2771</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2772</v>
      </c>
      <c r="B51" s="2333" t="s">
        <v>2773</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2774</v>
      </c>
      <c r="B52" s="2332">
        <f>估价对象房地状况!C24</f>
        <v>0</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2775</v>
      </c>
      <c r="B53" s="2334" t="s">
        <v>2776</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5" t="s">
        <v>2777</v>
      </c>
      <c r="B54" s="1493" t="str">
        <f>估价对象房地状况!C21</f>
        <v>估价对象所在区域公共配套设施齐备情况</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2778</v>
      </c>
      <c r="B55" s="2332" t="str">
        <f>估价对象房地状况!C22</f>
        <v>估价对象所在区域基础设施水平</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6" t="s">
        <v>2779</v>
      </c>
      <c r="B56" s="2337" t="str">
        <f>估价对象房地状况!C20</f>
        <v>区域自然环境：；人文环境；综合评价环境状况一般</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2780</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2761</v>
      </c>
      <c r="B58" s="1534"/>
      <c r="C58" s="1534" t="s">
        <v>2763</v>
      </c>
      <c r="D58" s="1534" t="s">
        <v>2764</v>
      </c>
      <c r="E58" s="758" t="s">
        <v>2765</v>
      </c>
      <c r="F58" s="2329" t="s">
        <v>2781</v>
      </c>
      <c r="G58" s="1534" t="s">
        <v>754</v>
      </c>
      <c r="H58" s="2330" t="s">
        <v>2767</v>
      </c>
      <c r="I58" s="1534"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8" t="s">
        <v>2782</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8" t="s">
        <v>2770</v>
      </c>
      <c r="B60" s="2332" t="str">
        <f>估价对象房地状况!C18</f>
        <v>估价对象周边道路状况、公共交通通达情况、停车便捷程度，综合评价交通便捷度较好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2771</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2772</v>
      </c>
      <c r="B62" s="2333" t="s">
        <v>2773</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2774</v>
      </c>
      <c r="B63" s="2332">
        <f>估价对象房地状况!C24</f>
        <v>0</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2775</v>
      </c>
      <c r="B64" s="2334" t="s">
        <v>2776</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8" t="s">
        <v>2777</v>
      </c>
      <c r="B65" s="1493" t="str">
        <f>估价对象房地状况!C21</f>
        <v>估价对象所在区域公共配套设施齐备情况</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2778</v>
      </c>
      <c r="B66" s="1493" t="str">
        <f>估价对象房地状况!C22</f>
        <v>估价对象所在区域基础设施水平</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6" t="s">
        <v>2779</v>
      </c>
      <c r="B67" s="2338" t="str">
        <f>估价对象房地状况!C20</f>
        <v>区域自然环境：；人文环境；综合评价环境状况一般</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2783</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2761</v>
      </c>
      <c r="B69" s="1534"/>
      <c r="C69" s="1534" t="s">
        <v>2763</v>
      </c>
      <c r="D69" s="1534" t="s">
        <v>2764</v>
      </c>
      <c r="E69" s="758" t="s">
        <v>2765</v>
      </c>
      <c r="F69" s="2329" t="s">
        <v>2781</v>
      </c>
      <c r="G69" s="1534" t="s">
        <v>754</v>
      </c>
      <c r="H69" s="2330" t="s">
        <v>2767</v>
      </c>
      <c r="I69" s="1534"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8" t="s">
        <v>2784</v>
      </c>
      <c r="B70" s="2331" t="str">
        <f>估价对象房地状况!C15</f>
        <v>估价对象周边居住用地比例、居住小区规模和社区发展完善程度，综合评价居住社区成熟度一般</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8" t="s">
        <v>2770</v>
      </c>
      <c r="B71" s="2332" t="str">
        <f>估价对象房地状况!C18</f>
        <v>估价对象周边道路状况、公共交通通达情况、停车便捷程度，综合评价交通便捷度较好</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2771</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2785</v>
      </c>
      <c r="B73" s="2332">
        <f>估价对象房地状况!C24</f>
        <v>0</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8" t="s">
        <v>2777</v>
      </c>
      <c r="B74" s="1493" t="str">
        <f>估价对象房地状况!C21</f>
        <v>估价对象所在区域公共配套设施齐备情况</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2778</v>
      </c>
      <c r="B75" s="1493" t="str">
        <f>估价对象房地状况!C22</f>
        <v>估价对象所在区域基础设施水平</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2775</v>
      </c>
      <c r="B76" s="2334" t="s">
        <v>2776</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38.25">
      <c r="A77" s="2328" t="s">
        <v>2779</v>
      </c>
      <c r="B77" s="2331" t="str">
        <f>估价对象房地状况!C20</f>
        <v>区域自然环境：；人文环境；综合评价环境状况一般</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2786</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2787</v>
      </c>
      <c r="B79" s="2325">
        <f>1+E81</f>
        <v>1</v>
      </c>
      <c r="C79" s="753"/>
      <c r="D79" s="753"/>
      <c r="E79" s="754"/>
      <c r="F79" s="2327"/>
      <c r="G79" s="6"/>
      <c r="H79" s="6"/>
      <c r="I79" s="6"/>
      <c r="J79" s="7"/>
      <c r="K79" s="7"/>
      <c r="L79" s="7"/>
      <c r="M79" s="7"/>
      <c r="N79" s="7"/>
      <c r="Z79" s="2183"/>
      <c r="AA79" s="2249"/>
      <c r="AG79" s="1282"/>
      <c r="AK79" s="2249"/>
    </row>
    <row r="80" spans="1:37" ht="24.75">
      <c r="A80" s="2328" t="s">
        <v>2761</v>
      </c>
      <c r="B80" s="1534"/>
      <c r="C80" s="1534" t="s">
        <v>2763</v>
      </c>
      <c r="D80" s="1534" t="s">
        <v>2764</v>
      </c>
      <c r="E80" s="758" t="s">
        <v>2765</v>
      </c>
      <c r="F80" s="2329" t="s">
        <v>2781</v>
      </c>
      <c r="G80" s="1534" t="s">
        <v>754</v>
      </c>
      <c r="H80" s="2330" t="s">
        <v>2767</v>
      </c>
      <c r="I80" s="1534" t="s">
        <v>2768</v>
      </c>
      <c r="J80" s="560" t="s">
        <v>2418</v>
      </c>
      <c r="K80" s="560" t="s">
        <v>2419</v>
      </c>
      <c r="L80" s="560" t="s">
        <v>2420</v>
      </c>
      <c r="M80" s="560" t="s">
        <v>2421</v>
      </c>
      <c r="N80" s="560" t="s">
        <v>2422</v>
      </c>
      <c r="Z80" s="2183"/>
      <c r="AA80" s="2249"/>
      <c r="AG80" s="1282"/>
      <c r="AK80" s="2249"/>
    </row>
    <row r="81" spans="1:37" ht="38.25">
      <c r="A81" s="2328" t="s">
        <v>2788</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2770</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2771</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2785</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2777</v>
      </c>
      <c r="B85" s="1493"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2778</v>
      </c>
      <c r="B86" s="1493"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2775</v>
      </c>
      <c r="B87" s="2334" t="s">
        <v>2789</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2790</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410" t="s">
        <v>2791</v>
      </c>
      <c r="B90" s="3410"/>
      <c r="C90" s="3410"/>
      <c r="D90" s="3410"/>
      <c r="E90" s="3410"/>
      <c r="F90" s="3410"/>
      <c r="G90" s="3410"/>
      <c r="H90" s="3410"/>
      <c r="I90" s="3410"/>
      <c r="J90" s="3410"/>
      <c r="K90" s="2342"/>
      <c r="L90" s="2342"/>
      <c r="M90" s="2342"/>
      <c r="N90" s="2342"/>
    </row>
    <row r="91" spans="1:37">
      <c r="A91" s="3412" t="s">
        <v>2792</v>
      </c>
      <c r="B91" s="3412" t="s">
        <v>2793</v>
      </c>
      <c r="C91" s="2296" t="s">
        <v>2794</v>
      </c>
      <c r="D91" s="2297"/>
      <c r="E91" s="2297"/>
      <c r="F91" s="2297"/>
      <c r="G91" s="2297"/>
      <c r="H91" s="2297"/>
      <c r="I91" s="2297"/>
      <c r="J91" s="2343"/>
      <c r="K91" s="2344"/>
      <c r="L91" s="2344"/>
      <c r="M91" s="2344"/>
      <c r="N91" s="2344"/>
    </row>
    <row r="92" spans="1:37">
      <c r="A92" s="3412"/>
      <c r="B92" s="3412"/>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413" t="s">
        <v>2795</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414"/>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414"/>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414"/>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414"/>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414"/>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414"/>
      <c r="B99" s="2345" t="s">
        <v>2677</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415"/>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413" t="s">
        <v>2796</v>
      </c>
      <c r="B101" s="2349" t="s">
        <v>2797</v>
      </c>
      <c r="C101" s="2350">
        <f>$G$3</f>
        <v>0.44</v>
      </c>
      <c r="D101" s="2350">
        <f t="shared" ref="D101:N101" si="31">$G$3</f>
        <v>0.44</v>
      </c>
      <c r="E101" s="2350">
        <f t="shared" si="31"/>
        <v>0.44</v>
      </c>
      <c r="F101" s="2350">
        <f t="shared" si="31"/>
        <v>0.44</v>
      </c>
      <c r="G101" s="2350">
        <f t="shared" si="31"/>
        <v>0.44</v>
      </c>
      <c r="H101" s="2350">
        <f t="shared" si="31"/>
        <v>0.44</v>
      </c>
      <c r="I101" s="2350">
        <f t="shared" si="31"/>
        <v>0.44</v>
      </c>
      <c r="J101" s="2350">
        <f t="shared" si="31"/>
        <v>0.44</v>
      </c>
      <c r="K101" s="2350">
        <f t="shared" si="31"/>
        <v>0.44</v>
      </c>
      <c r="L101" s="2350">
        <f t="shared" si="31"/>
        <v>0.44</v>
      </c>
      <c r="M101" s="2350">
        <f t="shared" si="31"/>
        <v>0.44</v>
      </c>
      <c r="N101" s="2350">
        <f t="shared" si="31"/>
        <v>0.44</v>
      </c>
    </row>
    <row r="102" spans="1:14">
      <c r="A102" s="3414"/>
      <c r="B102" s="2345">
        <v>1</v>
      </c>
      <c r="C102" s="2346">
        <f>1.9362/C101</f>
        <v>4.4004545454545454</v>
      </c>
      <c r="D102" s="2346">
        <f>1.9362/D101</f>
        <v>4.4004545454545454</v>
      </c>
      <c r="E102" s="2346">
        <f>1.8629/E101</f>
        <v>4.2338636363636359</v>
      </c>
      <c r="F102" s="2346">
        <f>1.8629/F101</f>
        <v>4.2338636363636359</v>
      </c>
      <c r="G102" s="2346">
        <f>1.8629/G101</f>
        <v>4.2338636363636359</v>
      </c>
      <c r="H102" s="2346">
        <f>1.8629/H101</f>
        <v>4.2338636363636359</v>
      </c>
      <c r="I102" s="2346">
        <f>1.8629/I101</f>
        <v>4.2338636363636359</v>
      </c>
      <c r="J102" s="2346">
        <f>1.942/J101</f>
        <v>4.4136363636363631</v>
      </c>
      <c r="K102" s="2346">
        <f>1.942/K101</f>
        <v>4.4136363636363631</v>
      </c>
      <c r="L102" s="2346">
        <f>1.942/L101</f>
        <v>4.4136363636363631</v>
      </c>
      <c r="M102" s="2346">
        <f>1.942/M101</f>
        <v>4.4136363636363631</v>
      </c>
      <c r="N102" s="2346">
        <f>1.942/N101</f>
        <v>4.4136363636363631</v>
      </c>
    </row>
    <row r="103" spans="1:14">
      <c r="A103" s="3414"/>
      <c r="B103" s="2345">
        <v>2</v>
      </c>
      <c r="C103" s="2346">
        <f>1.4198/C101</f>
        <v>3.2268181818181816</v>
      </c>
      <c r="D103" s="2346">
        <f>1.4198/D101</f>
        <v>3.2268181818181816</v>
      </c>
      <c r="E103" s="2346">
        <f>1.3372/E101</f>
        <v>3.0390909090909091</v>
      </c>
      <c r="F103" s="2346">
        <f>1.3372/F101</f>
        <v>3.0390909090909091</v>
      </c>
      <c r="G103" s="2346">
        <f>1.3372/G101</f>
        <v>3.0390909090909091</v>
      </c>
      <c r="H103" s="2346">
        <f>1.3372/H101</f>
        <v>3.0390909090909091</v>
      </c>
      <c r="I103" s="2346">
        <f>1.3372/I101</f>
        <v>3.0390909090909091</v>
      </c>
      <c r="J103" s="2346">
        <f>1.2799/J101</f>
        <v>2.9088636363636367</v>
      </c>
      <c r="K103" s="2346">
        <f>1.2799/K101</f>
        <v>2.9088636363636367</v>
      </c>
      <c r="L103" s="2346">
        <f>1.2799/L101</f>
        <v>2.9088636363636367</v>
      </c>
      <c r="M103" s="2346">
        <f>1.2799/M101</f>
        <v>2.9088636363636367</v>
      </c>
      <c r="N103" s="2346">
        <f>1.2799/N101</f>
        <v>2.9088636363636367</v>
      </c>
    </row>
    <row r="104" spans="1:14">
      <c r="A104" s="3414"/>
      <c r="B104" s="2345">
        <v>3</v>
      </c>
      <c r="C104" s="2346">
        <f>1.1594/C101</f>
        <v>2.6349999999999998</v>
      </c>
      <c r="D104" s="2346">
        <f>1.1594/D101</f>
        <v>2.6349999999999998</v>
      </c>
      <c r="E104" s="2346">
        <f>1.0788/E101</f>
        <v>2.4518181818181817</v>
      </c>
      <c r="F104" s="2346">
        <f>1.0788/F101</f>
        <v>2.4518181818181817</v>
      </c>
      <c r="G104" s="2346">
        <f>1.0788/G101</f>
        <v>2.4518181818181817</v>
      </c>
      <c r="H104" s="2346">
        <f>1.0788/H101</f>
        <v>2.4518181818181817</v>
      </c>
      <c r="I104" s="2346">
        <f>1.0788/I101</f>
        <v>2.4518181818181817</v>
      </c>
      <c r="J104" s="2346">
        <f>1.0072/J101</f>
        <v>2.2890909090909095</v>
      </c>
      <c r="K104" s="2346">
        <f>1.0072/K101</f>
        <v>2.2890909090909095</v>
      </c>
      <c r="L104" s="2346">
        <f>1.0072/L101</f>
        <v>2.2890909090909095</v>
      </c>
      <c r="M104" s="2346">
        <f>1.0072/M101</f>
        <v>2.2890909090909095</v>
      </c>
      <c r="N104" s="2346">
        <f>1.0072/N101</f>
        <v>2.2890909090909095</v>
      </c>
    </row>
    <row r="105" spans="1:14">
      <c r="A105" s="3414"/>
      <c r="B105" s="2345">
        <v>4</v>
      </c>
      <c r="C105" s="2346">
        <f>0.9622/C101</f>
        <v>2.186818181818182</v>
      </c>
      <c r="D105" s="2346">
        <f>0.9622/D101</f>
        <v>2.186818181818182</v>
      </c>
      <c r="E105" s="2346">
        <f>0.8656/E101</f>
        <v>1.9672727272727273</v>
      </c>
      <c r="F105" s="2346">
        <f>0.8656/F101</f>
        <v>1.9672727272727273</v>
      </c>
      <c r="G105" s="2346">
        <f>0.8656/G101</f>
        <v>1.9672727272727273</v>
      </c>
      <c r="H105" s="2346">
        <f>0.8656/H101</f>
        <v>1.9672727272727273</v>
      </c>
      <c r="I105" s="2346">
        <f>0.8656/I101</f>
        <v>1.9672727272727273</v>
      </c>
      <c r="J105" s="2346">
        <f>0.7525/J101</f>
        <v>1.7102272727272727</v>
      </c>
      <c r="K105" s="2346">
        <f>0.7525/K101</f>
        <v>1.7102272727272727</v>
      </c>
      <c r="L105" s="2346">
        <f>0.7525/L101</f>
        <v>1.7102272727272727</v>
      </c>
      <c r="M105" s="2346">
        <f>0.7525/M101</f>
        <v>1.7102272727272727</v>
      </c>
      <c r="N105" s="2346">
        <f>0.7525/N101</f>
        <v>1.7102272727272727</v>
      </c>
    </row>
    <row r="106" spans="1:14">
      <c r="A106" s="3414"/>
      <c r="B106" s="2345">
        <v>5</v>
      </c>
      <c r="C106" s="2346">
        <f>0.8417/C101</f>
        <v>1.9129545454545454</v>
      </c>
      <c r="D106" s="2346">
        <f>0.8417/D101</f>
        <v>1.9129545454545454</v>
      </c>
      <c r="E106" s="2346">
        <f>0.7371/E101</f>
        <v>1.6752272727272726</v>
      </c>
      <c r="F106" s="2346">
        <f>0.7371/F101</f>
        <v>1.6752272727272726</v>
      </c>
      <c r="G106" s="2346">
        <f>0.7371/G101</f>
        <v>1.6752272727272726</v>
      </c>
      <c r="H106" s="2346">
        <f>0.7371/H101</f>
        <v>1.6752272727272726</v>
      </c>
      <c r="I106" s="2346">
        <f>0.7371/I101</f>
        <v>1.6752272727272726</v>
      </c>
      <c r="J106" s="2346">
        <f>0.5659/J101</f>
        <v>1.2861363636363636</v>
      </c>
      <c r="K106" s="2346">
        <f>0.5659/K101</f>
        <v>1.2861363636363636</v>
      </c>
      <c r="L106" s="2346">
        <f>0.5659/L101</f>
        <v>1.2861363636363636</v>
      </c>
      <c r="M106" s="2346">
        <f>0.5659/M101</f>
        <v>1.2861363636363636</v>
      </c>
      <c r="N106" s="2346">
        <f>0.5659/N101</f>
        <v>1.2861363636363636</v>
      </c>
    </row>
    <row r="107" spans="1:14">
      <c r="A107" s="3414"/>
      <c r="B107" s="2345">
        <v>6</v>
      </c>
      <c r="C107" s="2346">
        <f>0.7608/C101</f>
        <v>1.7290909090909092</v>
      </c>
      <c r="D107" s="2346">
        <f>0.7608/D101</f>
        <v>1.7290909090909092</v>
      </c>
      <c r="E107" s="2346">
        <f>0.6482/E101</f>
        <v>1.4731818181818181</v>
      </c>
      <c r="F107" s="2346">
        <f>0.6482/F101</f>
        <v>1.4731818181818181</v>
      </c>
      <c r="G107" s="2346">
        <f>0.6482/G101</f>
        <v>1.4731818181818181</v>
      </c>
      <c r="H107" s="2346">
        <f>0.6482/H101</f>
        <v>1.4731818181818181</v>
      </c>
      <c r="I107" s="2346">
        <f>0.6482/I101</f>
        <v>1.4731818181818181</v>
      </c>
      <c r="J107" s="2346">
        <f>0.4525/J101</f>
        <v>1.0284090909090908</v>
      </c>
      <c r="K107" s="2346">
        <f>0.4525/K101</f>
        <v>1.0284090909090908</v>
      </c>
      <c r="L107" s="2346">
        <f>0.4525/L101</f>
        <v>1.0284090909090908</v>
      </c>
      <c r="M107" s="2346">
        <f>0.4525/M101</f>
        <v>1.0284090909090908</v>
      </c>
      <c r="N107" s="2346">
        <f>0.4525/N101</f>
        <v>1.0284090909090908</v>
      </c>
    </row>
    <row r="108" spans="1:14">
      <c r="A108" s="3414"/>
      <c r="B108" s="3416" t="s">
        <v>2798</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415"/>
      <c r="B109" s="3417"/>
      <c r="C109" s="2348">
        <f>(-0.163*(C108^2)-0.59*C108+7617)*(10^(-4))/C101</f>
        <v>1.7311363636363637</v>
      </c>
      <c r="D109" s="2348">
        <f>(-0.163*(D108^2)-0.59*D108+7617)*(10^(-4))/D101</f>
        <v>1.7311363636363637</v>
      </c>
      <c r="E109" s="2348">
        <f>(-0.161*(E108^2)-7.509*E108+6533)*(10^(-4))/E101</f>
        <v>1.4847727272727274</v>
      </c>
      <c r="F109" s="2348">
        <f>(-0.161*(F108^2)-7.509*F108+6533)*(10^(-4))/F101</f>
        <v>1.4847727272727274</v>
      </c>
      <c r="G109" s="2348">
        <f>(-0.161*(G108^2)-7.509*G108+6533)*(10^(-4))/G101</f>
        <v>1.4847727272727274</v>
      </c>
      <c r="H109" s="2348">
        <f>(-0.161*(H108^2)-7.509*H108+6533)*(10^(-4))/H101</f>
        <v>1.4847727272727274</v>
      </c>
      <c r="I109" s="2348">
        <f>(-0.161*(I108^2)-7.509*I108+6533)*(10^(-4))/I101</f>
        <v>1.4847727272727274</v>
      </c>
      <c r="J109" s="2348">
        <f>(-0.214*(J108^2)-21.991*J108+4665)*(10^(-4))/J101</f>
        <v>1.0602272727272728</v>
      </c>
      <c r="K109" s="2348">
        <f>(-0.214*(K108^2)-21.991*K108+4665)*(10^(-4))/K101</f>
        <v>1.0602272727272728</v>
      </c>
      <c r="L109" s="2348">
        <f>(-0.214*(L108^2)-21.991*L108+4665)*(10^(-4))/L101</f>
        <v>1.0602272727272728</v>
      </c>
      <c r="M109" s="2348">
        <f>(-0.214*(M108^2)-21.991*M108+4665)*(10^(-4))/M101</f>
        <v>1.0602272727272728</v>
      </c>
      <c r="N109" s="2348">
        <f>(-0.214*(N108^2)-21.991*N108+4665)*(10^(-4))/N101</f>
        <v>1.0602272727272728</v>
      </c>
    </row>
    <row r="110" spans="1:14">
      <c r="A110" s="3411" t="s">
        <v>2799</v>
      </c>
      <c r="B110" s="3411"/>
      <c r="C110" s="3411"/>
      <c r="D110" s="3411"/>
      <c r="E110" s="3411"/>
      <c r="F110" s="3411"/>
      <c r="G110" s="3411"/>
      <c r="H110" s="3411"/>
      <c r="I110" s="3411"/>
      <c r="J110" s="3411"/>
      <c r="K110" s="2351"/>
      <c r="L110" s="2351"/>
      <c r="M110" s="2351"/>
      <c r="N110" s="2351"/>
    </row>
    <row r="112" spans="1:14" ht="13.5" thickBot="1"/>
    <row r="113" spans="1:13" ht="25.5" thickBot="1">
      <c r="A113" s="842" t="s">
        <v>2800</v>
      </c>
      <c r="B113" s="1197">
        <f>G3</f>
        <v>0.44</v>
      </c>
      <c r="C113" s="843" t="s">
        <v>2801</v>
      </c>
      <c r="D113" s="844">
        <f>SUMPRODUCT((A115:A118=F113)*(B114:M114=H113)*B115:M118)</f>
        <v>0</v>
      </c>
      <c r="E113" s="2187" t="s">
        <v>2634</v>
      </c>
      <c r="F113" s="2353">
        <f>E2</f>
        <v>0</v>
      </c>
      <c r="G113" s="2187" t="s">
        <v>2635</v>
      </c>
      <c r="H113" s="2353">
        <f>G2</f>
        <v>0</v>
      </c>
      <c r="I113" s="2187"/>
      <c r="J113" s="2354"/>
      <c r="K113" s="2354"/>
      <c r="L113" s="2354"/>
      <c r="M113" s="2354"/>
    </row>
    <row r="114" spans="1:13">
      <c r="A114" s="847"/>
      <c r="B114" s="2355" t="s">
        <v>2802</v>
      </c>
      <c r="C114" s="2355" t="s">
        <v>2803</v>
      </c>
      <c r="D114" s="2355" t="s">
        <v>2804</v>
      </c>
      <c r="E114" s="2356" t="s">
        <v>2805</v>
      </c>
      <c r="F114" s="2356" t="s">
        <v>2806</v>
      </c>
      <c r="G114" s="2356" t="s">
        <v>2807</v>
      </c>
      <c r="H114" s="2357" t="s">
        <v>2808</v>
      </c>
      <c r="I114" s="2357" t="s">
        <v>2809</v>
      </c>
      <c r="J114" s="2358" t="s">
        <v>2810</v>
      </c>
      <c r="K114" s="2358" t="s">
        <v>2811</v>
      </c>
      <c r="L114" s="2358" t="s">
        <v>2812</v>
      </c>
      <c r="M114" s="2359" t="s">
        <v>2813</v>
      </c>
    </row>
    <row r="115" spans="1:13">
      <c r="A115" s="848" t="s">
        <v>2699</v>
      </c>
      <c r="B115" s="849">
        <f>ROUND(0.9335-0.0094*B113,4)</f>
        <v>0.9294</v>
      </c>
      <c r="C115" s="849">
        <f>B115</f>
        <v>0.9294</v>
      </c>
      <c r="D115" s="849">
        <f>ROUND(0.8331-0.0109*B113,4)</f>
        <v>0.82830000000000004</v>
      </c>
      <c r="E115" s="849">
        <f>D115</f>
        <v>0.82830000000000004</v>
      </c>
      <c r="F115" s="849">
        <f>E115</f>
        <v>0.82830000000000004</v>
      </c>
      <c r="G115" s="849">
        <f>F115</f>
        <v>0.82830000000000004</v>
      </c>
      <c r="H115" s="849">
        <f>G115</f>
        <v>0.82830000000000004</v>
      </c>
      <c r="I115" s="849">
        <f>ROUND(0.689-0.0155*B113,4)</f>
        <v>0.68220000000000003</v>
      </c>
      <c r="J115" s="849">
        <f t="shared" ref="J115:M118" si="33">I115</f>
        <v>0.68220000000000003</v>
      </c>
      <c r="K115" s="849">
        <f t="shared" si="33"/>
        <v>0.68220000000000003</v>
      </c>
      <c r="L115" s="849">
        <f t="shared" si="33"/>
        <v>0.68220000000000003</v>
      </c>
      <c r="M115" s="850">
        <f t="shared" si="33"/>
        <v>0.68220000000000003</v>
      </c>
    </row>
    <row r="116" spans="1:13">
      <c r="A116" s="848" t="s">
        <v>2700</v>
      </c>
      <c r="B116" s="849">
        <f>ROUND(0.949-0.012*B113,4)</f>
        <v>0.94369999999999998</v>
      </c>
      <c r="C116" s="849">
        <f>B116</f>
        <v>0.94369999999999998</v>
      </c>
      <c r="D116" s="849">
        <f>ROUND(0.8567-0.013*B113,4)</f>
        <v>0.85099999999999998</v>
      </c>
      <c r="E116" s="849">
        <f t="shared" ref="E116:H117" si="34">D116</f>
        <v>0.85099999999999998</v>
      </c>
      <c r="F116" s="849">
        <f t="shared" si="34"/>
        <v>0.85099999999999998</v>
      </c>
      <c r="G116" s="849">
        <f t="shared" si="34"/>
        <v>0.85099999999999998</v>
      </c>
      <c r="H116" s="849">
        <f t="shared" si="34"/>
        <v>0.85099999999999998</v>
      </c>
      <c r="I116" s="849">
        <f>ROUND(0.7694-0.014*B113,4)</f>
        <v>0.76319999999999999</v>
      </c>
      <c r="J116" s="849">
        <f t="shared" si="33"/>
        <v>0.76319999999999999</v>
      </c>
      <c r="K116" s="849">
        <f t="shared" si="33"/>
        <v>0.76319999999999999</v>
      </c>
      <c r="L116" s="849">
        <f t="shared" si="33"/>
        <v>0.76319999999999999</v>
      </c>
      <c r="M116" s="850">
        <f t="shared" si="33"/>
        <v>0.76319999999999999</v>
      </c>
    </row>
    <row r="117" spans="1:13">
      <c r="A117" s="848" t="s">
        <v>2701</v>
      </c>
      <c r="B117" s="849">
        <f>ROUND(0.8808-0.006*B113,4)</f>
        <v>0.87819999999999998</v>
      </c>
      <c r="C117" s="849">
        <f>B117</f>
        <v>0.87819999999999998</v>
      </c>
      <c r="D117" s="849">
        <f>ROUND(0.8748-0.008*B113,4)</f>
        <v>0.87129999999999996</v>
      </c>
      <c r="E117" s="849">
        <f t="shared" si="34"/>
        <v>0.87129999999999996</v>
      </c>
      <c r="F117" s="849">
        <f t="shared" si="34"/>
        <v>0.87129999999999996</v>
      </c>
      <c r="G117" s="849">
        <f t="shared" si="34"/>
        <v>0.87129999999999996</v>
      </c>
      <c r="H117" s="849">
        <f t="shared" si="34"/>
        <v>0.87129999999999996</v>
      </c>
      <c r="I117" s="849">
        <f>ROUND(0.7412-0.0095*B113,4)</f>
        <v>0.73699999999999999</v>
      </c>
      <c r="J117" s="849">
        <f t="shared" si="33"/>
        <v>0.73699999999999999</v>
      </c>
      <c r="K117" s="849">
        <f t="shared" si="33"/>
        <v>0.73699999999999999</v>
      </c>
      <c r="L117" s="849">
        <f t="shared" si="33"/>
        <v>0.73699999999999999</v>
      </c>
      <c r="M117" s="850">
        <f t="shared" si="33"/>
        <v>0.73699999999999999</v>
      </c>
    </row>
    <row r="118" spans="1:13" ht="13.5" thickBot="1">
      <c r="A118" s="670" t="s">
        <v>2702</v>
      </c>
      <c r="B118" s="851">
        <f>ROUND(0.7275-0.01*B113,4)</f>
        <v>0.72309999999999997</v>
      </c>
      <c r="C118" s="851">
        <f>B118</f>
        <v>0.72309999999999997</v>
      </c>
      <c r="D118" s="851">
        <f>ROUND(0.7043-0.012*B113,4)</f>
        <v>0.69899999999999995</v>
      </c>
      <c r="E118" s="851">
        <f>D118</f>
        <v>0.69899999999999995</v>
      </c>
      <c r="F118" s="851">
        <f>E118</f>
        <v>0.69899999999999995</v>
      </c>
      <c r="G118" s="851">
        <f>ROUND(0.6299-0.0122*B113,4)</f>
        <v>0.62450000000000006</v>
      </c>
      <c r="H118" s="851">
        <f>G118</f>
        <v>0.62450000000000006</v>
      </c>
      <c r="I118" s="851">
        <f>ROUND(0.5667-0.0136*B113,4)</f>
        <v>0.56069999999999998</v>
      </c>
      <c r="J118" s="851">
        <f t="shared" si="33"/>
        <v>0.56069999999999998</v>
      </c>
      <c r="K118" s="851">
        <f t="shared" si="33"/>
        <v>0.56069999999999998</v>
      </c>
      <c r="L118" s="851">
        <f t="shared" si="33"/>
        <v>0.56069999999999998</v>
      </c>
      <c r="M118" s="852">
        <f t="shared" si="33"/>
        <v>0.56069999999999998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4" t="s">
        <v>183</v>
      </c>
      <c r="B18" s="821" t="s">
        <v>560</v>
      </c>
      <c r="C18" s="822" t="s">
        <v>561</v>
      </c>
      <c r="D18" s="823"/>
      <c r="E18" s="821">
        <v>1</v>
      </c>
      <c r="F18" s="824" t="s">
        <v>562</v>
      </c>
      <c r="G18" s="825"/>
      <c r="H18" s="817"/>
      <c r="I18" s="817"/>
    </row>
    <row r="19" spans="1:9" s="826" customFormat="1" ht="19.5" customHeight="1">
      <c r="A19" s="3424"/>
      <c r="B19" s="3424" t="s">
        <v>563</v>
      </c>
      <c r="C19" s="822" t="s">
        <v>564</v>
      </c>
      <c r="D19" s="823"/>
      <c r="E19" s="821">
        <v>0.9</v>
      </c>
      <c r="F19" s="824" t="s">
        <v>565</v>
      </c>
      <c r="G19" s="825"/>
      <c r="H19" s="817"/>
      <c r="I19" s="817"/>
    </row>
    <row r="20" spans="1:9" s="826" customFormat="1" ht="19.5" customHeight="1">
      <c r="A20" s="3424"/>
      <c r="B20" s="3424"/>
      <c r="C20" s="822" t="s">
        <v>566</v>
      </c>
      <c r="D20" s="823"/>
      <c r="E20" s="821">
        <v>1.1000000000000001</v>
      </c>
      <c r="F20" s="824" t="s">
        <v>567</v>
      </c>
      <c r="G20" s="825"/>
      <c r="H20" s="817"/>
      <c r="I20" s="817"/>
    </row>
    <row r="21" spans="1:9" s="826" customFormat="1" ht="19.5" customHeight="1">
      <c r="A21" s="3424"/>
      <c r="B21" s="3424"/>
      <c r="C21" s="822" t="s">
        <v>568</v>
      </c>
      <c r="D21" s="823"/>
      <c r="E21" s="821">
        <v>0.8</v>
      </c>
      <c r="F21" s="824" t="s">
        <v>569</v>
      </c>
      <c r="G21" s="825"/>
      <c r="H21" s="817"/>
      <c r="I21" s="817"/>
    </row>
    <row r="22" spans="1:9" s="826" customFormat="1" ht="19.5" customHeight="1">
      <c r="A22" s="3424"/>
      <c r="B22" s="3424"/>
      <c r="C22" s="822" t="s">
        <v>570</v>
      </c>
      <c r="D22" s="823"/>
      <c r="E22" s="821">
        <v>0.5</v>
      </c>
      <c r="F22" s="824"/>
      <c r="G22" s="825"/>
      <c r="H22" s="817"/>
      <c r="I22" s="817"/>
    </row>
    <row r="23" spans="1:9" s="826" customFormat="1" ht="19.5" customHeight="1">
      <c r="A23" s="3424" t="s">
        <v>184</v>
      </c>
      <c r="B23" s="821" t="s">
        <v>560</v>
      </c>
      <c r="C23" s="822" t="s">
        <v>571</v>
      </c>
      <c r="D23" s="823"/>
      <c r="E23" s="821">
        <v>1</v>
      </c>
      <c r="F23" s="824" t="s">
        <v>572</v>
      </c>
      <c r="G23" s="825"/>
      <c r="H23" s="817"/>
      <c r="I23" s="817"/>
    </row>
    <row r="24" spans="1:9" s="826" customFormat="1" ht="19.5" customHeight="1">
      <c r="A24" s="3424"/>
      <c r="B24" s="3424" t="s">
        <v>563</v>
      </c>
      <c r="C24" s="822" t="s">
        <v>573</v>
      </c>
      <c r="D24" s="823"/>
      <c r="E24" s="821">
        <v>0.5</v>
      </c>
      <c r="F24" s="824"/>
      <c r="G24" s="825"/>
      <c r="H24" s="817"/>
      <c r="I24" s="817"/>
    </row>
    <row r="25" spans="1:9" s="826" customFormat="1" ht="19.5" customHeight="1">
      <c r="A25" s="3424"/>
      <c r="B25" s="3424"/>
      <c r="C25" s="822" t="s">
        <v>574</v>
      </c>
      <c r="D25" s="823"/>
      <c r="E25" s="821">
        <v>1.1000000000000001</v>
      </c>
      <c r="F25" s="824"/>
      <c r="G25" s="825"/>
      <c r="H25" s="817"/>
      <c r="I25" s="817"/>
    </row>
    <row r="26" spans="1:9" s="826" customFormat="1" ht="19.5" customHeight="1">
      <c r="A26" s="3424"/>
      <c r="B26" s="3424"/>
      <c r="C26" s="822" t="s">
        <v>575</v>
      </c>
      <c r="D26" s="823"/>
      <c r="E26" s="821">
        <v>1.1000000000000001</v>
      </c>
      <c r="F26" s="824"/>
      <c r="G26" s="825"/>
      <c r="H26" s="817"/>
      <c r="I26" s="817"/>
    </row>
    <row r="27" spans="1:9" s="826" customFormat="1" ht="19.5" customHeight="1">
      <c r="A27" s="3424"/>
      <c r="B27" s="3424"/>
      <c r="C27" s="822" t="s">
        <v>576</v>
      </c>
      <c r="D27" s="823"/>
      <c r="E27" s="821">
        <v>0.9</v>
      </c>
      <c r="F27" s="824" t="s">
        <v>577</v>
      </c>
      <c r="G27" s="825"/>
      <c r="H27" s="817"/>
      <c r="I27" s="817"/>
    </row>
    <row r="28" spans="1:9" s="826" customFormat="1" ht="19.5" customHeight="1">
      <c r="A28" s="3424"/>
      <c r="B28" s="3424"/>
      <c r="C28" s="822" t="s">
        <v>578</v>
      </c>
      <c r="D28" s="823"/>
      <c r="E28" s="821">
        <v>0.9</v>
      </c>
      <c r="F28" s="824" t="s">
        <v>579</v>
      </c>
      <c r="G28" s="825"/>
      <c r="H28" s="817"/>
      <c r="I28" s="817"/>
    </row>
    <row r="29" spans="1:9" s="826" customFormat="1" ht="19.5" customHeight="1">
      <c r="A29" s="3424"/>
      <c r="B29" s="3424"/>
      <c r="C29" s="822" t="s">
        <v>580</v>
      </c>
      <c r="D29" s="823"/>
      <c r="E29" s="821">
        <v>0.9</v>
      </c>
      <c r="F29" s="824" t="s">
        <v>581</v>
      </c>
      <c r="G29" s="825"/>
      <c r="H29" s="817"/>
      <c r="I29" s="817"/>
    </row>
    <row r="30" spans="1:9" s="826" customFormat="1" ht="19.5" customHeight="1">
      <c r="A30" s="3424"/>
      <c r="B30" s="3424"/>
      <c r="C30" s="822" t="s">
        <v>582</v>
      </c>
      <c r="D30" s="823"/>
      <c r="E30" s="821">
        <v>0.9</v>
      </c>
      <c r="F30" s="824" t="s">
        <v>583</v>
      </c>
      <c r="G30" s="825"/>
      <c r="H30" s="817"/>
      <c r="I30" s="817"/>
    </row>
    <row r="31" spans="1:9" s="826" customFormat="1" ht="19.5" customHeight="1">
      <c r="A31" s="3424"/>
      <c r="B31" s="3424"/>
      <c r="C31" s="822" t="s">
        <v>584</v>
      </c>
      <c r="D31" s="823"/>
      <c r="E31" s="821">
        <v>0.8</v>
      </c>
      <c r="F31" s="824" t="s">
        <v>585</v>
      </c>
      <c r="G31" s="825"/>
      <c r="H31" s="817"/>
      <c r="I31" s="817"/>
    </row>
    <row r="32" spans="1:9" s="826" customFormat="1" ht="19.5" customHeight="1">
      <c r="A32" s="3424"/>
      <c r="B32" s="3424"/>
      <c r="C32" s="822" t="s">
        <v>586</v>
      </c>
      <c r="D32" s="823"/>
      <c r="E32" s="821">
        <v>0.8</v>
      </c>
      <c r="F32" s="824" t="s">
        <v>587</v>
      </c>
      <c r="G32" s="825"/>
      <c r="H32" s="817"/>
      <c r="I32" s="817"/>
    </row>
    <row r="33" spans="1:9" s="826" customFormat="1" ht="19.5" customHeight="1">
      <c r="A33" s="3424" t="s">
        <v>185</v>
      </c>
      <c r="B33" s="821" t="s">
        <v>560</v>
      </c>
      <c r="C33" s="822" t="s">
        <v>588</v>
      </c>
      <c r="D33" s="823"/>
      <c r="E33" s="821">
        <v>1</v>
      </c>
      <c r="F33" s="824" t="s">
        <v>589</v>
      </c>
      <c r="G33" s="825"/>
      <c r="H33" s="817"/>
      <c r="I33" s="817"/>
    </row>
    <row r="34" spans="1:9" s="826" customFormat="1" ht="19.5" customHeight="1">
      <c r="A34" s="3424"/>
      <c r="B34" s="821" t="s">
        <v>563</v>
      </c>
      <c r="C34" s="822" t="s">
        <v>590</v>
      </c>
      <c r="D34" s="823"/>
      <c r="E34" s="821">
        <v>1.5</v>
      </c>
      <c r="F34" s="824" t="s">
        <v>591</v>
      </c>
      <c r="G34" s="825"/>
      <c r="H34" s="817"/>
      <c r="I34" s="817"/>
    </row>
    <row r="35" spans="1:9" s="826" customFormat="1" ht="19.5" customHeight="1">
      <c r="A35" s="3424" t="s">
        <v>186</v>
      </c>
      <c r="B35" s="821" t="s">
        <v>560</v>
      </c>
      <c r="C35" s="822" t="s">
        <v>592</v>
      </c>
      <c r="D35" s="823"/>
      <c r="E35" s="821">
        <v>1</v>
      </c>
      <c r="F35" s="824" t="s">
        <v>593</v>
      </c>
      <c r="G35" s="825"/>
      <c r="H35" s="817"/>
      <c r="I35" s="817"/>
    </row>
    <row r="36" spans="1:9" s="826" customFormat="1" ht="19.5" customHeight="1">
      <c r="A36" s="3424"/>
      <c r="B36" s="3424" t="s">
        <v>563</v>
      </c>
      <c r="C36" s="822" t="s">
        <v>594</v>
      </c>
      <c r="D36" s="823"/>
      <c r="E36" s="821">
        <v>1</v>
      </c>
      <c r="F36" s="824" t="s">
        <v>595</v>
      </c>
      <c r="G36" s="825"/>
      <c r="H36" s="817"/>
      <c r="I36" s="817"/>
    </row>
    <row r="37" spans="1:9" s="826" customFormat="1" ht="19.5" customHeight="1">
      <c r="A37" s="3424"/>
      <c r="B37" s="3424"/>
      <c r="C37" s="822" t="s">
        <v>596</v>
      </c>
      <c r="D37" s="823"/>
      <c r="E37" s="821">
        <v>1.5</v>
      </c>
      <c r="F37" s="824" t="s">
        <v>597</v>
      </c>
      <c r="G37" s="825"/>
      <c r="H37" s="817"/>
      <c r="I37" s="817"/>
    </row>
    <row r="38" spans="1:9" s="826" customFormat="1" ht="19.5" customHeight="1">
      <c r="A38" s="3424"/>
      <c r="B38" s="3424"/>
      <c r="C38" s="822" t="s">
        <v>598</v>
      </c>
      <c r="D38" s="823"/>
      <c r="E38" s="821">
        <v>1</v>
      </c>
      <c r="F38" s="824" t="s">
        <v>599</v>
      </c>
      <c r="G38" s="825"/>
      <c r="H38" s="817"/>
      <c r="I38" s="817"/>
    </row>
    <row r="39" spans="1:9" s="826" customFormat="1" ht="19.5" customHeight="1">
      <c r="A39" s="3424"/>
      <c r="B39" s="342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4" t="s">
        <v>614</v>
      </c>
      <c r="C61" s="757" t="s">
        <v>615</v>
      </c>
      <c r="D61" s="757" t="s">
        <v>616</v>
      </c>
      <c r="E61" s="834">
        <v>0.5</v>
      </c>
      <c r="F61" s="821">
        <v>80</v>
      </c>
    </row>
    <row r="62" spans="1:8" s="817" customFormat="1" ht="24">
      <c r="A62" s="821">
        <v>2</v>
      </c>
      <c r="B62" s="3424"/>
      <c r="C62" s="757" t="s">
        <v>617</v>
      </c>
      <c r="D62" s="757" t="s">
        <v>618</v>
      </c>
      <c r="E62" s="834">
        <v>0.5</v>
      </c>
      <c r="F62" s="821">
        <v>80</v>
      </c>
    </row>
    <row r="63" spans="1:8" s="817" customFormat="1" ht="36">
      <c r="A63" s="821">
        <v>3</v>
      </c>
      <c r="B63" s="3424"/>
      <c r="C63" s="757" t="s">
        <v>619</v>
      </c>
      <c r="D63" s="757" t="s">
        <v>620</v>
      </c>
      <c r="E63" s="834">
        <v>0.5</v>
      </c>
      <c r="F63" s="821">
        <v>80</v>
      </c>
    </row>
    <row r="64" spans="1:8" s="817" customFormat="1" ht="36">
      <c r="A64" s="821">
        <v>4</v>
      </c>
      <c r="B64" s="3424"/>
      <c r="C64" s="757" t="s">
        <v>621</v>
      </c>
      <c r="D64" s="757" t="s">
        <v>622</v>
      </c>
      <c r="E64" s="834">
        <v>0.4</v>
      </c>
      <c r="F64" s="821">
        <v>60</v>
      </c>
    </row>
    <row r="65" spans="1:6" s="817" customFormat="1" ht="36">
      <c r="A65" s="821">
        <v>5</v>
      </c>
      <c r="B65" s="3424"/>
      <c r="C65" s="757" t="s">
        <v>623</v>
      </c>
      <c r="D65" s="757" t="s">
        <v>624</v>
      </c>
      <c r="E65" s="834">
        <v>0.2</v>
      </c>
      <c r="F65" s="821">
        <v>30</v>
      </c>
    </row>
    <row r="66" spans="1:6" s="817" customFormat="1" ht="36">
      <c r="A66" s="821">
        <v>6</v>
      </c>
      <c r="B66" s="3424"/>
      <c r="C66" s="757" t="s">
        <v>625</v>
      </c>
      <c r="D66" s="757" t="s">
        <v>626</v>
      </c>
      <c r="E66" s="834">
        <v>0.3</v>
      </c>
      <c r="F66" s="821">
        <v>50</v>
      </c>
    </row>
    <row r="67" spans="1:6" s="817" customFormat="1" ht="36">
      <c r="A67" s="821">
        <v>7</v>
      </c>
      <c r="B67" s="3424"/>
      <c r="C67" s="757" t="s">
        <v>627</v>
      </c>
      <c r="D67" s="757" t="s">
        <v>628</v>
      </c>
      <c r="E67" s="834">
        <v>0.2</v>
      </c>
      <c r="F67" s="821">
        <v>30</v>
      </c>
    </row>
    <row r="68" spans="1:6" s="817" customFormat="1" ht="36">
      <c r="A68" s="821">
        <v>8</v>
      </c>
      <c r="B68" s="3424"/>
      <c r="C68" s="757" t="s">
        <v>629</v>
      </c>
      <c r="D68" s="757" t="s">
        <v>630</v>
      </c>
      <c r="E68" s="834">
        <v>0.2</v>
      </c>
      <c r="F68" s="821">
        <v>30</v>
      </c>
    </row>
    <row r="69" spans="1:6" s="817" customFormat="1" ht="36">
      <c r="A69" s="821">
        <v>9</v>
      </c>
      <c r="B69" s="3424"/>
      <c r="C69" s="757" t="s">
        <v>631</v>
      </c>
      <c r="D69" s="757" t="s">
        <v>632</v>
      </c>
      <c r="E69" s="834">
        <v>0.2</v>
      </c>
      <c r="F69" s="821">
        <v>30</v>
      </c>
    </row>
    <row r="70" spans="1:6" s="817" customFormat="1" ht="48">
      <c r="A70" s="821">
        <v>10</v>
      </c>
      <c r="B70" s="3424"/>
      <c r="C70" s="757" t="s">
        <v>633</v>
      </c>
      <c r="D70" s="757" t="s">
        <v>634</v>
      </c>
      <c r="E70" s="834">
        <v>0.2</v>
      </c>
      <c r="F70" s="821">
        <v>30</v>
      </c>
    </row>
    <row r="71" spans="1:6" s="817" customFormat="1" ht="48">
      <c r="A71" s="821">
        <v>11</v>
      </c>
      <c r="B71" s="3424"/>
      <c r="C71" s="757" t="s">
        <v>635</v>
      </c>
      <c r="D71" s="757" t="s">
        <v>636</v>
      </c>
      <c r="E71" s="834">
        <v>0.2</v>
      </c>
      <c r="F71" s="821">
        <v>30</v>
      </c>
    </row>
    <row r="72" spans="1:6" s="817" customFormat="1" ht="36">
      <c r="A72" s="821">
        <v>12</v>
      </c>
      <c r="B72" s="3424"/>
      <c r="C72" s="757" t="s">
        <v>637</v>
      </c>
      <c r="D72" s="757" t="s">
        <v>638</v>
      </c>
      <c r="E72" s="834">
        <v>0.5</v>
      </c>
      <c r="F72" s="821">
        <v>80</v>
      </c>
    </row>
    <row r="73" spans="1:6" s="817" customFormat="1" ht="24">
      <c r="A73" s="821">
        <v>13</v>
      </c>
      <c r="B73" s="3424"/>
      <c r="C73" s="757" t="s">
        <v>639</v>
      </c>
      <c r="D73" s="757" t="s">
        <v>640</v>
      </c>
      <c r="E73" s="834">
        <v>0.4</v>
      </c>
      <c r="F73" s="821">
        <v>60</v>
      </c>
    </row>
    <row r="74" spans="1:6" s="817" customFormat="1" ht="24">
      <c r="A74" s="821">
        <v>14</v>
      </c>
      <c r="B74" s="3424"/>
      <c r="C74" s="757" t="s">
        <v>641</v>
      </c>
      <c r="D74" s="757" t="s">
        <v>642</v>
      </c>
      <c r="E74" s="834">
        <v>0.2</v>
      </c>
      <c r="F74" s="821">
        <v>30</v>
      </c>
    </row>
    <row r="75" spans="1:6" s="817" customFormat="1" ht="24">
      <c r="A75" s="821">
        <v>15</v>
      </c>
      <c r="B75" s="3424"/>
      <c r="C75" s="757" t="s">
        <v>643</v>
      </c>
      <c r="D75" s="757" t="s">
        <v>644</v>
      </c>
      <c r="E75" s="834">
        <v>0.2</v>
      </c>
      <c r="F75" s="821">
        <v>30</v>
      </c>
    </row>
    <row r="76" spans="1:6" s="817" customFormat="1" ht="24">
      <c r="A76" s="821">
        <v>16</v>
      </c>
      <c r="B76" s="3424" t="s">
        <v>645</v>
      </c>
      <c r="C76" s="757" t="s">
        <v>646</v>
      </c>
      <c r="D76" s="757" t="s">
        <v>647</v>
      </c>
      <c r="E76" s="834">
        <v>0.5</v>
      </c>
      <c r="F76" s="821">
        <v>80</v>
      </c>
    </row>
    <row r="77" spans="1:6" s="817" customFormat="1" ht="24">
      <c r="A77" s="821">
        <v>17</v>
      </c>
      <c r="B77" s="3424"/>
      <c r="C77" s="757" t="s">
        <v>648</v>
      </c>
      <c r="D77" s="757" t="s">
        <v>649</v>
      </c>
      <c r="E77" s="834">
        <v>0.5</v>
      </c>
      <c r="F77" s="821">
        <v>80</v>
      </c>
    </row>
    <row r="78" spans="1:6" s="817" customFormat="1" ht="24">
      <c r="A78" s="821">
        <v>18</v>
      </c>
      <c r="B78" s="3424"/>
      <c r="C78" s="757" t="s">
        <v>650</v>
      </c>
      <c r="D78" s="757" t="s">
        <v>651</v>
      </c>
      <c r="E78" s="834">
        <v>0.2</v>
      </c>
      <c r="F78" s="821">
        <v>30</v>
      </c>
    </row>
    <row r="79" spans="1:6" s="817" customFormat="1" ht="24">
      <c r="A79" s="821">
        <v>19</v>
      </c>
      <c r="B79" s="3424"/>
      <c r="C79" s="757" t="s">
        <v>652</v>
      </c>
      <c r="D79" s="757" t="s">
        <v>653</v>
      </c>
      <c r="E79" s="834">
        <v>0.5</v>
      </c>
      <c r="F79" s="821">
        <v>80</v>
      </c>
    </row>
    <row r="80" spans="1:6" s="817" customFormat="1" ht="36">
      <c r="A80" s="821">
        <v>20</v>
      </c>
      <c r="B80" s="3424"/>
      <c r="C80" s="757" t="s">
        <v>654</v>
      </c>
      <c r="D80" s="757" t="s">
        <v>655</v>
      </c>
      <c r="E80" s="834">
        <v>0.2</v>
      </c>
      <c r="F80" s="821">
        <v>30</v>
      </c>
    </row>
    <row r="81" spans="1:6" s="817" customFormat="1" ht="36">
      <c r="A81" s="821">
        <v>21</v>
      </c>
      <c r="B81" s="3424"/>
      <c r="C81" s="757" t="s">
        <v>656</v>
      </c>
      <c r="D81" s="757" t="s">
        <v>657</v>
      </c>
      <c r="E81" s="834">
        <v>0.2</v>
      </c>
      <c r="F81" s="821">
        <v>30</v>
      </c>
    </row>
    <row r="82" spans="1:6" s="817" customFormat="1" ht="48">
      <c r="A82" s="821">
        <v>22</v>
      </c>
      <c r="B82" s="3424"/>
      <c r="C82" s="757" t="s">
        <v>658</v>
      </c>
      <c r="D82" s="757" t="s">
        <v>659</v>
      </c>
      <c r="E82" s="834">
        <v>0.2</v>
      </c>
      <c r="F82" s="821">
        <v>30</v>
      </c>
    </row>
    <row r="83" spans="1:6" s="817" customFormat="1" ht="48">
      <c r="A83" s="821">
        <v>23</v>
      </c>
      <c r="B83" s="3424"/>
      <c r="C83" s="757" t="s">
        <v>660</v>
      </c>
      <c r="D83" s="757" t="s">
        <v>661</v>
      </c>
      <c r="E83" s="834">
        <v>0.2</v>
      </c>
      <c r="F83" s="821">
        <v>30</v>
      </c>
    </row>
    <row r="84" spans="1:6" s="817" customFormat="1" ht="36">
      <c r="A84" s="821">
        <v>24</v>
      </c>
      <c r="B84" s="3424"/>
      <c r="C84" s="757" t="s">
        <v>662</v>
      </c>
      <c r="D84" s="757" t="s">
        <v>663</v>
      </c>
      <c r="E84" s="834">
        <v>0.2</v>
      </c>
      <c r="F84" s="821">
        <v>30</v>
      </c>
    </row>
    <row r="85" spans="1:6" s="817" customFormat="1" ht="36">
      <c r="A85" s="821">
        <v>25</v>
      </c>
      <c r="B85" s="3424"/>
      <c r="C85" s="757" t="s">
        <v>664</v>
      </c>
      <c r="D85" s="757" t="s">
        <v>665</v>
      </c>
      <c r="E85" s="834">
        <v>0.5</v>
      </c>
      <c r="F85" s="821">
        <v>80</v>
      </c>
    </row>
    <row r="86" spans="1:6" s="817" customFormat="1" ht="36">
      <c r="A86" s="821">
        <v>26</v>
      </c>
      <c r="B86" s="3424"/>
      <c r="C86" s="757" t="s">
        <v>666</v>
      </c>
      <c r="D86" s="757" t="s">
        <v>667</v>
      </c>
      <c r="E86" s="834">
        <v>0.2</v>
      </c>
      <c r="F86" s="821">
        <v>30</v>
      </c>
    </row>
    <row r="87" spans="1:6" s="817" customFormat="1" ht="36">
      <c r="A87" s="821">
        <v>27</v>
      </c>
      <c r="B87" s="3424"/>
      <c r="C87" s="757" t="s">
        <v>668</v>
      </c>
      <c r="D87" s="757" t="s">
        <v>669</v>
      </c>
      <c r="E87" s="834">
        <v>0.2</v>
      </c>
      <c r="F87" s="821">
        <v>30</v>
      </c>
    </row>
    <row r="88" spans="1:6" s="817" customFormat="1" ht="36">
      <c r="A88" s="821">
        <v>28</v>
      </c>
      <c r="B88" s="3424"/>
      <c r="C88" s="757" t="s">
        <v>670</v>
      </c>
      <c r="D88" s="757" t="s">
        <v>671</v>
      </c>
      <c r="E88" s="834">
        <v>0.2</v>
      </c>
      <c r="F88" s="821">
        <v>30</v>
      </c>
    </row>
    <row r="89" spans="1:6" s="817" customFormat="1" ht="24">
      <c r="A89" s="821">
        <v>29</v>
      </c>
      <c r="B89" s="3424"/>
      <c r="C89" s="757" t="s">
        <v>672</v>
      </c>
      <c r="D89" s="757" t="s">
        <v>673</v>
      </c>
      <c r="E89" s="834">
        <v>0.2</v>
      </c>
      <c r="F89" s="821">
        <v>30</v>
      </c>
    </row>
    <row r="90" spans="1:6" s="817" customFormat="1" ht="24">
      <c r="A90" s="821">
        <v>30</v>
      </c>
      <c r="B90" s="3424"/>
      <c r="C90" s="757" t="s">
        <v>674</v>
      </c>
      <c r="D90" s="757" t="s">
        <v>675</v>
      </c>
      <c r="E90" s="834">
        <v>0.2</v>
      </c>
      <c r="F90" s="821">
        <v>30</v>
      </c>
    </row>
    <row r="91" spans="1:6" s="817" customFormat="1" ht="36">
      <c r="A91" s="821">
        <v>31</v>
      </c>
      <c r="B91" s="3424"/>
      <c r="C91" s="757" t="s">
        <v>676</v>
      </c>
      <c r="D91" s="757" t="s">
        <v>677</v>
      </c>
      <c r="E91" s="834">
        <v>0.2</v>
      </c>
      <c r="F91" s="821">
        <v>30</v>
      </c>
    </row>
    <row r="92" spans="1:6" s="817" customFormat="1" ht="24">
      <c r="A92" s="821">
        <v>32</v>
      </c>
      <c r="B92" s="3424" t="s">
        <v>678</v>
      </c>
      <c r="C92" s="821" t="s">
        <v>679</v>
      </c>
      <c r="D92" s="757" t="s">
        <v>680</v>
      </c>
      <c r="E92" s="834">
        <v>0.2</v>
      </c>
      <c r="F92" s="821">
        <v>30</v>
      </c>
    </row>
    <row r="93" spans="1:6" s="817" customFormat="1" ht="36">
      <c r="A93" s="821">
        <v>33</v>
      </c>
      <c r="B93" s="3424"/>
      <c r="C93" s="821" t="s">
        <v>681</v>
      </c>
      <c r="D93" s="757" t="s">
        <v>682</v>
      </c>
      <c r="E93" s="834">
        <v>0.2</v>
      </c>
      <c r="F93" s="821">
        <v>30</v>
      </c>
    </row>
    <row r="94" spans="1:6" s="817" customFormat="1" ht="48">
      <c r="A94" s="821">
        <v>34</v>
      </c>
      <c r="B94" s="3424"/>
      <c r="C94" s="821" t="s">
        <v>683</v>
      </c>
      <c r="D94" s="757" t="s">
        <v>684</v>
      </c>
      <c r="E94" s="834">
        <v>0.2</v>
      </c>
      <c r="F94" s="821">
        <v>30</v>
      </c>
    </row>
    <row r="95" spans="1:6" s="817" customFormat="1" ht="36">
      <c r="A95" s="821">
        <v>35</v>
      </c>
      <c r="B95" s="3424"/>
      <c r="C95" s="821" t="s">
        <v>685</v>
      </c>
      <c r="D95" s="757" t="s">
        <v>686</v>
      </c>
      <c r="E95" s="834">
        <v>0.2</v>
      </c>
      <c r="F95" s="821">
        <v>30</v>
      </c>
    </row>
    <row r="96" spans="1:6" s="817" customFormat="1" ht="48">
      <c r="A96" s="821">
        <v>36</v>
      </c>
      <c r="B96" s="3424"/>
      <c r="C96" s="757" t="s">
        <v>687</v>
      </c>
      <c r="D96" s="757" t="s">
        <v>688</v>
      </c>
      <c r="E96" s="834">
        <v>0.2</v>
      </c>
      <c r="F96" s="821">
        <v>30</v>
      </c>
    </row>
    <row r="97" spans="1:6" s="817" customFormat="1" ht="36">
      <c r="A97" s="821">
        <v>37</v>
      </c>
      <c r="B97" s="3424"/>
      <c r="C97" s="821" t="s">
        <v>689</v>
      </c>
      <c r="D97" s="757" t="s">
        <v>690</v>
      </c>
      <c r="E97" s="834">
        <v>0.2</v>
      </c>
      <c r="F97" s="821">
        <v>30</v>
      </c>
    </row>
    <row r="98" spans="1:6" s="817" customFormat="1" ht="36">
      <c r="A98" s="821">
        <v>38</v>
      </c>
      <c r="B98" s="3424"/>
      <c r="C98" s="821" t="s">
        <v>691</v>
      </c>
      <c r="D98" s="757" t="s">
        <v>692</v>
      </c>
      <c r="E98" s="834">
        <v>0.2</v>
      </c>
      <c r="F98" s="821">
        <v>30</v>
      </c>
    </row>
    <row r="99" spans="1:6" s="817" customFormat="1" ht="36">
      <c r="A99" s="821">
        <v>39</v>
      </c>
      <c r="B99" s="3424" t="s">
        <v>693</v>
      </c>
      <c r="C99" s="821" t="s">
        <v>694</v>
      </c>
      <c r="D99" s="757" t="s">
        <v>695</v>
      </c>
      <c r="E99" s="834">
        <v>0.3</v>
      </c>
      <c r="F99" s="821">
        <v>50</v>
      </c>
    </row>
    <row r="100" spans="1:6" s="817" customFormat="1" ht="24">
      <c r="A100" s="821">
        <v>40</v>
      </c>
      <c r="B100" s="3424"/>
      <c r="C100" s="821" t="s">
        <v>696</v>
      </c>
      <c r="D100" s="757" t="s">
        <v>697</v>
      </c>
      <c r="E100" s="834">
        <v>0.2</v>
      </c>
      <c r="F100" s="821">
        <v>30</v>
      </c>
    </row>
    <row r="101" spans="1:6" s="817" customFormat="1" ht="36">
      <c r="A101" s="821">
        <v>41</v>
      </c>
      <c r="B101" s="342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4" t="s">
        <v>708</v>
      </c>
      <c r="C105" s="821" t="s">
        <v>709</v>
      </c>
      <c r="D105" s="757" t="s">
        <v>710</v>
      </c>
      <c r="E105" s="834">
        <v>0.2</v>
      </c>
      <c r="F105" s="821">
        <v>30</v>
      </c>
    </row>
    <row r="106" spans="1:6" s="817" customFormat="1" ht="36">
      <c r="A106" s="821">
        <v>46</v>
      </c>
      <c r="B106" s="3424"/>
      <c r="C106" s="821" t="s">
        <v>711</v>
      </c>
      <c r="D106" s="757" t="s">
        <v>712</v>
      </c>
      <c r="E106" s="834">
        <v>0.2</v>
      </c>
      <c r="F106" s="821">
        <v>30</v>
      </c>
    </row>
    <row r="107" spans="1:6" s="817" customFormat="1" ht="36">
      <c r="A107" s="821">
        <v>47</v>
      </c>
      <c r="B107" s="3424" t="s">
        <v>713</v>
      </c>
      <c r="C107" s="821" t="s">
        <v>714</v>
      </c>
      <c r="D107" s="757" t="s">
        <v>715</v>
      </c>
      <c r="E107" s="834">
        <v>0.3</v>
      </c>
      <c r="F107" s="821">
        <v>50</v>
      </c>
    </row>
    <row r="108" spans="1:6" s="817" customFormat="1" ht="36">
      <c r="A108" s="821">
        <v>48</v>
      </c>
      <c r="B108" s="342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4" t="s">
        <v>724</v>
      </c>
      <c r="C111" s="821" t="s">
        <v>725</v>
      </c>
      <c r="D111" s="757" t="s">
        <v>726</v>
      </c>
      <c r="E111" s="834">
        <v>0.2</v>
      </c>
      <c r="F111" s="821">
        <v>30</v>
      </c>
    </row>
    <row r="112" spans="1:6" s="817" customFormat="1" ht="24">
      <c r="A112" s="821">
        <v>52</v>
      </c>
      <c r="B112" s="3424"/>
      <c r="C112" s="821" t="s">
        <v>727</v>
      </c>
      <c r="D112" s="757" t="s">
        <v>728</v>
      </c>
      <c r="E112" s="834">
        <v>0.2</v>
      </c>
      <c r="F112" s="821">
        <v>30</v>
      </c>
    </row>
    <row r="113" spans="1:6" s="817" customFormat="1" ht="24">
      <c r="A113" s="821">
        <v>53</v>
      </c>
      <c r="B113" s="342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4" t="s">
        <v>737</v>
      </c>
      <c r="C116" s="821" t="s">
        <v>738</v>
      </c>
      <c r="D116" s="757" t="s">
        <v>739</v>
      </c>
      <c r="E116" s="834">
        <v>0.2</v>
      </c>
      <c r="F116" s="821">
        <v>30</v>
      </c>
    </row>
    <row r="117" spans="1:6" ht="36">
      <c r="A117" s="821">
        <v>57</v>
      </c>
      <c r="B117" s="342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2822</v>
      </c>
      <c r="B1" s="2362"/>
      <c r="C1" s="2362"/>
      <c r="D1" s="2362"/>
      <c r="E1" s="2362"/>
      <c r="F1" s="3023"/>
      <c r="G1" s="3023"/>
      <c r="H1" s="3023"/>
      <c r="I1" s="3023"/>
      <c r="J1" s="3023"/>
      <c r="K1" s="3023"/>
      <c r="L1" s="3023"/>
      <c r="M1" s="3023"/>
      <c r="N1" s="3023"/>
      <c r="O1" s="3023"/>
      <c r="P1" s="3023"/>
    </row>
    <row r="2" spans="1:16" ht="15.75">
      <c r="A2" s="2360" t="s">
        <v>2814</v>
      </c>
      <c r="B2" s="2827" t="e">
        <f ca="1">SUMIF(B6:B13,"&lt;&gt;#ref!",B6:B13)</f>
        <v>#DIV/0!</v>
      </c>
      <c r="C2" s="2360" t="s">
        <v>2815</v>
      </c>
      <c r="D2" s="2360" t="s">
        <v>2816</v>
      </c>
      <c r="E2" s="2837">
        <f ca="1">SUMIF(E6:E13,"&lt;&gt;#ref!",E6:E13)</f>
        <v>0</v>
      </c>
      <c r="F2" s="3023"/>
      <c r="G2" s="3023"/>
      <c r="H2" s="3023"/>
      <c r="I2" s="3023"/>
      <c r="J2" s="3023"/>
      <c r="K2" s="3023"/>
      <c r="L2" s="3023"/>
      <c r="M2" s="3023"/>
      <c r="N2" s="3023"/>
      <c r="O2" s="3023"/>
      <c r="P2" s="3023"/>
    </row>
    <row r="3" spans="1:16" ht="15.75">
      <c r="A3" s="2360" t="s">
        <v>2817</v>
      </c>
      <c r="B3" s="2827" t="e">
        <f ca="1">ROUND(B2*10000/E2,0)</f>
        <v>#DIV/0!</v>
      </c>
      <c r="C3" s="2360"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1"/>
      <c r="D5" s="3023"/>
      <c r="E5" s="2836" t="s">
        <v>2820</v>
      </c>
      <c r="F5" s="3023"/>
      <c r="G5" s="3023"/>
      <c r="H5" s="3023"/>
      <c r="I5" s="3023"/>
      <c r="J5" s="3023"/>
      <c r="K5" s="3023"/>
      <c r="L5" s="3023"/>
      <c r="M5" s="3023"/>
      <c r="N5" s="3023"/>
      <c r="O5" s="3023"/>
      <c r="P5" s="3023"/>
    </row>
    <row r="6" spans="1:16" ht="15.75">
      <c r="A6" s="2834" t="s">
        <v>2821</v>
      </c>
      <c r="B6" s="2827" t="e">
        <f ca="1">SUMIF(INDIRECT("'"&amp;A6&amp;"'"&amp;"!A:A"),"总价",INDIRECT("'"&amp;A6&amp;"'"&amp;"!B:B"))</f>
        <v>#DIV/0!</v>
      </c>
      <c r="C6" s="2360" t="s">
        <v>2815</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9"/>
  <sheetViews>
    <sheetView zoomScale="80" zoomScaleNormal="80" workbookViewId="0">
      <selection activeCell="L7" sqref="L7"/>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30" t="s">
        <v>1117</v>
      </c>
      <c r="C1" s="3430"/>
      <c r="D1" s="3430"/>
      <c r="E1" s="3430"/>
      <c r="F1" s="3430"/>
      <c r="G1" s="3429" t="s">
        <v>1118</v>
      </c>
      <c r="H1" s="3429"/>
      <c r="I1" s="3429"/>
      <c r="J1" s="3429"/>
      <c r="K1" s="3429"/>
      <c r="L1" s="3429"/>
      <c r="N1" s="3429" t="s">
        <v>1119</v>
      </c>
      <c r="O1" s="3429"/>
      <c r="P1" s="3429"/>
      <c r="Q1" s="3429"/>
      <c r="S1" s="3429" t="s">
        <v>1120</v>
      </c>
      <c r="T1" s="3429"/>
      <c r="U1" s="3429"/>
      <c r="V1" s="3429"/>
      <c r="X1" s="3428" t="s">
        <v>1121</v>
      </c>
      <c r="Y1" s="3429"/>
      <c r="Z1" s="3429"/>
      <c r="AA1" s="3429"/>
      <c r="AB1" s="3429"/>
      <c r="AD1" s="3428" t="s">
        <v>1122</v>
      </c>
      <c r="AE1" s="3429"/>
      <c r="AF1" s="3429"/>
      <c r="AG1" s="3429"/>
      <c r="AH1" s="3429"/>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2855</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3064</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60">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2856</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3063</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60">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3062</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9">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3061</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3">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3059</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42">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3058</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9">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2872</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2870</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2869</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2868</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2866</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2864</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2867</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426">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2862</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426"/>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2861</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426"/>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2854</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435"/>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2852</v>
      </c>
      <c r="B21" s="2437">
        <v>439</v>
      </c>
      <c r="C21" s="2437">
        <v>327</v>
      </c>
      <c r="D21" s="2437">
        <f>C21</f>
        <v>327</v>
      </c>
      <c r="E21" s="2437">
        <v>627</v>
      </c>
      <c r="F21" s="2438">
        <v>283</v>
      </c>
      <c r="G21" s="3431">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2853</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426"/>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426"/>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435"/>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431">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426"/>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426"/>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427"/>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425">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426"/>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426"/>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427"/>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425">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426"/>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426"/>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427"/>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432">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433"/>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433"/>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434"/>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425">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426"/>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426"/>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427"/>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425">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426">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426">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427">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425">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426">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426">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427">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425">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426">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426">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427">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425">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426">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426">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427">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425">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426">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426">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427">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425">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426">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426">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427">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425">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426">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426">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427">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425">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426">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426">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427">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425">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426">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426">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427">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425">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426">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426">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427">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1"/>
      <c r="C2" s="3111"/>
      <c r="D2" s="3111"/>
      <c r="E2" s="3111"/>
    </row>
    <row r="3" spans="1:5" ht="18">
      <c r="A3" s="3112" t="str">
        <f>IF(项目基本情况!B9="房地产市场价值","估价结果一览表（市场价值不需“结果表-1”）","估价结果一览表")</f>
        <v>估价结果一览表</v>
      </c>
      <c r="B3" s="3112"/>
      <c r="C3" s="3112"/>
      <c r="D3" s="3112"/>
      <c r="E3" s="3112"/>
    </row>
    <row r="4" spans="1:5" ht="19.5" thickBot="1">
      <c r="A4" s="1677"/>
      <c r="B4" s="3110" t="s">
        <v>1595</v>
      </c>
      <c r="C4" s="3110"/>
      <c r="D4" s="3110"/>
      <c r="E4" s="1677"/>
    </row>
    <row r="5" spans="1:5" ht="16.5" thickTop="1">
      <c r="A5" s="1675"/>
      <c r="B5" s="3108" t="s">
        <v>1587</v>
      </c>
      <c r="C5" s="1678" t="s">
        <v>1588</v>
      </c>
      <c r="D5" s="959">
        <f ca="1">结果表!H101</f>
        <v>79964</v>
      </c>
      <c r="E5" s="1675"/>
    </row>
    <row r="6" spans="1:5" ht="15.75">
      <c r="A6" s="1675"/>
      <c r="B6" s="3108"/>
      <c r="C6" s="1678" t="s">
        <v>1589</v>
      </c>
      <c r="D6" s="959" t="str">
        <f ca="1">NUMBERSTRING(INT(D5*10000),2)&amp;"元整"</f>
        <v>柒亿玖仟玖佰陆拾肆万元整</v>
      </c>
      <c r="E6" s="1675"/>
    </row>
    <row r="7" spans="1:5" ht="15.75">
      <c r="A7" s="1675"/>
      <c r="B7" s="3113"/>
      <c r="C7" s="1679" t="s">
        <v>1590</v>
      </c>
      <c r="D7" s="960">
        <f ca="1">结果表!H102</f>
        <v>21326</v>
      </c>
      <c r="E7" s="1675"/>
    </row>
    <row r="8" spans="1:5" ht="15.75">
      <c r="A8" s="1675"/>
      <c r="B8" s="3114" t="str">
        <f>结果表!E103</f>
        <v>2.估价师知悉的法定优先受偿款</v>
      </c>
      <c r="C8" s="1680" t="s">
        <v>1591</v>
      </c>
      <c r="D8" s="960">
        <f>结果表!H103</f>
        <v>0</v>
      </c>
      <c r="E8" s="1675"/>
    </row>
    <row r="9" spans="1:5" ht="15.75">
      <c r="A9" s="1675"/>
      <c r="B9" s="3116"/>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107" t="str">
        <f>结果表!E107</f>
        <v>3.房地产抵押价值</v>
      </c>
      <c r="C13" s="1683" t="s">
        <v>1588</v>
      </c>
      <c r="D13" s="962">
        <f ca="1">结果表!H107</f>
        <v>79964</v>
      </c>
      <c r="E13" s="1675"/>
    </row>
    <row r="14" spans="1:5" ht="15.75">
      <c r="A14" s="1675"/>
      <c r="B14" s="3108"/>
      <c r="C14" s="1678" t="s">
        <v>1589</v>
      </c>
      <c r="D14" s="959" t="str">
        <f ca="1">NUMBERSTRING(INT(D13*10000),2)&amp;"元整"</f>
        <v>柒亿玖仟玖佰陆拾肆万元整</v>
      </c>
      <c r="E14" s="1675"/>
    </row>
    <row r="15" spans="1:5" ht="15">
      <c r="A15" s="1675"/>
      <c r="B15" s="3113"/>
      <c r="C15" s="1679" t="s">
        <v>1599</v>
      </c>
      <c r="D15" s="968">
        <f ca="1">结果表!H108</f>
        <v>13601</v>
      </c>
      <c r="E15" s="1675"/>
    </row>
    <row r="16" spans="1:5" ht="15">
      <c r="A16" s="1675"/>
      <c r="B16" s="3114" t="str">
        <f>结果表!E109</f>
        <v>——</v>
      </c>
      <c r="C16" s="1683" t="s">
        <v>1600</v>
      </c>
      <c r="D16" s="1684" t="str">
        <f>结果表!H109</f>
        <v>——</v>
      </c>
      <c r="E16" s="1675"/>
    </row>
    <row r="17" spans="1:5" ht="15.75">
      <c r="A17" s="1675"/>
      <c r="B17" s="3115"/>
      <c r="C17" s="1678" t="s">
        <v>1601</v>
      </c>
      <c r="D17" s="959" t="e">
        <f>NUMBERSTRING(INT(D16*10000),2)&amp;"元整"</f>
        <v>#VALUE!</v>
      </c>
      <c r="E17" s="1675"/>
    </row>
    <row r="18" spans="1:5" ht="15">
      <c r="A18" s="1675"/>
      <c r="B18" s="3116"/>
      <c r="C18" s="1679" t="s">
        <v>1590</v>
      </c>
      <c r="D18" s="968" t="str">
        <f>结果表!H110</f>
        <v>——</v>
      </c>
      <c r="E18" s="1675"/>
    </row>
    <row r="19" spans="1:5" ht="15.75">
      <c r="A19" s="1675"/>
      <c r="B19" s="3107" t="str">
        <f>结果表!E111</f>
        <v>——</v>
      </c>
      <c r="C19" s="1683" t="s">
        <v>1588</v>
      </c>
      <c r="D19" s="960" t="str">
        <f>结果表!H111</f>
        <v>——</v>
      </c>
      <c r="E19" s="1675"/>
    </row>
    <row r="20" spans="1:5" ht="15.75">
      <c r="A20" s="1675"/>
      <c r="B20" s="3108"/>
      <c r="C20" s="1678" t="s">
        <v>1601</v>
      </c>
      <c r="D20" s="959" t="e">
        <f>NUMBERSTRING(INT(D19*10000),2)&amp;"元整"</f>
        <v>#VALUE!</v>
      </c>
      <c r="E20" s="1675"/>
    </row>
    <row r="21" spans="1:5" ht="15.75" thickBot="1">
      <c r="A21" s="1675"/>
      <c r="B21" s="3109"/>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39" t="s">
        <v>2825</v>
      </c>
      <c r="D1" s="3440"/>
      <c r="E1" s="3440"/>
      <c r="F1" s="3440"/>
      <c r="G1" s="3440"/>
      <c r="H1" s="3440"/>
      <c r="I1" s="3440"/>
      <c r="J1" s="3440"/>
      <c r="K1" s="3440"/>
      <c r="L1" s="3440"/>
      <c r="M1" s="3440"/>
      <c r="N1" s="3440"/>
      <c r="O1" s="3440"/>
      <c r="P1" s="3440"/>
      <c r="Q1" s="3440"/>
      <c r="R1" s="3440"/>
      <c r="S1" s="3441"/>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2828</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2829</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2830</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2834</v>
      </c>
      <c r="B17" s="2364"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2836</v>
      </c>
      <c r="E19" s="1523"/>
      <c r="F19" s="1523"/>
      <c r="G19" s="1523"/>
      <c r="H19" s="1190"/>
      <c r="I19" s="164"/>
      <c r="J19" s="164"/>
      <c r="K19" s="164"/>
      <c r="L19" s="164"/>
      <c r="M19" s="164"/>
      <c r="N19" s="164"/>
      <c r="O19" s="164"/>
      <c r="P19" s="164"/>
      <c r="Q19" s="164"/>
      <c r="R19" s="727"/>
      <c r="S19" s="134"/>
    </row>
    <row r="20" spans="1:45" ht="16.5" thickBot="1">
      <c r="A20" s="671" t="s">
        <v>2837</v>
      </c>
      <c r="B20" s="300" t="e">
        <f ca="1">IF(D20="——",S22,S22-F20)</f>
        <v>#REF!</v>
      </c>
      <c r="C20" s="164"/>
      <c r="D20" s="2366"/>
      <c r="E20" s="1524"/>
      <c r="F20" s="1114" t="e">
        <f ca="1">SUMIF(INDIRECT("'"&amp;H20&amp;"'"&amp;"!A:A"),"承租人权益价值",INDIRECT("'"&amp;H20&amp;"'"&amp;"!c:c"))</f>
        <v>#REF!</v>
      </c>
      <c r="G20" s="1114" t="s">
        <v>2838</v>
      </c>
      <c r="H20" s="2367"/>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36" t="s">
        <v>33</v>
      </c>
      <c r="D22" s="3437"/>
      <c r="E22" s="3437"/>
      <c r="F22" s="3437"/>
      <c r="G22" s="3437"/>
      <c r="H22" s="3437"/>
      <c r="I22" s="3437"/>
      <c r="J22" s="3437"/>
      <c r="K22" s="3437"/>
      <c r="L22" s="3437"/>
      <c r="M22" s="3437"/>
      <c r="N22" s="3437"/>
      <c r="O22" s="3437"/>
      <c r="P22" s="3437"/>
      <c r="Q22" s="3438"/>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145906</v>
      </c>
      <c r="C2" s="2" t="s">
        <v>133</v>
      </c>
      <c r="D2" s="205"/>
      <c r="E2" s="205"/>
      <c r="F2" s="205"/>
      <c r="G2" s="205"/>
    </row>
    <row r="3" spans="1:7" s="206" customFormat="1" ht="18" customHeight="1" thickBot="1">
      <c r="A3" s="209" t="s">
        <v>85</v>
      </c>
      <c r="B3" s="210">
        <f ca="1">ROUND(B2*10000/'数据-汇总表'!E3,0)</f>
        <v>24816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1092</v>
      </c>
      <c r="D10" s="954">
        <f>'数据-汇总表'!E6</f>
        <v>58794.39</v>
      </c>
      <c r="E10" s="231">
        <f>'数据-取费表'!B28</f>
        <v>185.8</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1176</v>
      </c>
      <c r="D19" s="958">
        <f>'数据-汇总表'!E3</f>
        <v>58794.39</v>
      </c>
      <c r="E19" s="217">
        <f>'数据-取费表'!B31</f>
        <v>200</v>
      </c>
      <c r="F19" s="237"/>
      <c r="G19" s="1" t="s">
        <v>1042</v>
      </c>
    </row>
    <row r="20" spans="1:7" s="220" customFormat="1" ht="13.5" customHeight="1">
      <c r="A20" s="885" t="s">
        <v>1025</v>
      </c>
      <c r="B20" s="216" t="s">
        <v>104</v>
      </c>
      <c r="C20" s="238">
        <f>ROUND((C5+C19)*F20,0)</f>
        <v>218</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1946</v>
      </c>
      <c r="D22" s="241">
        <f ca="1">C26</f>
        <v>4.0000000000000002E-4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105</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3301</v>
      </c>
      <c r="D27" s="241">
        <f>C29</f>
        <v>1.5E-3</v>
      </c>
      <c r="E27" s="242" t="s">
        <v>126</v>
      </c>
      <c r="F27" s="252">
        <f>'数据-取费表'!Q16</f>
        <v>0.15</v>
      </c>
      <c r="G27" s="253" t="s">
        <v>1037</v>
      </c>
    </row>
    <row r="28" spans="1:7" s="220" customFormat="1" ht="13.5" customHeight="1">
      <c r="A28" s="888" t="s">
        <v>794</v>
      </c>
      <c r="B28" s="254" t="s">
        <v>1030</v>
      </c>
      <c r="C28" s="255">
        <f>ROUND((C5+C19+C20)*F27*'数据-取费表'!B21/'数据-取费表'!B20,0)</f>
        <v>3301</v>
      </c>
      <c r="D28" s="241"/>
      <c r="E28" s="242"/>
      <c r="F28" s="252"/>
      <c r="G28" s="253"/>
    </row>
    <row r="29" spans="1:7" s="220" customFormat="1" ht="13.5" customHeight="1">
      <c r="A29" s="888" t="s">
        <v>792</v>
      </c>
      <c r="B29" s="254" t="s">
        <v>1031</v>
      </c>
      <c r="C29" s="244">
        <f>ROUND(C21*F27*'数据-取费表'!B21/'数据-取费表'!B20,4)</f>
        <v>1.5E-3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29153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93337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88192</v>
      </c>
      <c r="D34" s="223"/>
      <c r="E34" s="226"/>
      <c r="F34" s="263">
        <f>IF('数据-取费表'!B24=0,1,'数据-取费表'!N16)</f>
        <v>1</v>
      </c>
      <c r="G34" s="225" t="s">
        <v>116</v>
      </c>
    </row>
    <row r="35" spans="1:7" ht="13.5" customHeight="1">
      <c r="A35" s="888" t="s">
        <v>796</v>
      </c>
      <c r="B35" s="221" t="s">
        <v>60</v>
      </c>
      <c r="C35" s="226">
        <f>ROUND(C34*F35,0)</f>
        <v>2646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1176</v>
      </c>
      <c r="D37" s="223">
        <f>'数据-汇总表'!E3</f>
        <v>58794.39</v>
      </c>
      <c r="E37" s="255">
        <f>'数据-取费表'!B35</f>
        <v>200</v>
      </c>
      <c r="F37" s="265"/>
      <c r="G37" s="267" t="s">
        <v>119</v>
      </c>
    </row>
    <row r="38" spans="1:7" ht="13.5" customHeight="1">
      <c r="A38" s="888" t="s">
        <v>799</v>
      </c>
      <c r="B38" s="221" t="s">
        <v>63</v>
      </c>
      <c r="C38" s="226">
        <f>ROUND(C34*F38,0)</f>
        <v>1323</v>
      </c>
      <c r="D38" s="226"/>
      <c r="E38" s="226"/>
      <c r="F38" s="265">
        <f>'数据-取费表'!B36</f>
        <v>1.4999999999999999E-2</v>
      </c>
      <c r="G38" s="225" t="s">
        <v>117</v>
      </c>
    </row>
    <row r="39" spans="1:7" s="220" customFormat="1" ht="13.5" customHeight="1">
      <c r="A39" s="885" t="s">
        <v>783</v>
      </c>
      <c r="B39" s="216" t="s">
        <v>104</v>
      </c>
      <c r="C39" s="238">
        <f>ROUND(C33*F20,0)</f>
        <v>933</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4101</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4060</v>
      </c>
      <c r="D42" s="244"/>
      <c r="E42" s="244"/>
      <c r="F42" s="245"/>
      <c r="G42" s="3296" t="s">
        <v>121</v>
      </c>
    </row>
    <row r="43" spans="1:7" ht="13.5" customHeight="1">
      <c r="A43" s="888" t="s">
        <v>792</v>
      </c>
      <c r="B43" s="221" t="s">
        <v>1032</v>
      </c>
      <c r="C43" s="244">
        <f ca="1">ROUND(IF('数据-取费表'!B22&lt;=1,C39*F22*'数据-取费表'!B21/2,C39*(POWER((1+F22),'数据-取费表'!B21/2)-1)),0)</f>
        <v>41</v>
      </c>
      <c r="D43" s="244"/>
      <c r="E43" s="244"/>
      <c r="F43" s="245"/>
      <c r="G43" s="3297"/>
    </row>
    <row r="44" spans="1:7" ht="13.5" customHeight="1">
      <c r="A44" s="888" t="s">
        <v>793</v>
      </c>
      <c r="B44" s="221" t="s">
        <v>1034</v>
      </c>
      <c r="C44" s="244">
        <f ca="1">ROUND(IF('数据-取费表'!B22&lt;=1,C40*F22*'数据-取费表'!B21/2,C40*(POWER((1+F22),'数据-取费表'!B21/2)-1)),4)</f>
        <v>4.0000000000000002E-4</v>
      </c>
      <c r="D44" s="244"/>
      <c r="E44" s="244"/>
      <c r="F44" s="245"/>
      <c r="G44" s="3298"/>
    </row>
    <row r="45" spans="1:7" s="220" customFormat="1" ht="13.5" customHeight="1">
      <c r="A45" s="885" t="s">
        <v>786</v>
      </c>
      <c r="B45" s="250" t="s">
        <v>112</v>
      </c>
      <c r="C45" s="251">
        <f>C46</f>
        <v>14141</v>
      </c>
      <c r="D45" s="241">
        <f>C47</f>
        <v>1.5E-3</v>
      </c>
      <c r="E45" s="242" t="s">
        <v>129</v>
      </c>
      <c r="F45" s="252"/>
      <c r="G45" s="253" t="s">
        <v>1040</v>
      </c>
    </row>
    <row r="46" spans="1:7" s="220" customFormat="1" ht="13.5" customHeight="1">
      <c r="A46" s="888" t="s">
        <v>794</v>
      </c>
      <c r="B46" s="254" t="s">
        <v>1033</v>
      </c>
      <c r="C46" s="255">
        <f>ROUND((C33+C39)*F27,0)</f>
        <v>14141</v>
      </c>
      <c r="D46" s="269"/>
      <c r="E46" s="242"/>
      <c r="F46" s="252"/>
      <c r="G46" s="253"/>
    </row>
    <row r="47" spans="1:7" s="220" customFormat="1" ht="13.5" customHeight="1">
      <c r="A47" s="888" t="s">
        <v>792</v>
      </c>
      <c r="B47" s="254" t="s">
        <v>1035</v>
      </c>
      <c r="C47" s="244">
        <f>ROUND(C40*F27,4)</f>
        <v>1.5E-3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120364</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116753</v>
      </c>
      <c r="D51" s="238"/>
      <c r="E51" s="238"/>
      <c r="F51" s="270"/>
      <c r="G51" s="240" t="s">
        <v>64</v>
      </c>
    </row>
    <row r="52" spans="1:7" s="214" customFormat="1" ht="16.5" thickBot="1">
      <c r="A52" s="271" t="s">
        <v>65</v>
      </c>
      <c r="B52" s="272"/>
      <c r="C52" s="273">
        <f ca="1">C31+C51</f>
        <v>145906</v>
      </c>
      <c r="D52" s="272"/>
      <c r="E52" s="272"/>
      <c r="F52" s="272"/>
      <c r="G52" s="274"/>
    </row>
    <row r="55" spans="1:7" ht="15">
      <c r="B55" s="276" t="s">
        <v>66</v>
      </c>
      <c r="C55" s="277"/>
    </row>
    <row r="56" spans="1:7">
      <c r="B56" s="279" t="s">
        <v>67</v>
      </c>
      <c r="C56" s="280">
        <f ca="1">ROUND(C51/C52,3)</f>
        <v>0.8</v>
      </c>
    </row>
    <row r="57" spans="1:7">
      <c r="B57" s="279" t="s">
        <v>68</v>
      </c>
      <c r="C57" s="281">
        <f ca="1">1-C56</f>
        <v>0.19999999999999996</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42" t="s">
        <v>156</v>
      </c>
      <c r="B1" s="3442"/>
      <c r="C1" s="3442"/>
      <c r="D1" s="3442"/>
      <c r="E1" s="3442"/>
      <c r="F1" s="344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43" t="s">
        <v>169</v>
      </c>
      <c r="B2" s="3443"/>
      <c r="C2" s="3443"/>
      <c r="D2" s="3443"/>
      <c r="E2" s="3443"/>
      <c r="F2" s="344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42" t="s">
        <v>839</v>
      </c>
      <c r="B1" s="344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44555</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3060</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AJ512"/>
  <sheetViews>
    <sheetView view="pageBreakPreview" zoomScaleNormal="100" zoomScaleSheetLayoutView="100" zoomScalePageLayoutView="80" workbookViewId="0">
      <selection activeCell="J101" sqref="J101"/>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t="s">
        <v>3180</v>
      </c>
      <c r="D1" s="1932"/>
      <c r="E1" s="1932"/>
      <c r="F1" s="1934" t="s">
        <v>1949</v>
      </c>
      <c r="G1" s="1745"/>
      <c r="H1" s="1935" t="str">
        <f>IF(G1="现房","——","估价对象范围")</f>
        <v>估价对象范围</v>
      </c>
      <c r="I1" s="1936"/>
    </row>
    <row r="2" spans="1:12" ht="21.75" customHeight="1" thickBot="1">
      <c r="A2" s="3233" t="str">
        <f>项目基本情况!S2</f>
        <v>房地产</v>
      </c>
      <c r="B2" s="3234"/>
      <c r="C2" s="3234"/>
      <c r="D2" s="3234"/>
      <c r="E2" s="3234"/>
      <c r="F2" s="3234"/>
      <c r="G2" s="3234"/>
      <c r="H2" s="3234"/>
      <c r="I2" s="3235"/>
    </row>
    <row r="3" spans="1:12" ht="12.75">
      <c r="A3" s="3237" t="s">
        <v>1950</v>
      </c>
      <c r="B3" s="3238"/>
      <c r="C3" s="3238"/>
      <c r="D3" s="3238"/>
      <c r="E3" s="3238"/>
      <c r="F3" s="3238"/>
      <c r="G3" s="3238"/>
      <c r="H3" s="3238"/>
      <c r="I3" s="3238"/>
    </row>
    <row r="4" spans="1:12" ht="14.25">
      <c r="A4" s="1939" t="s">
        <v>1951</v>
      </c>
      <c r="B4" s="1940" t="s">
        <v>1952</v>
      </c>
      <c r="C4" s="1941" t="s">
        <v>3184</v>
      </c>
      <c r="D4" s="1941" t="s">
        <v>3186</v>
      </c>
      <c r="E4" s="3239" t="s">
        <v>1953</v>
      </c>
      <c r="F4" s="3240"/>
      <c r="G4" s="3240"/>
      <c r="H4" s="3240"/>
      <c r="I4" s="3241"/>
      <c r="K4" s="151" t="str">
        <f>IF(ISNUMBER(FIND("比较法",'结果表-C2'!C4)),"比较法",IF(ISNUMBER(FIND("成本法",'结果表-C2'!C4)),"成本法",IF(ISNUMBER(FIND("假设开发法",'结果表-C2'!C4)),"假设开发法",IF(ISNUMBER(FIND("收益法",'结果表-C2'!C4)),"收益法","基准地价系数修正法"))))</f>
        <v>成本法</v>
      </c>
      <c r="L4" s="151" t="str">
        <f>IF(ISNUMBER(FIND("比较法",'结果表-C2'!D4)),"比较法",IF(ISNUMBER(FIND("成本法",'结果表-C2'!D4)),"成本法",IF(ISNUMBER(FIND("假设开发法",'结果表-C2'!D4)),"假设开发法",IF(ISNUMBER(FIND("收益法",'结果表-C2'!D4)),"收益法","基准地价系数修正法"))))</f>
        <v>收益法</v>
      </c>
    </row>
    <row r="5" spans="1:12" ht="12.75">
      <c r="A5" s="3213" t="s">
        <v>1954</v>
      </c>
      <c r="B5" s="3200">
        <v>25</v>
      </c>
      <c r="C5" s="3216"/>
      <c r="D5" s="3236"/>
      <c r="E5" s="136" t="s">
        <v>1955</v>
      </c>
      <c r="F5" s="1942"/>
      <c r="G5" s="1942"/>
      <c r="H5" s="1942"/>
      <c r="I5" s="1556"/>
    </row>
    <row r="6" spans="1:12" ht="12.75">
      <c r="A6" s="3213"/>
      <c r="B6" s="3200"/>
      <c r="C6" s="3217"/>
      <c r="D6" s="3236"/>
      <c r="E6" s="136" t="s">
        <v>1956</v>
      </c>
      <c r="F6" s="1942"/>
      <c r="G6" s="1942"/>
      <c r="H6" s="1942"/>
      <c r="I6" s="1556"/>
    </row>
    <row r="7" spans="1:12" ht="12.75">
      <c r="A7" s="3213"/>
      <c r="B7" s="3200"/>
      <c r="C7" s="3218"/>
      <c r="D7" s="3236"/>
      <c r="E7" s="136" t="s">
        <v>1957</v>
      </c>
      <c r="F7" s="1942"/>
      <c r="G7" s="1942"/>
      <c r="H7" s="1942"/>
      <c r="I7" s="1556"/>
    </row>
    <row r="8" spans="1:12" ht="12.75">
      <c r="A8" s="3213" t="s">
        <v>1958</v>
      </c>
      <c r="B8" s="3200">
        <v>15</v>
      </c>
      <c r="C8" s="3216"/>
      <c r="D8" s="3236"/>
      <c r="E8" s="136" t="s">
        <v>1959</v>
      </c>
      <c r="F8" s="1942"/>
      <c r="G8" s="1942"/>
      <c r="H8" s="1942"/>
      <c r="I8" s="1556"/>
    </row>
    <row r="9" spans="1:12" ht="12.75">
      <c r="A9" s="3213"/>
      <c r="B9" s="3200"/>
      <c r="C9" s="3218"/>
      <c r="D9" s="3236"/>
      <c r="E9" s="136" t="s">
        <v>1960</v>
      </c>
      <c r="F9" s="1942"/>
      <c r="G9" s="1942"/>
      <c r="H9" s="1942"/>
      <c r="I9" s="1556"/>
    </row>
    <row r="10" spans="1:12" ht="12.75">
      <c r="A10" s="3213" t="s">
        <v>1961</v>
      </c>
      <c r="B10" s="3200">
        <v>15</v>
      </c>
      <c r="C10" s="3216"/>
      <c r="D10" s="3236"/>
      <c r="E10" s="136" t="s">
        <v>1962</v>
      </c>
      <c r="F10" s="1942"/>
      <c r="G10" s="1942"/>
      <c r="H10" s="1942"/>
      <c r="I10" s="1556"/>
    </row>
    <row r="11" spans="1:12" ht="12.75">
      <c r="A11" s="3213"/>
      <c r="B11" s="3200"/>
      <c r="C11" s="3218"/>
      <c r="D11" s="3236"/>
      <c r="E11" s="136" t="s">
        <v>1963</v>
      </c>
      <c r="F11" s="1942"/>
      <c r="G11" s="1942"/>
      <c r="H11" s="1942"/>
      <c r="I11" s="1556"/>
    </row>
    <row r="12" spans="1:12" ht="12.75">
      <c r="A12" s="3213" t="s">
        <v>1964</v>
      </c>
      <c r="B12" s="3200">
        <v>15</v>
      </c>
      <c r="C12" s="3216"/>
      <c r="D12" s="3236"/>
      <c r="E12" s="136" t="s">
        <v>1965</v>
      </c>
      <c r="F12" s="1942"/>
      <c r="G12" s="1942"/>
      <c r="H12" s="1942"/>
      <c r="I12" s="1556"/>
    </row>
    <row r="13" spans="1:12" ht="12.75">
      <c r="A13" s="3213"/>
      <c r="B13" s="3200"/>
      <c r="C13" s="3218"/>
      <c r="D13" s="3236"/>
      <c r="E13" s="136" t="s">
        <v>1966</v>
      </c>
      <c r="F13" s="1942"/>
      <c r="G13" s="1942"/>
      <c r="H13" s="1942"/>
      <c r="I13" s="1556"/>
    </row>
    <row r="14" spans="1:12" ht="12.75">
      <c r="A14" s="3213" t="s">
        <v>1967</v>
      </c>
      <c r="B14" s="3200">
        <v>30</v>
      </c>
      <c r="C14" s="3216">
        <v>65</v>
      </c>
      <c r="D14" s="3236">
        <v>35</v>
      </c>
      <c r="E14" s="136" t="s">
        <v>1968</v>
      </c>
      <c r="F14" s="1942"/>
      <c r="G14" s="1942"/>
      <c r="H14" s="1942"/>
      <c r="I14" s="1556"/>
    </row>
    <row r="15" spans="1:12" ht="12.75">
      <c r="A15" s="3213"/>
      <c r="B15" s="3200"/>
      <c r="C15" s="3217"/>
      <c r="D15" s="3236"/>
      <c r="E15" s="136" t="s">
        <v>1969</v>
      </c>
      <c r="F15" s="1942"/>
      <c r="G15" s="1942"/>
      <c r="H15" s="1942"/>
      <c r="I15" s="1556"/>
    </row>
    <row r="16" spans="1:12" ht="12.75">
      <c r="A16" s="3213"/>
      <c r="B16" s="3200"/>
      <c r="C16" s="3218"/>
      <c r="D16" s="3236"/>
      <c r="E16" s="136" t="s">
        <v>1970</v>
      </c>
      <c r="F16" s="1942"/>
      <c r="G16" s="1942"/>
      <c r="H16" s="1942"/>
      <c r="I16" s="1556"/>
    </row>
    <row r="17" spans="1:36" ht="15">
      <c r="A17" s="1943" t="s">
        <v>1971</v>
      </c>
      <c r="B17" s="60"/>
      <c r="C17" s="137">
        <f>SUM(C5:C16)</f>
        <v>65</v>
      </c>
      <c r="D17" s="137">
        <f>SUM(D5:D16)</f>
        <v>35</v>
      </c>
      <c r="E17" s="134"/>
      <c r="F17" s="134"/>
      <c r="G17" s="134"/>
      <c r="H17" s="134"/>
      <c r="I17" s="134"/>
      <c r="K17" s="308"/>
      <c r="L17" s="308" t="s">
        <v>1972</v>
      </c>
      <c r="M17" s="308" t="s">
        <v>1973</v>
      </c>
    </row>
    <row r="18" spans="1:36" ht="31.9" customHeight="1" thickBot="1">
      <c r="A18" s="1944" t="s">
        <v>1974</v>
      </c>
      <c r="B18" s="1945"/>
      <c r="C18" s="138">
        <f>ROUND(C17/SUM(C17:D17),2)</f>
        <v>0.65</v>
      </c>
      <c r="D18" s="138">
        <f>1-C18</f>
        <v>0.35</v>
      </c>
      <c r="E18" s="3223" t="s">
        <v>2873</v>
      </c>
      <c r="F18" s="3224"/>
      <c r="G18" s="3224"/>
      <c r="H18" s="3224"/>
      <c r="I18" s="3224"/>
      <c r="K18" s="308" t="s">
        <v>1975</v>
      </c>
      <c r="L18" s="308">
        <f>IF(C1="",'数据-汇总表'!E3,SUMIF(项目类型,C1,'数据-汇总表'!E17:E26)+SUMIF(项目类型,C1,'数据-汇总表'!I17:I26))</f>
        <v>21299.25</v>
      </c>
      <c r="M18" s="308">
        <f>IF(C1="",'数据-汇总表'!E3,SUMIF(项目类型,C1,'数据-汇总表'!E17:E26))</f>
        <v>21299.25</v>
      </c>
    </row>
    <row r="19" spans="1:36" ht="15">
      <c r="A19" s="1946" t="s">
        <v>1976</v>
      </c>
      <c r="B19" s="1947" t="s">
        <v>1977</v>
      </c>
      <c r="C19" s="139">
        <f ca="1">SUMIF(INDIRECT("'"&amp;C4&amp;"'"&amp;"!A:A"),'结果表-C2'!B19,INDIRECT("'"&amp;C4&amp;"'"&amp;"!B:B"))</f>
        <v>66186</v>
      </c>
      <c r="D19" s="140">
        <f ca="1">SUMIF(INDIRECT("'"&amp;D4&amp;"'"&amp;"!A:A"),'结果表-C2'!B19,INDIRECT("'"&amp;D4&amp;"'"&amp;"!B:B"))</f>
        <v>6876</v>
      </c>
      <c r="E19" s="1946" t="s">
        <v>1978</v>
      </c>
      <c r="F19" s="1947" t="s">
        <v>1977</v>
      </c>
      <c r="G19" s="141">
        <f ca="1">ROUND(C19*$C$18+D19*$D$18,0)</f>
        <v>45428</v>
      </c>
      <c r="H19" s="1948" t="s">
        <v>1979</v>
      </c>
      <c r="I19" s="134"/>
      <c r="K19" s="308" t="s">
        <v>1980</v>
      </c>
      <c r="L19" s="308">
        <f>IF(C1="",'数据-汇总表'!D3,SUMIF(项目类型,C1,'数据-汇总表'!D17:D26)+SUMIF(项目类型,C1,'数据-汇总表'!H17:H27))</f>
        <v>48213.71</v>
      </c>
      <c r="M19" s="308">
        <f>IF(C1="",'数据-汇总表'!D3,SUMIF(项目类型,C1,'数据-汇总表'!D17:D26))</f>
        <v>48213.71</v>
      </c>
    </row>
    <row r="20" spans="1:36" ht="15">
      <c r="A20" s="1949"/>
      <c r="B20" s="1157" t="s">
        <v>1981</v>
      </c>
      <c r="C20" s="142">
        <f ca="1">SUMIF(INDIRECT("'"&amp;C4&amp;"'"&amp;"!A:A"),'结果表-C2'!B20,INDIRECT("'"&amp;C4&amp;"'"&amp;"!B:B"))</f>
        <v>31074</v>
      </c>
      <c r="D20" s="143">
        <f ca="1">SUMIF(INDIRECT("'"&amp;D4&amp;"'"&amp;"!A:A"),'结果表-C2'!B20,INDIRECT("'"&amp;D4&amp;"'"&amp;"!B:B"))</f>
        <v>3228</v>
      </c>
      <c r="E20" s="1949"/>
      <c r="F20" s="1157" t="s">
        <v>1981</v>
      </c>
      <c r="G20" s="144">
        <f ca="1">ROUND(C20*$C$18+D20*$D$18,0)</f>
        <v>21328</v>
      </c>
      <c r="H20" s="917" t="s">
        <v>1982</v>
      </c>
      <c r="I20" s="134"/>
    </row>
    <row r="21" spans="1:36" ht="15" customHeight="1" thickBot="1">
      <c r="A21" s="937"/>
      <c r="B21" s="1950" t="s">
        <v>1983</v>
      </c>
      <c r="C21" s="728">
        <f ca="1">ROUND(C19*10000/L19,0)</f>
        <v>13728</v>
      </c>
      <c r="D21" s="729">
        <f ca="1">ROUND(D19*10000/L19,0)</f>
        <v>1426</v>
      </c>
      <c r="E21" s="937"/>
      <c r="F21" s="1950" t="s">
        <v>1983</v>
      </c>
      <c r="G21" s="145">
        <f ca="1">ROUND(G19*10000/L19,0)</f>
        <v>9422</v>
      </c>
      <c r="H21" s="1951" t="s">
        <v>1982</v>
      </c>
      <c r="I21" s="134"/>
    </row>
    <row r="22" spans="1:36" ht="15" thickBot="1">
      <c r="A22" s="1873" t="s">
        <v>1984</v>
      </c>
      <c r="B22" s="1952"/>
      <c r="C22" s="1953"/>
      <c r="D22" s="730">
        <f ca="1">IF(C19&lt;D19,D19/C19-1,C19/D19-1)</f>
        <v>8.6256544502617807</v>
      </c>
      <c r="E22" s="134"/>
      <c r="F22" s="134"/>
      <c r="G22" s="134"/>
      <c r="H22" s="134"/>
      <c r="I22" s="134"/>
    </row>
    <row r="23" spans="1:36" ht="13.5" thickBot="1">
      <c r="A23" s="1932"/>
      <c r="B23" s="1932"/>
      <c r="C23" s="1932"/>
      <c r="D23" s="1932"/>
      <c r="E23" s="134"/>
      <c r="F23" s="134"/>
      <c r="G23" s="134"/>
      <c r="H23" s="134"/>
      <c r="I23" s="134"/>
    </row>
    <row r="24" spans="1:36" ht="14.25">
      <c r="A24" s="3207" t="s">
        <v>1985</v>
      </c>
      <c r="B24" s="1947" t="s">
        <v>1977</v>
      </c>
      <c r="C24" s="141">
        <f>IF(B30=0,0,D30)</f>
        <v>0</v>
      </c>
      <c r="D24" s="1954"/>
      <c r="E24" s="134"/>
      <c r="F24" s="134"/>
      <c r="G24" s="134"/>
      <c r="H24" s="134"/>
      <c r="I24" s="134"/>
    </row>
    <row r="25" spans="1:36" ht="14.25">
      <c r="A25" s="3208"/>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2874</v>
      </c>
      <c r="F30" s="134"/>
      <c r="G30" s="134"/>
      <c r="H30" s="134"/>
      <c r="I30" s="134"/>
    </row>
    <row r="31" spans="1:36" s="2526" customFormat="1" ht="26.45" customHeight="1" thickTop="1" thickBot="1">
      <c r="A31" s="2521"/>
      <c r="B31" s="2522"/>
      <c r="C31" s="2522"/>
      <c r="D31" s="2522"/>
      <c r="E31" s="2522"/>
      <c r="F31" s="2522"/>
      <c r="G31" s="2522"/>
      <c r="H31" s="2522"/>
      <c r="I31" s="2523" t="s">
        <v>2875</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45428</v>
      </c>
      <c r="D32" s="1960" t="s">
        <v>3189</v>
      </c>
      <c r="E32" s="134"/>
      <c r="F32" s="134"/>
      <c r="G32" s="134"/>
      <c r="H32" s="134"/>
      <c r="I32" s="134"/>
    </row>
    <row r="33" spans="1:15" ht="15">
      <c r="A33" s="894" t="s">
        <v>1992</v>
      </c>
      <c r="B33" s="1961"/>
      <c r="C33" s="1962" t="s">
        <v>3190</v>
      </c>
      <c r="D33" s="1963" t="s">
        <v>3188</v>
      </c>
      <c r="E33" s="1964" t="s">
        <v>1993</v>
      </c>
      <c r="F33" s="1965" t="str">
        <f>IF(D32="楼面单价","取值（单价）","取值（总价）")</f>
        <v>取值（总价）</v>
      </c>
      <c r="G33" s="134"/>
      <c r="H33" s="134"/>
      <c r="I33" s="134"/>
    </row>
    <row r="34" spans="1:15" ht="15">
      <c r="A34" s="1966"/>
      <c r="B34" s="1967" t="s">
        <v>1994</v>
      </c>
      <c r="C34" s="153">
        <f ca="1">IF(C33="自定义",F34,C32-C35)</f>
        <v>16400</v>
      </c>
      <c r="D34" s="970">
        <f ca="1">IF(C33="自定义",ROUND(C34/C32,3),IF(C33="收益比率",SUMIF(INDIRECT("'"&amp;D33&amp;"'"&amp;"!b:b"),"土地收益比率",INDIRECT("'"&amp;D33&amp;"'"&amp;"!c:c")),SUMIF(INDIRECT("'"&amp;D33&amp;"'"&amp;"!b:b"),"土地成本比率",INDIRECT("'"&amp;D33&amp;"'"&amp;"!c:c"))))</f>
        <v>0.36099999999999999</v>
      </c>
      <c r="E34" s="1968" t="s">
        <v>1995</v>
      </c>
      <c r="F34" s="1497"/>
      <c r="G34" s="134"/>
      <c r="H34" s="134"/>
      <c r="I34" s="134"/>
    </row>
    <row r="35" spans="1:15" ht="15.75" thickBot="1">
      <c r="A35" s="1969"/>
      <c r="B35" s="1970" t="s">
        <v>1996</v>
      </c>
      <c r="C35" s="1331">
        <f ca="1">IF(C33="自定义",F35,ROUND(C32*D35,0))</f>
        <v>29028</v>
      </c>
      <c r="D35" s="1332">
        <f ca="1">IF(C33="自定义",ROUND(C35/C32,3),IF(C33="收益比率",SUMIF(INDIRECT("'"&amp;D33&amp;"'"&amp;"!b:b"),"建筑物收益比率",INDIRECT("'"&amp;D33&amp;"'"&amp;"!c:c")),SUMIF(INDIRECT("'"&amp;D33&amp;"'"&amp;"!b:b"),"建筑物成本比率",INDIRECT("'"&amp;D33&amp;"'"&amp;"!c:c"))))</f>
        <v>0.63900000000000001</v>
      </c>
      <c r="E35" s="1971" t="s">
        <v>1997</v>
      </c>
      <c r="F35" s="159"/>
      <c r="G35" s="134"/>
      <c r="H35" s="134"/>
      <c r="I35" s="134"/>
    </row>
    <row r="36" spans="1:15" ht="15.75" thickBot="1">
      <c r="A36" s="3227" t="s">
        <v>1998</v>
      </c>
      <c r="B36" s="1972" t="s">
        <v>1999</v>
      </c>
      <c r="C36" s="150"/>
      <c r="D36" s="1973"/>
      <c r="E36" s="1974"/>
      <c r="F36" s="1975"/>
      <c r="G36" s="134"/>
      <c r="H36" s="134"/>
      <c r="I36" s="134"/>
    </row>
    <row r="37" spans="1:15" ht="15.75" thickBot="1">
      <c r="A37" s="3228"/>
      <c r="B37" s="1859" t="s">
        <v>2000</v>
      </c>
      <c r="C37" s="152"/>
      <c r="D37" s="1300"/>
      <c r="E37" s="1300"/>
      <c r="F37" s="1975"/>
      <c r="G37" s="134"/>
      <c r="H37" s="134"/>
      <c r="I37" s="134"/>
    </row>
    <row r="38" spans="1:15" ht="15.75" thickBot="1">
      <c r="A38" s="3229"/>
      <c r="B38" s="1976" t="s">
        <v>2001</v>
      </c>
      <c r="C38" s="683"/>
      <c r="D38" s="1977" t="s">
        <v>2002</v>
      </c>
      <c r="E38" s="1300"/>
      <c r="F38" s="1975"/>
      <c r="G38" s="134"/>
      <c r="H38" s="134"/>
      <c r="I38" s="134"/>
    </row>
    <row r="39" spans="1:15" ht="15">
      <c r="A39" s="1949" t="s">
        <v>2003</v>
      </c>
      <c r="B39" s="1978" t="s">
        <v>1987</v>
      </c>
      <c r="C39" s="1979" t="s">
        <v>1988</v>
      </c>
      <c r="D39" s="1979" t="s">
        <v>2006</v>
      </c>
      <c r="E39" s="1980" t="s">
        <v>1989</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04" t="s">
        <v>2012</v>
      </c>
      <c r="B45" s="3205"/>
      <c r="C45" s="3206"/>
      <c r="D45" s="160">
        <f ca="1">ROUND(H101*F45,0)</f>
        <v>45428</v>
      </c>
      <c r="E45" s="161" t="s">
        <v>2013</v>
      </c>
      <c r="F45" s="162">
        <v>1</v>
      </c>
      <c r="G45" s="163" t="s">
        <v>2014</v>
      </c>
      <c r="H45" s="134"/>
      <c r="I45" s="134"/>
      <c r="J45" s="3285" t="s">
        <v>2015</v>
      </c>
      <c r="K45" s="3285"/>
      <c r="L45" s="3285"/>
      <c r="M45" s="3285"/>
      <c r="N45" s="3285"/>
      <c r="O45" s="3285"/>
    </row>
    <row r="46" spans="1:15" ht="14.25" customHeight="1">
      <c r="A46" s="3201" t="s">
        <v>2016</v>
      </c>
      <c r="B46" s="3202"/>
      <c r="C46" s="3202"/>
      <c r="D46" s="3202"/>
      <c r="E46" s="3202"/>
      <c r="F46" s="3202"/>
      <c r="G46" s="3203"/>
      <c r="H46" s="1991"/>
      <c r="I46" s="164"/>
      <c r="J46" s="3074">
        <v>1</v>
      </c>
      <c r="K46" s="3266" t="s">
        <v>2017</v>
      </c>
      <c r="L46" s="3266"/>
      <c r="M46" s="3286"/>
      <c r="N46" s="3286"/>
      <c r="O46" s="3286"/>
    </row>
    <row r="47" spans="1:15" ht="12" customHeight="1">
      <c r="A47" s="165" t="s">
        <v>2018</v>
      </c>
      <c r="B47" s="166"/>
      <c r="C47" s="167"/>
      <c r="D47" s="1247" t="s">
        <v>2019</v>
      </c>
      <c r="E47" s="308" t="s">
        <v>2020</v>
      </c>
      <c r="F47" s="168" t="s">
        <v>2021</v>
      </c>
      <c r="G47" s="2771" t="s">
        <v>2022</v>
      </c>
      <c r="H47" s="2772"/>
      <c r="I47" s="164"/>
      <c r="J47" s="3074">
        <v>2</v>
      </c>
      <c r="K47" s="3266" t="s">
        <v>2023</v>
      </c>
      <c r="L47" s="3266"/>
      <c r="M47" s="3287">
        <f>'数据-取费表'!B2</f>
        <v>44555</v>
      </c>
      <c r="N47" s="3287"/>
      <c r="O47" s="3287"/>
    </row>
    <row r="48" spans="1:15" ht="25.5">
      <c r="A48" s="3232" t="s">
        <v>2024</v>
      </c>
      <c r="B48" s="3215"/>
      <c r="C48" s="3215"/>
      <c r="D48" s="3076" t="b">
        <f>IF(H48="情况1",0,IF(H48="情况2",D52,IF(H48="情况3",D53,IF(H48="情况4",D54))))</f>
        <v>0</v>
      </c>
      <c r="E48" s="3067" t="str">
        <f>IF(H48="情况4","(销售额-原购置价)×税（费）率","销售额×税（费）率")</f>
        <v>销售额×税（费）率</v>
      </c>
      <c r="F48" s="2773">
        <f>IF(H48="情况1","免征",'数据-取费表'!B41)</f>
        <v>5.6000000000000001E-2</v>
      </c>
      <c r="G48" s="2774" t="s">
        <v>2025</v>
      </c>
      <c r="H48" s="2775"/>
      <c r="I48" s="1991"/>
      <c r="J48" s="3074">
        <v>3</v>
      </c>
      <c r="K48" s="3266" t="s">
        <v>2026</v>
      </c>
      <c r="L48" s="3266"/>
      <c r="M48" s="3288">
        <f ca="1">H101</f>
        <v>45428</v>
      </c>
      <c r="N48" s="3288"/>
      <c r="O48" s="3288"/>
    </row>
    <row r="49" spans="1:35" ht="25.5" customHeight="1">
      <c r="A49" s="3071" t="s">
        <v>2027</v>
      </c>
      <c r="B49" s="3199" t="s">
        <v>2028</v>
      </c>
      <c r="C49" s="3199"/>
      <c r="D49" s="1774">
        <v>0</v>
      </c>
      <c r="E49" s="330" t="s">
        <v>2029</v>
      </c>
      <c r="F49" s="3061" t="s">
        <v>34</v>
      </c>
      <c r="G49" s="3272"/>
      <c r="H49" s="2527" t="s">
        <v>2876</v>
      </c>
      <c r="I49" s="2528"/>
      <c r="J49" s="3074">
        <v>4</v>
      </c>
      <c r="K49" s="3266" t="str">
        <f>IF(项目基本情况!E8="房地产抵押价值","房地产抵押价值","抵押担保权已注销时的房地产抵押价值")</f>
        <v>房地产抵押价值</v>
      </c>
      <c r="L49" s="3266"/>
      <c r="M49" s="3288">
        <f ca="1">IF(项目基本情况!E8="房地产抵押价值",H107,H109)</f>
        <v>45428</v>
      </c>
      <c r="N49" s="3288"/>
      <c r="O49" s="3288"/>
    </row>
    <row r="50" spans="1:35" ht="25.5" customHeight="1">
      <c r="A50" s="2776"/>
      <c r="B50" s="3199" t="s">
        <v>2030</v>
      </c>
      <c r="C50" s="3199"/>
      <c r="D50" s="2777"/>
      <c r="E50" s="338"/>
      <c r="F50" s="3061"/>
      <c r="G50" s="3273"/>
      <c r="H50" s="2529" t="s">
        <v>2877</v>
      </c>
      <c r="I50" s="2528"/>
      <c r="J50" s="3285" t="s">
        <v>2031</v>
      </c>
      <c r="K50" s="3285"/>
      <c r="L50" s="3285"/>
      <c r="M50" s="3285"/>
      <c r="N50" s="3285"/>
      <c r="O50" s="3285"/>
    </row>
    <row r="51" spans="1:35" ht="20.45" customHeight="1">
      <c r="A51" s="2778"/>
      <c r="B51" s="3199" t="s">
        <v>2032</v>
      </c>
      <c r="C51" s="3199"/>
      <c r="D51" s="1247"/>
      <c r="E51" s="333"/>
      <c r="F51" s="3061"/>
      <c r="G51" s="3274"/>
      <c r="H51" s="2529" t="s">
        <v>2878</v>
      </c>
      <c r="I51" s="2528"/>
      <c r="J51" s="3073" t="s">
        <v>2033</v>
      </c>
      <c r="K51" s="3266" t="s">
        <v>2034</v>
      </c>
      <c r="L51" s="3266"/>
      <c r="M51" s="3073" t="s">
        <v>2035</v>
      </c>
      <c r="N51" s="3073" t="s">
        <v>2036</v>
      </c>
      <c r="O51" s="3073" t="s">
        <v>2037</v>
      </c>
    </row>
    <row r="52" spans="1:35" ht="24" customHeight="1">
      <c r="A52" s="3066" t="s">
        <v>2038</v>
      </c>
      <c r="B52" s="3199" t="s">
        <v>2039</v>
      </c>
      <c r="C52" s="3199"/>
      <c r="D52" s="1247">
        <f ca="1">ROUND(D45*'数据-取费表'!B41/(1+'数据-取费表'!C42),0)</f>
        <v>2423</v>
      </c>
      <c r="E52" s="3067" t="s">
        <v>2040</v>
      </c>
      <c r="F52" s="2779">
        <f>'数据-取费表'!B41</f>
        <v>5.6000000000000001E-2</v>
      </c>
      <c r="G52" s="2780"/>
      <c r="H52" s="2769"/>
      <c r="I52" s="1992"/>
      <c r="J52" s="3074">
        <v>1</v>
      </c>
      <c r="K52" s="3267" t="s">
        <v>2041</v>
      </c>
      <c r="L52" s="3267"/>
      <c r="M52" s="2750" t="b">
        <f>D48</f>
        <v>0</v>
      </c>
      <c r="N52" s="3074" t="str">
        <f>E48</f>
        <v>销售额×税（费）率</v>
      </c>
      <c r="O52" s="2751">
        <f>F48</f>
        <v>5.6000000000000001E-2</v>
      </c>
    </row>
    <row r="53" spans="1:35" ht="12" customHeight="1">
      <c r="A53" s="3066" t="s">
        <v>2042</v>
      </c>
      <c r="B53" s="3225" t="s">
        <v>3037</v>
      </c>
      <c r="C53" s="3226"/>
      <c r="D53" s="1247">
        <f ca="1">ROUND(D45*'数据-取费表'!B41/(1+'数据-取费表'!C42),0)</f>
        <v>2423</v>
      </c>
      <c r="E53" s="3067" t="s">
        <v>2040</v>
      </c>
      <c r="F53" s="2779">
        <f>'数据-取费表'!B41</f>
        <v>5.6000000000000001E-2</v>
      </c>
      <c r="G53" s="2780"/>
      <c r="H53" s="2769"/>
      <c r="I53" s="1992"/>
      <c r="J53" s="3074">
        <v>2</v>
      </c>
      <c r="K53" s="3267" t="s">
        <v>2043</v>
      </c>
      <c r="L53" s="3267"/>
      <c r="M53" s="2750">
        <f t="shared" ref="M53:O54" ca="1" si="0">D55</f>
        <v>23</v>
      </c>
      <c r="N53" s="3074" t="str">
        <f t="shared" si="0"/>
        <v>销售额×税（费）率</v>
      </c>
      <c r="O53" s="2751" t="str">
        <f t="shared" si="0"/>
        <v>免征</v>
      </c>
    </row>
    <row r="54" spans="1:35" ht="12" customHeight="1">
      <c r="A54" s="3066" t="s">
        <v>2044</v>
      </c>
      <c r="B54" s="3225" t="s">
        <v>3038</v>
      </c>
      <c r="C54" s="3226"/>
      <c r="D54" s="1247">
        <f ca="1">C68</f>
        <v>2423</v>
      </c>
      <c r="E54" s="333" t="s">
        <v>2045</v>
      </c>
      <c r="F54" s="2779">
        <f>'数据-取费表'!B41</f>
        <v>5.6000000000000001E-2</v>
      </c>
      <c r="G54" s="2780"/>
      <c r="H54" s="2781"/>
      <c r="I54" s="1992"/>
      <c r="J54" s="3074">
        <v>3</v>
      </c>
      <c r="K54" s="3267" t="s">
        <v>2046</v>
      </c>
      <c r="L54" s="3267"/>
      <c r="M54" s="2750">
        <f t="shared" ca="1" si="0"/>
        <v>25712</v>
      </c>
      <c r="N54" s="3074" t="str">
        <f t="shared" si="0"/>
        <v>增值额×税（费）率</v>
      </c>
      <c r="O54" s="2752" t="str">
        <f t="shared" si="0"/>
        <v>免征</v>
      </c>
    </row>
    <row r="55" spans="1:35" ht="24" customHeight="1">
      <c r="A55" s="3214" t="s">
        <v>2047</v>
      </c>
      <c r="B55" s="3215"/>
      <c r="C55" s="3215"/>
      <c r="D55" s="3076">
        <f ca="1">IF(H55="个人住宅",0,ROUND(D45*I55,0))</f>
        <v>23</v>
      </c>
      <c r="E55" s="3067" t="s">
        <v>2048</v>
      </c>
      <c r="F55" s="2779" t="str">
        <f>IF(H55="正常",I55,"免征")</f>
        <v>免征</v>
      </c>
      <c r="G55" s="2780"/>
      <c r="H55" s="2775"/>
      <c r="I55" s="170">
        <f>'数据-取费表'!B49</f>
        <v>5.0000000000000001E-4</v>
      </c>
      <c r="J55" s="3074">
        <f>IF(H59="非个人房产","",4)</f>
        <v>4</v>
      </c>
      <c r="K55" s="3267" t="str">
        <f>IF(H59="非个人房产","——","个人所得税")</f>
        <v>个人所得税</v>
      </c>
      <c r="L55" s="3267"/>
      <c r="M55" s="2753">
        <f ca="1">D59</f>
        <v>433</v>
      </c>
      <c r="N55" s="3075" t="str">
        <f>E59</f>
        <v>差额计税</v>
      </c>
      <c r="O55" s="2754">
        <f>F59</f>
        <v>0.01</v>
      </c>
    </row>
    <row r="56" spans="1:35" ht="24.75">
      <c r="A56" s="3214" t="s">
        <v>2049</v>
      </c>
      <c r="B56" s="3215"/>
      <c r="C56" s="3215"/>
      <c r="D56" s="3076">
        <f ca="1">IF(H56="个人住宅",D57,D58)</f>
        <v>25712</v>
      </c>
      <c r="E56" s="3067" t="s">
        <v>2050</v>
      </c>
      <c r="F56" s="2779" t="str">
        <f>IF(H56="正常",F58,"免征")</f>
        <v>免征</v>
      </c>
      <c r="G56" s="2782" t="s">
        <v>2051</v>
      </c>
      <c r="H56" s="2783"/>
      <c r="I56" s="1993"/>
      <c r="J56" s="3074" t="str">
        <f>IF(项目基本情况!K6="上海银行",IF(J55="",4,J55+1),"")</f>
        <v/>
      </c>
      <c r="K56" s="3290" t="str">
        <f>IF(项目基本情况!K6="上海银行","其他处置费用","")</f>
        <v/>
      </c>
      <c r="L56" s="3291"/>
      <c r="M56" s="2750" t="str">
        <f>IF(项目基本情况!K6="上海银行",M69,"")</f>
        <v/>
      </c>
      <c r="N56" s="3290" t="str">
        <f>IF(项目基本情况!K6="上海银行","包含处置中涉及的律师、诉讼、拍卖、评估等费用","")</f>
        <v/>
      </c>
      <c r="O56" s="3293"/>
    </row>
    <row r="57" spans="1:35" ht="12.75">
      <c r="A57" s="3066" t="s">
        <v>2027</v>
      </c>
      <c r="B57" s="3225" t="s">
        <v>2052</v>
      </c>
      <c r="C57" s="3226"/>
      <c r="D57" s="1774">
        <v>0</v>
      </c>
      <c r="E57" s="330" t="s">
        <v>2029</v>
      </c>
      <c r="F57" s="308"/>
      <c r="G57" s="2780"/>
      <c r="H57" s="2784"/>
      <c r="I57" s="1993"/>
      <c r="J57" s="3267">
        <f>IF(AND(J55="",J56=""),4,IF(项目基本情况!K6="上海银行",'结果表-C2'!J56+1,'结果表-C2'!J55+1))</f>
        <v>5</v>
      </c>
      <c r="K57" s="3267" t="s">
        <v>2053</v>
      </c>
      <c r="L57" s="2755" t="s">
        <v>2054</v>
      </c>
      <c r="M57" s="2756"/>
      <c r="N57" s="2757">
        <f ca="1">SUMIF(M52:M56,"&lt;9e307")</f>
        <v>26168</v>
      </c>
      <c r="O57" s="2758"/>
      <c r="P57" s="2918">
        <f ca="1">N57/M49</f>
        <v>0.57603240292330726</v>
      </c>
    </row>
    <row r="58" spans="1:35" ht="24.75">
      <c r="A58" s="3066" t="s">
        <v>2038</v>
      </c>
      <c r="B58" s="3225" t="s">
        <v>2055</v>
      </c>
      <c r="C58" s="3199"/>
      <c r="D58" s="3076">
        <f ca="1">IF(H58="转让取得",C81,C97)</f>
        <v>25712</v>
      </c>
      <c r="E58" s="3067" t="s">
        <v>2050</v>
      </c>
      <c r="F58" s="308" t="s">
        <v>34</v>
      </c>
      <c r="G58" s="2780"/>
      <c r="H58" s="2783"/>
      <c r="I58" s="1993"/>
      <c r="J58" s="3267"/>
      <c r="K58" s="3267"/>
      <c r="L58" s="2755" t="s">
        <v>2056</v>
      </c>
      <c r="M58" s="2759"/>
      <c r="N58" s="2760" t="str">
        <f ca="1">NUMBERSTRING(INT(N57*10000),2)&amp;"元整"</f>
        <v>贰亿陆仟壹佰陆拾捌万元整</v>
      </c>
      <c r="O58" s="2761"/>
    </row>
    <row r="59" spans="1:35" ht="24.75" thickBot="1">
      <c r="A59" s="3270" t="s">
        <v>2057</v>
      </c>
      <c r="B59" s="3271"/>
      <c r="C59" s="3271"/>
      <c r="D59" s="2785">
        <f ca="1">IF(H59="非个人房产","——",IF(H59="个人住宅（满五唯一有凭证）",0,IF(H59="个人其他（无凭证）",ROUND(D45*F59,0),ROUND(C67*F59,0))))</f>
        <v>433</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2879</v>
      </c>
      <c r="J59" s="3268">
        <f>J57+1</f>
        <v>6</v>
      </c>
      <c r="K59" s="3267" t="s">
        <v>2058</v>
      </c>
      <c r="L59" s="3074" t="s">
        <v>2054</v>
      </c>
      <c r="M59" s="2762"/>
      <c r="N59" s="2763">
        <f ca="1">M49-N57</f>
        <v>19260</v>
      </c>
      <c r="O59" s="2764"/>
    </row>
    <row r="60" spans="1:35" ht="12" customHeight="1">
      <c r="A60" s="1994"/>
      <c r="B60" s="1932"/>
      <c r="C60" s="1932"/>
      <c r="D60" s="1932"/>
      <c r="E60" s="1762"/>
      <c r="F60" s="1993"/>
      <c r="G60" s="1993"/>
      <c r="H60" s="1995"/>
      <c r="I60" s="134"/>
      <c r="J60" s="3269"/>
      <c r="K60" s="3267"/>
      <c r="L60" s="2755" t="s">
        <v>2056</v>
      </c>
      <c r="M60" s="2759"/>
      <c r="N60" s="2760" t="str">
        <f ca="1">NUMBERSTRING(INT(N59*10000),2)&amp;"元整"</f>
        <v>壹亿玖仟贰佰陆拾万元整</v>
      </c>
      <c r="O60" s="2761"/>
    </row>
    <row r="61" spans="1:35" ht="13.5" thickBot="1">
      <c r="A61" s="3212" t="s">
        <v>2059</v>
      </c>
      <c r="B61" s="3212"/>
      <c r="C61" s="3212"/>
      <c r="D61" s="3212"/>
      <c r="E61" s="3212"/>
      <c r="F61" s="1993"/>
      <c r="G61" s="1993"/>
      <c r="H61" s="1995"/>
      <c r="I61" s="134"/>
      <c r="J61" s="3074">
        <f>J59+1</f>
        <v>7</v>
      </c>
      <c r="K61" s="3267" t="s">
        <v>2060</v>
      </c>
      <c r="L61" s="3267"/>
      <c r="M61" s="2765"/>
      <c r="N61" s="2766">
        <f ca="1">ROUND(N59*10000/'数据-汇总表'!E3,0)</f>
        <v>3276</v>
      </c>
      <c r="O61" s="2767"/>
    </row>
    <row r="62" spans="1:35" ht="12.75">
      <c r="A62" s="3230" t="s">
        <v>2061</v>
      </c>
      <c r="B62" s="3231"/>
      <c r="C62" s="3070"/>
      <c r="D62" s="3070" t="s">
        <v>2062</v>
      </c>
      <c r="E62" s="171" t="s">
        <v>2063</v>
      </c>
      <c r="F62" s="1993"/>
      <c r="G62" s="1993"/>
      <c r="H62" s="1995"/>
      <c r="I62" s="134"/>
    </row>
    <row r="63" spans="1:35" ht="12.75">
      <c r="A63" s="178" t="s">
        <v>775</v>
      </c>
      <c r="B63" s="172" t="s">
        <v>2064</v>
      </c>
      <c r="C63" s="2789">
        <f ca="1">ROUND((C64+C65)/(1+'数据-取费表'!C42),0)</f>
        <v>43265</v>
      </c>
      <c r="D63" s="172"/>
      <c r="E63" s="173"/>
      <c r="F63" s="1993"/>
      <c r="G63" s="1993"/>
      <c r="H63" s="1995"/>
      <c r="I63" s="134"/>
      <c r="J63" s="3292" t="s">
        <v>2065</v>
      </c>
      <c r="K63" s="3077" t="s">
        <v>2066</v>
      </c>
      <c r="L63" s="3077">
        <f ca="1">IF(M49&gt;10000,M49*0.5%,IF(AND(M49&gt;1000,M49&lt;=10000),M49*1%,IF(AND(M49&gt;100,M49&lt;=1000),M49*3%,IF(AND(M49&gt;10,M49&lt;=100),M49*5%,M49*8%))))</f>
        <v>227.14000000000001</v>
      </c>
      <c r="M63" s="308">
        <f ca="1">ROUND(L63,1)</f>
        <v>227.1</v>
      </c>
      <c r="N63" s="2768"/>
      <c r="Z63" s="1937"/>
      <c r="AI63" s="1938"/>
    </row>
    <row r="64" spans="1:35" ht="14.25" customHeight="1">
      <c r="A64" s="174" t="s">
        <v>770</v>
      </c>
      <c r="B64" s="175" t="s">
        <v>2067</v>
      </c>
      <c r="C64" s="2790">
        <f ca="1">D45</f>
        <v>45428</v>
      </c>
      <c r="D64" s="175" t="s">
        <v>32</v>
      </c>
      <c r="E64" s="177"/>
      <c r="F64" s="1993"/>
      <c r="G64" s="1993"/>
      <c r="H64" s="1995"/>
      <c r="I64" s="134"/>
      <c r="J64" s="3292"/>
      <c r="K64" s="3077" t="s">
        <v>2068</v>
      </c>
      <c r="L64" s="3077">
        <f ca="1">IF(M49&gt;2000,M49*0.5%,IF(AND(M49&gt;1000,M49&lt;=2000),M49*0.6%,IF(AND(M49&gt;500,M49&lt;=1000),M49*0.7%,IF(AND(M49&gt;200,M49&lt;=500),M49*0.8%,IF(AND(M49&gt;100,M49&lt;=200),M49*0.9%,IF(AND(M49&gt;50,M49&lt;=100),M49*1%,IF(AND(M49&gt;20,M49&lt;=50),M49*1.5%,IF(AND(M49&gt;10,M49&lt;=20),M49*2%,IF(AND(M49&gt;1,M49&lt;=10),M49*2.5%)))))))))</f>
        <v>227.14000000000001</v>
      </c>
      <c r="M64" s="308">
        <f t="shared" ref="M64:M65" ca="1" si="1">ROUND(L64,1)</f>
        <v>227.1</v>
      </c>
      <c r="N64" s="2769" t="s">
        <v>2069</v>
      </c>
      <c r="Z64" s="1937"/>
      <c r="AI64" s="1938"/>
    </row>
    <row r="65" spans="1:35" ht="14.25" customHeight="1">
      <c r="A65" s="174" t="s">
        <v>771</v>
      </c>
      <c r="B65" s="175" t="s">
        <v>2070</v>
      </c>
      <c r="C65" s="2791"/>
      <c r="D65" s="175"/>
      <c r="E65" s="177"/>
      <c r="F65" s="1993"/>
      <c r="G65" s="1993"/>
      <c r="H65" s="1995"/>
      <c r="I65" s="134"/>
      <c r="J65" s="3292"/>
      <c r="K65" s="3077" t="s">
        <v>2071</v>
      </c>
      <c r="L65" s="3077">
        <f ca="1">IF(M49&gt;1000,M49*0.1%,IF(AND(M49&gt;500,M49&lt;=1000),M49*0.5%,IF(AND(M49&gt;50,M49&lt;=500),M49*1%,IF(AND(M49&gt;1,M49&lt;=50),M49*1.5%))))</f>
        <v>45.428000000000004</v>
      </c>
      <c r="M65" s="308">
        <f t="shared" ca="1" si="1"/>
        <v>45.4</v>
      </c>
      <c r="N65" s="2769" t="s">
        <v>2069</v>
      </c>
      <c r="Z65" s="1937"/>
      <c r="AI65" s="1938"/>
    </row>
    <row r="66" spans="1:35" ht="14.25" customHeight="1">
      <c r="A66" s="178" t="s">
        <v>772</v>
      </c>
      <c r="B66" s="179" t="s">
        <v>2072</v>
      </c>
      <c r="C66" s="2792"/>
      <c r="D66" s="179" t="s">
        <v>32</v>
      </c>
      <c r="E66" s="1508" t="s">
        <v>1337</v>
      </c>
      <c r="F66" s="1993"/>
      <c r="G66" s="1993"/>
      <c r="H66" s="1995"/>
      <c r="I66" s="134"/>
      <c r="J66" s="3292"/>
      <c r="K66" s="3077" t="s">
        <v>2073</v>
      </c>
      <c r="L66" s="3077">
        <f ca="1">M49*0.5%</f>
        <v>227.14000000000001</v>
      </c>
      <c r="M66" s="308">
        <f ca="1">IF(L66&gt;0.5,0.5,ROUND(L66,0))</f>
        <v>0.5</v>
      </c>
      <c r="N66" s="2769" t="s">
        <v>2074</v>
      </c>
      <c r="Z66" s="1937"/>
      <c r="AI66" s="1938"/>
    </row>
    <row r="67" spans="1:35" ht="14.25" customHeight="1">
      <c r="A67" s="178" t="s">
        <v>773</v>
      </c>
      <c r="B67" s="179" t="s">
        <v>2075</v>
      </c>
      <c r="C67" s="2793">
        <f ca="1">C63-C66</f>
        <v>43265</v>
      </c>
      <c r="D67" s="175" t="s">
        <v>32</v>
      </c>
      <c r="E67" s="177"/>
      <c r="F67" s="1993"/>
      <c r="G67" s="1993"/>
      <c r="H67" s="1995"/>
      <c r="I67" s="134"/>
      <c r="J67" s="3292"/>
      <c r="K67" s="3077" t="s">
        <v>2076</v>
      </c>
      <c r="L67" s="3077">
        <f ca="1">IF(M49&gt;=10000,(8.25+(M49-10000)*0.01%),IF(AND(M49&gt;=8000,M49&lt;10000),(7.85+(M49-8000)*0.02%),IF(AND(M49&gt;=5000,M49&lt;8000),(6.65+(M49-5000)*0.04%),IF(AND(M49&gt;=2000,M49&lt;5000),(4.25+(PM49-2000)*0.08%),IF(AND(M49&gt;=1000,M49&lt;2000),(2.75+(M49-1000)*0.15%),IF(AND(M49&gt;=100,M49&lt;1000),(0.5+(M49-100)*0.25%),IF(AND(M49&gt;0,M49&lt;100),M49*0.5%)))))))</f>
        <v>11.7928</v>
      </c>
      <c r="M67" s="308">
        <f ca="1">ROUND(L67*0.9,1)</f>
        <v>10.6</v>
      </c>
      <c r="N67" s="2768"/>
      <c r="Z67" s="1937"/>
      <c r="AI67" s="1938"/>
    </row>
    <row r="68" spans="1:35" ht="14.25" customHeight="1" thickBot="1">
      <c r="A68" s="181" t="s">
        <v>774</v>
      </c>
      <c r="B68" s="182" t="s">
        <v>2077</v>
      </c>
      <c r="C68" s="2794">
        <f ca="1">IF(C67&lt;=0,0,ROUND(C67*D68,0))</f>
        <v>2423</v>
      </c>
      <c r="D68" s="2795">
        <f>'数据-取费表'!B41</f>
        <v>5.6000000000000001E-2</v>
      </c>
      <c r="E68" s="184"/>
      <c r="F68" s="1993"/>
      <c r="G68" s="1993"/>
      <c r="H68" s="1995"/>
      <c r="I68" s="134"/>
      <c r="J68" s="3292"/>
      <c r="K68" s="3077" t="s">
        <v>2078</v>
      </c>
      <c r="L68" s="3077">
        <f ca="1">IF(M49&gt;10000,M49*0.5%,IF(AND(M49&gt;5000,M49&lt;=10000),M49*1%,IF(AND(M49&gt;1000,M49&lt;=5000),M49*2%,IF(AND(M49&gt;200,M49&lt;=1000),M49*3%,M49*5%))))</f>
        <v>227.14000000000001</v>
      </c>
      <c r="M68" s="308">
        <f ca="1">ROUND(L68,1)</f>
        <v>227.1</v>
      </c>
      <c r="N68" s="2768"/>
      <c r="Z68" s="1937"/>
      <c r="AI68" s="1938"/>
    </row>
    <row r="69" spans="1:35" s="1957" customFormat="1" ht="16.5" customHeight="1">
      <c r="A69" s="1996"/>
      <c r="B69" s="1997"/>
      <c r="C69" s="1998"/>
      <c r="D69" s="1999"/>
      <c r="E69" s="2000"/>
      <c r="F69" s="1762"/>
      <c r="G69" s="1762"/>
      <c r="H69" s="1761"/>
      <c r="I69" s="1932"/>
      <c r="J69" s="3292"/>
      <c r="K69" s="3077" t="s">
        <v>2079</v>
      </c>
      <c r="L69" s="3077"/>
      <c r="M69" s="308">
        <f ca="1">ROUND(SUM(M63:M68),0)</f>
        <v>738</v>
      </c>
      <c r="N69" s="2770">
        <f ca="1">M69/M49</f>
        <v>1.6245487364620937E-2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51" t="s">
        <v>2080</v>
      </c>
      <c r="B70" s="3252"/>
      <c r="C70" s="3252"/>
      <c r="D70" s="3252"/>
      <c r="E70" s="3252"/>
      <c r="F70" s="3252"/>
      <c r="G70" s="3252"/>
      <c r="H70" s="3252"/>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0" t="s">
        <v>2061</v>
      </c>
      <c r="B71" s="3231"/>
      <c r="C71" s="3070"/>
      <c r="D71" s="3070"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43265</v>
      </c>
      <c r="D72" s="175" t="s">
        <v>32</v>
      </c>
      <c r="E72" s="3069"/>
      <c r="F72" s="3062"/>
      <c r="G72" s="306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260</v>
      </c>
      <c r="D73" s="175" t="s">
        <v>32</v>
      </c>
      <c r="E73" s="3069"/>
      <c r="F73" s="3062"/>
      <c r="G73" s="306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3069"/>
      <c r="F74" s="3062"/>
      <c r="G74" s="306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25" t="s">
        <v>2088</v>
      </c>
      <c r="F76" s="3199"/>
      <c r="G76" s="3199"/>
      <c r="H76" s="325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3076" t="s">
        <v>2090</v>
      </c>
      <c r="F77" s="192"/>
      <c r="G77" s="2007"/>
      <c r="H77" s="3072"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260</v>
      </c>
      <c r="D78" s="2802">
        <f>'数据-取费表'!B43</f>
        <v>6.000000000000001E-3</v>
      </c>
      <c r="E78" s="3209" t="s">
        <v>2092</v>
      </c>
      <c r="F78" s="3210"/>
      <c r="G78" s="3210"/>
      <c r="H78" s="321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773</v>
      </c>
      <c r="B79" s="179" t="s">
        <v>2093</v>
      </c>
      <c r="C79" s="2793">
        <f ca="1">C72-C73</f>
        <v>43005</v>
      </c>
      <c r="D79" s="175" t="s">
        <v>32</v>
      </c>
      <c r="E79" s="3069"/>
      <c r="F79" s="3062"/>
      <c r="G79" s="306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165.40384615384616</v>
      </c>
      <c r="D80" s="175" t="s">
        <v>32</v>
      </c>
      <c r="E80" s="3076" t="str">
        <f ca="1">IF(C80&gt;=200%,"增值额超过扣除项目金额200%",IF(C80&gt;=100%,"增值额超过扣除项目金额100%，未超过200%",IF(C80&gt;=50%,"增值额超过扣除项目金额50%，未超过100%",IF(C80&lt;50%,"增值额未超过扣除项目金额50%"))))</f>
        <v>增值额超过扣除项目金额200%</v>
      </c>
      <c r="F80" s="3062"/>
      <c r="G80" s="306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25712</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51" t="s">
        <v>2096</v>
      </c>
      <c r="B83" s="3252"/>
      <c r="C83" s="3252"/>
      <c r="D83" s="3252"/>
      <c r="E83" s="3252"/>
      <c r="F83" s="3252"/>
      <c r="G83" s="3252"/>
      <c r="H83" s="325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0" t="s">
        <v>2061</v>
      </c>
      <c r="B84" s="3231"/>
      <c r="C84" s="3070"/>
      <c r="D84" s="3070"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43265</v>
      </c>
      <c r="D85" s="175" t="s">
        <v>32</v>
      </c>
      <c r="E85" s="3069"/>
      <c r="F85" s="3062"/>
      <c r="G85" s="306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260</v>
      </c>
      <c r="D86" s="2806"/>
      <c r="E86" s="3069"/>
      <c r="F86" s="3062"/>
      <c r="G86" s="306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3063"/>
      <c r="F87" s="3064"/>
      <c r="G87" s="3064"/>
      <c r="H87" s="3068"/>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3064"/>
      <c r="G88" s="200" t="s">
        <v>2100</v>
      </c>
      <c r="H88" s="2009"/>
      <c r="I88" s="2006"/>
      <c r="J88" s="2746" t="s">
        <v>3034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3064"/>
      <c r="G89" s="3064"/>
      <c r="H89" s="3068"/>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3064"/>
      <c r="G90" s="3294" t="s">
        <v>2871</v>
      </c>
      <c r="H90" s="3295"/>
      <c r="I90" s="2006"/>
      <c r="J90" s="2746" t="s">
        <v>3035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09" t="s">
        <v>2105</v>
      </c>
      <c r="F91" s="3210"/>
      <c r="G91" s="3210"/>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09" t="s">
        <v>2108</v>
      </c>
      <c r="F92" s="3210"/>
      <c r="G92" s="3210"/>
      <c r="H92" s="3219"/>
      <c r="I92" s="2006"/>
      <c r="J92" s="2747" t="s">
        <v>3036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260</v>
      </c>
      <c r="D93" s="2802">
        <f>'数据-取费表'!B43</f>
        <v>6.000000000000001E-3</v>
      </c>
      <c r="E93" s="3209" t="s">
        <v>2092</v>
      </c>
      <c r="F93" s="3210"/>
      <c r="G93" s="3210"/>
      <c r="H93" s="321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20" t="s">
        <v>2112</v>
      </c>
      <c r="F94" s="3221"/>
      <c r="G94" s="3221"/>
      <c r="H94" s="322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773</v>
      </c>
      <c r="B95" s="179" t="s">
        <v>2093</v>
      </c>
      <c r="C95" s="2793">
        <f ca="1">ROUND(C85-C86,0)</f>
        <v>43005</v>
      </c>
      <c r="D95" s="175" t="s">
        <v>32</v>
      </c>
      <c r="E95" s="3069"/>
      <c r="F95" s="3062"/>
      <c r="G95" s="306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165.40384615384616</v>
      </c>
      <c r="D96" s="175" t="s">
        <v>32</v>
      </c>
      <c r="E96" s="3076" t="str">
        <f ca="1">IF(C96&gt;=200%,"增值额超过扣除项目金额200%",IF(C96&gt;=100%,"增值额超过扣除项目金额100%，未超过200%",IF(C96&gt;=50%,"增值额超过扣除项目金额50%，未超过100%",IF(C96&lt;50%,"增值额未超过扣除项目金额50%"))))</f>
        <v>增值额超过扣除项目金额200%</v>
      </c>
      <c r="F96" s="3062"/>
      <c r="G96" s="306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25712</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93" t="s">
        <v>2114</v>
      </c>
      <c r="B100" s="3194"/>
      <c r="C100" s="3194"/>
      <c r="D100" s="3211"/>
      <c r="E100" s="3194" t="s">
        <v>2115</v>
      </c>
      <c r="F100" s="3194"/>
      <c r="G100" s="3194"/>
      <c r="H100" s="3211"/>
      <c r="I100" s="134"/>
    </row>
    <row r="101" spans="1:35" ht="18.75" customHeight="1">
      <c r="A101" s="3275" t="s">
        <v>2116</v>
      </c>
      <c r="B101" s="3276"/>
      <c r="C101" s="2810" t="str">
        <f>C4</f>
        <v>成本法-C2</v>
      </c>
      <c r="D101" s="2811" t="str">
        <f>D4</f>
        <v>收益法-C2</v>
      </c>
      <c r="E101" s="3289" t="s">
        <v>2117</v>
      </c>
      <c r="F101" s="3243"/>
      <c r="G101" s="2012" t="s">
        <v>2118</v>
      </c>
      <c r="H101" s="2820">
        <f ca="1">H118</f>
        <v>45428</v>
      </c>
      <c r="I101" s="134"/>
    </row>
    <row r="102" spans="1:35" ht="18.75" customHeight="1">
      <c r="A102" s="3245" t="s">
        <v>2119</v>
      </c>
      <c r="B102" s="2809" t="s">
        <v>2118</v>
      </c>
      <c r="C102" s="2810">
        <f ca="1">C19</f>
        <v>66186</v>
      </c>
      <c r="D102" s="2811">
        <f ca="1">D19</f>
        <v>6876</v>
      </c>
      <c r="E102" s="3289"/>
      <c r="F102" s="3243"/>
      <c r="G102" s="2012" t="s">
        <v>2120</v>
      </c>
      <c r="H102" s="2780">
        <f ca="1">I118</f>
        <v>21328</v>
      </c>
      <c r="I102" s="134"/>
    </row>
    <row r="103" spans="1:35" ht="42.75" customHeight="1">
      <c r="A103" s="3245"/>
      <c r="B103" s="2809" t="s">
        <v>2120</v>
      </c>
      <c r="C103" s="2812">
        <f ca="1">C20</f>
        <v>31074</v>
      </c>
      <c r="D103" s="2813">
        <f ca="1">D20</f>
        <v>3228</v>
      </c>
      <c r="E103" s="3283" t="s">
        <v>2121</v>
      </c>
      <c r="F103" s="3284"/>
      <c r="G103" s="2013" t="s">
        <v>2122</v>
      </c>
      <c r="H103" s="2820">
        <f>IF(D36="正常操作",H104+H105+H106,H105+H106)</f>
        <v>0</v>
      </c>
      <c r="I103" s="134"/>
    </row>
    <row r="104" spans="1:35" ht="18.75" customHeight="1">
      <c r="A104" s="3245" t="s">
        <v>2123</v>
      </c>
      <c r="B104" s="2814" t="s">
        <v>2118</v>
      </c>
      <c r="C104" s="2815">
        <f ca="1">H118</f>
        <v>45428</v>
      </c>
      <c r="D104" s="2816"/>
      <c r="E104" s="1859" t="s">
        <v>2124</v>
      </c>
      <c r="F104" s="1850"/>
      <c r="G104" s="2013" t="s">
        <v>2122</v>
      </c>
      <c r="H104" s="2821">
        <f>IF(D36="同一抵押权人同一抵押物续贷",C36&amp;"（续贷，未扣减，详见特别提示）",C36)</f>
        <v>0</v>
      </c>
      <c r="I104" s="134"/>
    </row>
    <row r="105" spans="1:35" ht="18.75" customHeight="1" thickBot="1">
      <c r="A105" s="3246"/>
      <c r="B105" s="2817" t="s">
        <v>2120</v>
      </c>
      <c r="C105" s="2818">
        <f ca="1">I118</f>
        <v>21328</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242" t="str">
        <f>IF(项目基本情况!E8="已注销","——","3.房地产抵押价值")</f>
        <v>3.房地产抵押价值</v>
      </c>
      <c r="F107" s="3243"/>
      <c r="G107" s="2012" t="s">
        <v>2118</v>
      </c>
      <c r="H107" s="2820">
        <f ca="1">IF(E107="——","——",H101-H103)</f>
        <v>45428</v>
      </c>
      <c r="I107" s="134"/>
    </row>
    <row r="108" spans="1:35" ht="18.75" customHeight="1">
      <c r="A108" s="134"/>
      <c r="B108" s="134"/>
      <c r="C108" s="134"/>
      <c r="D108" s="134"/>
      <c r="E108" s="3242"/>
      <c r="F108" s="3243"/>
      <c r="G108" s="2012" t="s">
        <v>2120</v>
      </c>
      <c r="H108" s="2780">
        <f ca="1">ROUND(H107*10000/'数据-汇总表'!E3,0)</f>
        <v>7727</v>
      </c>
      <c r="I108" s="134"/>
    </row>
    <row r="109" spans="1:35" ht="18.75" customHeight="1">
      <c r="A109" s="134"/>
      <c r="B109" s="134"/>
      <c r="C109" s="134"/>
      <c r="D109" s="134"/>
      <c r="E109" s="3242" t="str">
        <f>IF(项目基本情况!E8="已注销及未注销","4.抵押担保权已注销时的房地产抵押价值",IF(项目基本情况!E8="已注销","3.抵押担保权已注销时的房地产抵押价值","——"))</f>
        <v>——</v>
      </c>
      <c r="F109" s="3243"/>
      <c r="G109" s="2012" t="s">
        <v>2118</v>
      </c>
      <c r="H109" s="2823" t="str">
        <f>IF(E109="——","——",H101-H105-H106)</f>
        <v>——</v>
      </c>
      <c r="I109" s="134"/>
    </row>
    <row r="110" spans="1:35" ht="18.75" customHeight="1">
      <c r="A110" s="134"/>
      <c r="B110" s="134"/>
      <c r="C110" s="134"/>
      <c r="D110" s="134"/>
      <c r="E110" s="3242"/>
      <c r="F110" s="3243"/>
      <c r="G110" s="2012" t="s">
        <v>2120</v>
      </c>
      <c r="H110" s="2780" t="str">
        <f>IF(H109="——","——",ROUND(H109*10000/'数据-汇总表'!E3,0))</f>
        <v>——</v>
      </c>
      <c r="I110" s="134"/>
    </row>
    <row r="111" spans="1:35" ht="18.75" customHeight="1">
      <c r="A111" s="134"/>
      <c r="B111" s="134"/>
      <c r="C111" s="134"/>
      <c r="D111" s="134"/>
      <c r="E111" s="3277" t="str">
        <f>IF(项目基本情况!E9="抵押净值",IF(OR(项目基本情况!E8="已注销",项目基本情况!E8="房地产抵押价值"),"4.抵押净值","5.抵押净值"),"——")</f>
        <v>——</v>
      </c>
      <c r="F111" s="3244"/>
      <c r="G111" s="2012" t="s">
        <v>2118</v>
      </c>
      <c r="H111" s="2820" t="str">
        <f>IF(E111="——","——",N59)</f>
        <v>——</v>
      </c>
      <c r="I111" s="134"/>
    </row>
    <row r="112" spans="1:35" ht="18.75" customHeight="1" thickBot="1">
      <c r="A112" s="134"/>
      <c r="B112" s="134"/>
      <c r="C112" s="134"/>
      <c r="D112" s="134"/>
      <c r="E112" s="3278"/>
      <c r="F112" s="3279"/>
      <c r="G112" s="2015" t="s">
        <v>2120</v>
      </c>
      <c r="H112" s="2824" t="str">
        <f>IF(E111="——","——",N61)</f>
        <v>——</v>
      </c>
      <c r="I112" s="134"/>
    </row>
    <row r="113" spans="1:27" ht="18.75" customHeight="1">
      <c r="A113" s="134"/>
      <c r="B113" s="134"/>
      <c r="C113" s="134"/>
      <c r="D113" s="134"/>
      <c r="E113" s="3247" t="s">
        <v>2126</v>
      </c>
      <c r="F113" s="3247"/>
      <c r="G113" s="3247"/>
      <c r="H113" s="3247"/>
      <c r="I113" s="134"/>
    </row>
    <row r="114" spans="1:27" ht="3.75" customHeight="1">
      <c r="A114" s="1932"/>
      <c r="B114" s="1932"/>
      <c r="C114" s="1932"/>
      <c r="D114" s="1932"/>
      <c r="E114" s="1994"/>
      <c r="F114" s="1994"/>
      <c r="G114" s="1994"/>
      <c r="H114" s="1994"/>
      <c r="I114" s="1932"/>
    </row>
    <row r="115" spans="1:27" ht="18.75" customHeight="1">
      <c r="A115" s="3260" t="s">
        <v>2128</v>
      </c>
      <c r="B115" s="3261"/>
      <c r="C115" s="3261"/>
      <c r="D115" s="3261"/>
      <c r="E115" s="3261"/>
      <c r="F115" s="3261"/>
      <c r="G115" s="3261"/>
      <c r="H115" s="3261"/>
      <c r="I115" s="3262"/>
    </row>
    <row r="116" spans="1:27" ht="27" customHeight="1">
      <c r="A116" s="3213" t="s">
        <v>2129</v>
      </c>
      <c r="B116" s="3248" t="s">
        <v>2130</v>
      </c>
      <c r="C116" s="3248" t="s">
        <v>2131</v>
      </c>
      <c r="D116" s="3264" t="s">
        <v>2132</v>
      </c>
      <c r="E116" s="3265"/>
      <c r="F116" s="3256" t="s">
        <v>2133</v>
      </c>
      <c r="G116" s="3256"/>
      <c r="H116" s="3213" t="s">
        <v>2134</v>
      </c>
      <c r="I116" s="3213"/>
    </row>
    <row r="117" spans="1:27" ht="18.75" customHeight="1">
      <c r="A117" s="3213"/>
      <c r="B117" s="3249"/>
      <c r="C117" s="3249"/>
      <c r="D117" s="3065" t="s">
        <v>2135</v>
      </c>
      <c r="E117" s="3065" t="s">
        <v>2136</v>
      </c>
      <c r="F117" s="3065" t="s">
        <v>2135</v>
      </c>
      <c r="G117" s="3065" t="s">
        <v>2137</v>
      </c>
      <c r="H117" s="3065" t="s">
        <v>2135</v>
      </c>
      <c r="I117" s="3065" t="s">
        <v>2137</v>
      </c>
    </row>
    <row r="118" spans="1:27" ht="24.75" customHeight="1">
      <c r="A118" s="2825" t="str">
        <f>项目基本情况!S2</f>
        <v>房地产</v>
      </c>
      <c r="B118" s="3065">
        <f>M18</f>
        <v>21299.25</v>
      </c>
      <c r="C118" s="3065">
        <f>M19</f>
        <v>48213.71</v>
      </c>
      <c r="D118" s="3065">
        <f ca="1">ROUND(IF(D32="总价",C34,E118*B118/10000),0)</f>
        <v>16400</v>
      </c>
      <c r="E118" s="3065">
        <f ca="1">ROUND(IF(C33="自定义",IF(D32="楼面单价",C34,D118*10000/B118),I118-G118),0)</f>
        <v>7699</v>
      </c>
      <c r="F118" s="3065">
        <f ca="1">ROUND(IF(D32="总价",C35,G118*B118/10000),0)</f>
        <v>29028</v>
      </c>
      <c r="G118" s="3065">
        <f ca="1">ROUND(IF(D32="楼面单价",C35,F118*10000/B118),0)</f>
        <v>13629</v>
      </c>
      <c r="H118" s="3065">
        <f ca="1">ROUND(IF(D32="总价",C32,I118*B118/10000),0)</f>
        <v>45428</v>
      </c>
      <c r="I118" s="3065">
        <f ca="1">ROUND(IF(D32="楼面单价",C32,H118*10000/B118),0)</f>
        <v>21328</v>
      </c>
    </row>
    <row r="119" spans="1:27" ht="18.75" customHeight="1">
      <c r="A119" s="3213" t="s">
        <v>2138</v>
      </c>
      <c r="B119" s="3213"/>
      <c r="C119" s="3213"/>
      <c r="D119" s="3253" t="str">
        <f ca="1">NUMBERSTRING(INT(D118*10000),2)&amp;"元整"</f>
        <v>壹亿陆仟肆佰万元整</v>
      </c>
      <c r="E119" s="3255"/>
      <c r="F119" s="3253" t="str">
        <f ca="1">NUMBERSTRING(INT(F118*10000),2)&amp;"元整"</f>
        <v>贰亿玖仟零贰拾捌万元整</v>
      </c>
      <c r="G119" s="3255"/>
      <c r="H119" s="3253" t="str">
        <f ca="1">NUMBERSTRING(INT(H118*10000),2)&amp;"元整"</f>
        <v>肆亿伍仟肆佰贰拾捌万元整</v>
      </c>
      <c r="I119" s="3255"/>
    </row>
    <row r="120" spans="1:27" ht="18.75" customHeight="1">
      <c r="A120" s="3280" t="str">
        <f>IF(项目基本情况!B9="房地产市场价值","",MID(E103,3,LEN(E103)-2))</f>
        <v>估价师知悉的法定优先受偿款</v>
      </c>
      <c r="B120" s="3281"/>
      <c r="C120" s="3282"/>
      <c r="D120" s="3280">
        <f>H103</f>
        <v>0</v>
      </c>
      <c r="E120" s="3281"/>
      <c r="F120" s="3281"/>
      <c r="G120" s="3281"/>
      <c r="H120" s="3281"/>
      <c r="I120" s="3282"/>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57" t="s">
        <v>2138</v>
      </c>
      <c r="B121" s="3258"/>
      <c r="C121" s="3259"/>
      <c r="D121" s="3253" t="str">
        <f>IF(D120=0,"零元整",NUMBERSTRING(INT(D120*10000),2)&amp;"元整")</f>
        <v>零元整</v>
      </c>
      <c r="E121" s="3254"/>
      <c r="F121" s="3254"/>
      <c r="G121" s="3254"/>
      <c r="H121" s="3254"/>
      <c r="I121" s="3255"/>
      <c r="AA121" s="734"/>
    </row>
    <row r="122" spans="1:27" ht="18.75" customHeight="1">
      <c r="A122" s="3244" t="str">
        <f>IF(项目基本情况!B9="房地产市场价值","",MID(E107,3,LEN(E107)-2))</f>
        <v>房地产抵押价值</v>
      </c>
      <c r="B122" s="3244"/>
      <c r="C122" s="3244"/>
      <c r="D122" s="3280">
        <f ca="1">H107</f>
        <v>45428</v>
      </c>
      <c r="E122" s="3281"/>
      <c r="F122" s="3281"/>
      <c r="G122" s="3281"/>
      <c r="H122" s="3281"/>
      <c r="I122" s="3282"/>
      <c r="AA122" s="734"/>
    </row>
    <row r="123" spans="1:27" ht="18.75" customHeight="1">
      <c r="A123" s="3213" t="s">
        <v>2138</v>
      </c>
      <c r="B123" s="3213"/>
      <c r="C123" s="3213"/>
      <c r="D123" s="3253" t="str">
        <f ca="1">NUMBERSTRING(INT(D122*10000),2)&amp;"元整"</f>
        <v>肆亿伍仟肆佰贰拾捌万元整</v>
      </c>
      <c r="E123" s="3254"/>
      <c r="F123" s="3254"/>
      <c r="G123" s="3254"/>
      <c r="H123" s="3254"/>
      <c r="I123" s="3255"/>
      <c r="AA123" s="734"/>
    </row>
    <row r="124" spans="1:27" ht="18.75" customHeight="1">
      <c r="A124" s="3244" t="str">
        <f>IF(项目基本情况!B9="房地产市场价值","",MID(E109,3,LEN(E109)-2))</f>
        <v/>
      </c>
      <c r="B124" s="3244"/>
      <c r="C124" s="3244"/>
      <c r="D124" s="3280" t="str">
        <f>H109</f>
        <v>——</v>
      </c>
      <c r="E124" s="3281"/>
      <c r="F124" s="3281"/>
      <c r="G124" s="3281"/>
      <c r="H124" s="3281"/>
      <c r="I124" s="3282"/>
      <c r="AA124" s="734"/>
    </row>
    <row r="125" spans="1:27" ht="18.75" customHeight="1">
      <c r="A125" s="3213" t="s">
        <v>2138</v>
      </c>
      <c r="B125" s="3213"/>
      <c r="C125" s="3213"/>
      <c r="D125" s="3253" t="e">
        <f>NUMBERSTRING(INT(D124*10000),2)&amp;"元整"</f>
        <v>#VALUE!</v>
      </c>
      <c r="E125" s="3254"/>
      <c r="F125" s="3254"/>
      <c r="G125" s="3254"/>
      <c r="H125" s="3254"/>
      <c r="I125" s="3255"/>
      <c r="AA125" s="734"/>
    </row>
    <row r="126" spans="1:27" ht="18.75" customHeight="1">
      <c r="A126" s="3244" t="str">
        <f>IF(项目基本情况!B9="房地产市场价值","",MID(E111,3,LEN(E111)-2))</f>
        <v/>
      </c>
      <c r="B126" s="3244"/>
      <c r="C126" s="3244"/>
      <c r="D126" s="3280" t="str">
        <f>H111</f>
        <v>——</v>
      </c>
      <c r="E126" s="3281"/>
      <c r="F126" s="3281"/>
      <c r="G126" s="3281"/>
      <c r="H126" s="3281"/>
      <c r="I126" s="3282"/>
      <c r="AA126" s="734"/>
    </row>
    <row r="127" spans="1:27" ht="18.75" customHeight="1">
      <c r="A127" s="3213" t="s">
        <v>2138</v>
      </c>
      <c r="B127" s="3213"/>
      <c r="C127" s="3213"/>
      <c r="D127" s="3253" t="e">
        <f>NUMBERSTRING(INT(D126*10000),2)&amp;"元整"</f>
        <v>#VALUE!</v>
      </c>
      <c r="E127" s="3254"/>
      <c r="F127" s="3254"/>
      <c r="G127" s="3254"/>
      <c r="H127" s="3254"/>
      <c r="I127" s="3255"/>
      <c r="AA127" s="734"/>
    </row>
    <row r="128" spans="1:27" ht="21.75" customHeight="1">
      <c r="A128" s="3263" t="s">
        <v>2139</v>
      </c>
      <c r="B128" s="3263"/>
      <c r="C128" s="3263"/>
      <c r="D128" s="3263"/>
      <c r="E128" s="3263"/>
      <c r="F128" s="3263"/>
      <c r="G128" s="3263"/>
      <c r="H128" s="3263"/>
      <c r="I128" s="3263"/>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D92" xr:uid="{00000000-0002-0000-2D00-000000000000}">
      <formula1>"0,5%,10%"</formula1>
    </dataValidation>
    <dataValidation type="list" allowBlank="1" showInputMessage="1" showErrorMessage="1" sqref="H59" xr:uid="{00000000-0002-0000-2D00-000001000000}">
      <formula1>"非个人房产,个人住宅（满五唯一有凭证）,个人其他（有凭证）,个人其他（无凭证）"</formula1>
    </dataValidation>
    <dataValidation type="list" allowBlank="1" showInputMessage="1" showErrorMessage="1" sqref="E103" xr:uid="{00000000-0002-0000-2D00-000002000000}">
      <formula1>"2.估价师知悉的法定优先受偿款,2.估价师知悉的除抵押担保权以外的法定优先受偿款"</formula1>
    </dataValidation>
    <dataValidation type="list" allowBlank="1" showInputMessage="1" showErrorMessage="1" sqref="G77" xr:uid="{00000000-0002-0000-2D00-000003000000}">
      <formula1>"个人住宅,2016年5月1日前购买,2016年5月1日后购买"</formula1>
    </dataValidation>
    <dataValidation type="list" allowBlank="1" showInputMessage="1" showErrorMessage="1" sqref="C1" xr:uid="{00000000-0002-0000-2D00-000004000000}">
      <formula1>项目类型</formula1>
    </dataValidation>
    <dataValidation type="list" allowBlank="1" showInputMessage="1" showErrorMessage="1" sqref="I1" xr:uid="{00000000-0002-0000-2D00-000005000000}">
      <formula1>"项目局部,项目全部,——"</formula1>
    </dataValidation>
    <dataValidation type="list" showInputMessage="1" showErrorMessage="1" sqref="G1" xr:uid="{00000000-0002-0000-2D00-000006000000}">
      <formula1>"现房,在建,土地,-"</formula1>
    </dataValidation>
    <dataValidation type="list" allowBlank="1" showInputMessage="1" showErrorMessage="1" sqref="C129" xr:uid="{00000000-0002-0000-2D00-000007000000}">
      <formula1>"无,有"</formula1>
    </dataValidation>
    <dataValidation type="list" allowBlank="1" showInputMessage="1" showErrorMessage="1" sqref="F116:G116" xr:uid="{00000000-0002-0000-2D00-000008000000}">
      <formula1>"建筑物价值,在建建筑物价值,建筑物/在建建筑物价值"</formula1>
    </dataValidation>
    <dataValidation type="list" allowBlank="1" showInputMessage="1" showErrorMessage="1" sqref="D116:E116" xr:uid="{00000000-0002-0000-2D00-000009000000}">
      <formula1>"出让国有建设用地使用权价值,划拨国有建设用地使用权价值"</formula1>
    </dataValidation>
    <dataValidation type="list" allowBlank="1" showInputMessage="1" showErrorMessage="1" sqref="C116:C117" xr:uid="{00000000-0002-0000-2D00-00000A000000}">
      <formula1>"土地面积,分摊土地面积,（分摊）土地面积"</formula1>
    </dataValidation>
    <dataValidation type="list" allowBlank="1" showInputMessage="1" showErrorMessage="1" sqref="B116:B117" xr:uid="{00000000-0002-0000-2D00-00000B000000}">
      <formula1>"建筑面积,规划建筑面积,（规划）建筑面积"</formula1>
    </dataValidation>
    <dataValidation type="list" allowBlank="1" showInputMessage="1" showErrorMessage="1" sqref="D36" xr:uid="{00000000-0002-0000-2D00-00000C000000}">
      <formula1>"同一抵押权人同一抵押物续贷,注销后放款,正常操作"</formula1>
    </dataValidation>
    <dataValidation type="list" allowBlank="1" showInputMessage="1" showErrorMessage="1" sqref="F75" xr:uid="{00000000-0002-0000-2D00-00000D000000}">
      <formula1>"买卖合同,购房发票"</formula1>
    </dataValidation>
    <dataValidation type="list" allowBlank="1" showInputMessage="1" showErrorMessage="1" sqref="H88" xr:uid="{00000000-0002-0000-2D00-00000E000000}">
      <formula1>"仅含出让金,出让金+开发费"</formula1>
    </dataValidation>
    <dataValidation type="list" allowBlank="1" showInputMessage="1" showErrorMessage="1" sqref="H91" xr:uid="{00000000-0002-0000-2D00-00000F000000}">
      <formula1>"企业提供（在右侧录入）,——"</formula1>
    </dataValidation>
    <dataValidation type="list" allowBlank="1" showInputMessage="1" showErrorMessage="1" sqref="C33" xr:uid="{00000000-0002-0000-2D00-000010000000}">
      <formula1>"成本比率,收益比率,自定义"</formula1>
    </dataValidation>
    <dataValidation type="list" allowBlank="1" showInputMessage="1" showErrorMessage="1" sqref="F45" xr:uid="{00000000-0002-0000-2D00-000011000000}">
      <formula1>"100%,80%,60%,64%"</formula1>
    </dataValidation>
    <dataValidation type="list" allowBlank="1" showInputMessage="1" showErrorMessage="1" sqref="D32" xr:uid="{00000000-0002-0000-2D00-000012000000}">
      <formula1>"总价,楼面单价"</formula1>
    </dataValidation>
    <dataValidation type="list" allowBlank="1" showInputMessage="1" showErrorMessage="1" sqref="H58" xr:uid="{00000000-0002-0000-2D00-000013000000}">
      <formula1>"转让取得,自行开发建设"</formula1>
    </dataValidation>
    <dataValidation type="list" allowBlank="1" showInputMessage="1" showErrorMessage="1" sqref="H48" xr:uid="{00000000-0002-0000-2D00-000014000000}">
      <formula1>"情况1,情况2,情况3,情况4"</formula1>
    </dataValidation>
    <dataValidation type="list" allowBlank="1" showInputMessage="1" showErrorMessage="1" sqref="H55:H56" xr:uid="{00000000-0002-0000-2D00-000015000000}">
      <formula1>"个人住宅,正常"</formula1>
    </dataValidation>
    <dataValidation type="list" allowBlank="1" showInputMessage="1" showErrorMessage="1" sqref="C4:D4 D33" xr:uid="{00000000-0002-0000-2D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I57"/>
  <sheetViews>
    <sheetView view="pageBreakPreview" zoomScale="70" zoomScaleNormal="70" zoomScaleSheetLayoutView="70" workbookViewId="0">
      <selection activeCell="E41" sqref="E4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t="s">
        <v>3180</v>
      </c>
      <c r="C1" s="204"/>
      <c r="D1" s="204"/>
      <c r="E1" s="204"/>
      <c r="F1" s="204"/>
      <c r="G1" s="1288">
        <f>MATCH(B1,'数据-取费表'!A6:A16,0)+5</f>
        <v>7</v>
      </c>
    </row>
    <row r="2" spans="1:9" s="206" customFormat="1" ht="18" customHeight="1">
      <c r="A2" s="207" t="s">
        <v>1359</v>
      </c>
      <c r="B2" s="208">
        <f ca="1">IF(D2="——",C52,C52-E2)</f>
        <v>66186</v>
      </c>
      <c r="C2" s="205" t="s">
        <v>2149</v>
      </c>
      <c r="D2" s="2038" t="s">
        <v>70</v>
      </c>
      <c r="E2" s="1330" t="e">
        <f ca="1">SUMIF(INDIRECT("'"&amp;G2&amp;"'"&amp;"!A:A"),"承租人权益价值",INDIRECT("'"&amp;G2&amp;"'"&amp;"!c:c"))</f>
        <v>#REF!</v>
      </c>
      <c r="F2" s="2039" t="s">
        <v>2149</v>
      </c>
      <c r="G2" s="2040"/>
    </row>
    <row r="3" spans="1:9" s="206" customFormat="1" ht="18" customHeight="1" thickBot="1">
      <c r="A3" s="209" t="s">
        <v>1360</v>
      </c>
      <c r="B3" s="210">
        <f ca="1">ROUND(B2*10000/(IF(B1="",'数据-汇总表'!E3,INDIRECT("'数据-取费表'!k"&amp;$G$1))),0)</f>
        <v>31074</v>
      </c>
      <c r="C3" s="205" t="s">
        <v>2151</v>
      </c>
      <c r="D3" s="205"/>
      <c r="E3" s="205"/>
      <c r="F3" s="205"/>
      <c r="G3" s="205"/>
    </row>
    <row r="4" spans="1:9" s="214" customFormat="1" ht="15.75">
      <c r="A4" s="211" t="s">
        <v>2152</v>
      </c>
      <c r="B4" s="212"/>
      <c r="C4" s="212"/>
      <c r="D4" s="212"/>
      <c r="E4" s="212"/>
      <c r="F4" s="212"/>
      <c r="G4" s="213"/>
    </row>
    <row r="5" spans="1:9" s="220" customFormat="1" ht="13.5" customHeight="1">
      <c r="A5" s="261" t="s">
        <v>782</v>
      </c>
      <c r="B5" s="216" t="s">
        <v>2154</v>
      </c>
      <c r="C5" s="217">
        <f ca="1">C6+C7+C8</f>
        <v>17855</v>
      </c>
      <c r="D5" s="217" t="s">
        <v>2155</v>
      </c>
      <c r="E5" s="218" t="s">
        <v>2156</v>
      </c>
      <c r="F5" s="218" t="s">
        <v>2157</v>
      </c>
      <c r="G5" s="219"/>
    </row>
    <row r="6" spans="1:9" s="220" customFormat="1" ht="13.5" customHeight="1">
      <c r="A6" s="886" t="s">
        <v>791</v>
      </c>
      <c r="B6" s="221" t="s">
        <v>2159</v>
      </c>
      <c r="C6" s="222">
        <f>ROUND('数据-汇总表'!D20*'土地比较法-住宅、综合'!C48/10000,0)</f>
        <v>16942</v>
      </c>
      <c r="D6" s="223"/>
      <c r="E6" s="224"/>
      <c r="F6" s="224"/>
      <c r="G6" s="225"/>
    </row>
    <row r="7" spans="1:9" s="220" customFormat="1" ht="13.5" customHeight="1">
      <c r="A7" s="886" t="s">
        <v>792</v>
      </c>
      <c r="B7" s="221" t="s">
        <v>2161</v>
      </c>
      <c r="C7" s="226">
        <f>ROUND(C6*F7,0)</f>
        <v>517</v>
      </c>
      <c r="D7" s="226"/>
      <c r="E7" s="224"/>
      <c r="F7" s="227">
        <f>IF(项目基本情况!B8="出让",0,'数据-取费表'!B48+'数据-取费表'!B49)</f>
        <v>3.0499999999999999E-2</v>
      </c>
      <c r="G7" s="225"/>
    </row>
    <row r="8" spans="1:9" s="229" customFormat="1">
      <c r="A8" s="886" t="s">
        <v>793</v>
      </c>
      <c r="B8" s="221" t="s">
        <v>2163</v>
      </c>
      <c r="C8" s="226">
        <f ca="1">IF(G8="已包含在土地购买价格中","0",IF(B1="",'数据-取费表'!B29,IF(G9="全部缴纳",C9+C10,H9)))</f>
        <v>396</v>
      </c>
      <c r="D8" s="228"/>
      <c r="E8" s="226"/>
      <c r="F8" s="227"/>
      <c r="G8" s="2041" t="s">
        <v>3175</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2" t="s">
        <v>3176</v>
      </c>
      <c r="H9" s="3090">
        <f ca="1">C10</f>
        <v>396</v>
      </c>
      <c r="I9" s="2043" t="s">
        <v>2165</v>
      </c>
    </row>
    <row r="10" spans="1:9" s="220" customFormat="1" ht="13.5" customHeight="1">
      <c r="A10" s="887" t="s">
        <v>801</v>
      </c>
      <c r="B10" s="230" t="s">
        <v>2166</v>
      </c>
      <c r="C10" s="231">
        <f ca="1">ROUND(D10*E10/10000,0)</f>
        <v>396</v>
      </c>
      <c r="D10" s="954">
        <f ca="1">IF(B1="",'数据-汇总表'!E6,IF(INDIRECT("'数据-取费表'!c"&amp;$G$1)="住宅",INDIRECT("'数据-取费表'!s"&amp;$G$1),INDIRECT("'数据-取费表'!k"&amp;$G$1)+INDIRECT("'数据-取费表'!s"&amp;$G$1)))</f>
        <v>21299.25</v>
      </c>
      <c r="E10" s="231">
        <f>'数据-取费表'!B28</f>
        <v>185.8</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2163</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2163</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21299.25</v>
      </c>
      <c r="E19" s="217">
        <f>'数据-取费表'!B31</f>
        <v>200</v>
      </c>
      <c r="F19" s="237"/>
      <c r="G19" s="2041" t="s">
        <v>3177</v>
      </c>
    </row>
    <row r="20" spans="1:7" s="220" customFormat="1" ht="13.5" customHeight="1">
      <c r="A20" s="261" t="s">
        <v>2179</v>
      </c>
      <c r="B20" s="216" t="s">
        <v>2180</v>
      </c>
      <c r="C20" s="238">
        <f ca="1">ROUND((C5+C19)*F20,0)</f>
        <v>179</v>
      </c>
      <c r="D20" s="238"/>
      <c r="E20" s="238"/>
      <c r="F20" s="239">
        <f>'数据-取费表'!B37</f>
        <v>0.01</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1595</v>
      </c>
      <c r="D22" s="241">
        <f ca="1">C26</f>
        <v>4.0000000000000002E-4</v>
      </c>
      <c r="E22" s="242" t="s">
        <v>2184</v>
      </c>
      <c r="F22" s="243">
        <f ca="1">'数据-取费表'!B40</f>
        <v>4.3499999999999997E-2</v>
      </c>
      <c r="G22" s="240" t="str">
        <f>IF('数据-取费表'!B22&lt;=1,"单利计息","复利计息")</f>
        <v>复利计息</v>
      </c>
    </row>
    <row r="23" spans="1:7" s="220" customFormat="1" ht="13.5" customHeight="1">
      <c r="A23" s="888" t="s">
        <v>791</v>
      </c>
      <c r="B23" s="221" t="s">
        <v>2189</v>
      </c>
      <c r="C23" s="1265">
        <f ca="1">ROUND(IF('数据-取费表'!B22&lt;=1,C5*F22*'数据-取费表'!B23,C5*(POWER((1+F22),'数据-取费表'!B23)-1)),0)</f>
        <v>1587</v>
      </c>
      <c r="D23" s="244"/>
      <c r="E23" s="244"/>
      <c r="F23" s="245"/>
      <c r="G23" s="246" t="s">
        <v>2190</v>
      </c>
    </row>
    <row r="24" spans="1:7" s="220" customFormat="1" ht="13.5" customHeight="1">
      <c r="A24" s="888" t="s">
        <v>792</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793</v>
      </c>
      <c r="B25" s="221" t="s">
        <v>2195</v>
      </c>
      <c r="C25" s="1265">
        <f ca="1">ROUND(IF('数据-取费表'!B22&lt;=1,C20*F22*'数据-取费表'!B23/2,C20*(POWER((1+F22),'数据-取费表'!B23/2)-1)),0)</f>
        <v>8</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2705</v>
      </c>
      <c r="D27" s="241">
        <f ca="1">C29</f>
        <v>1.5E-3</v>
      </c>
      <c r="E27" s="242" t="s">
        <v>2184</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2705</v>
      </c>
      <c r="D28" s="241"/>
      <c r="E28" s="242"/>
      <c r="F28" s="252"/>
      <c r="G28" s="253"/>
    </row>
    <row r="29" spans="1:7" s="220" customFormat="1" ht="13.5" customHeight="1">
      <c r="A29" s="888" t="s">
        <v>792</v>
      </c>
      <c r="B29" s="254" t="s">
        <v>2203</v>
      </c>
      <c r="C29" s="244">
        <f ca="1">ROUND(C21*F27*'数据-取费表'!B21/'数据-取费表'!B20,4)</f>
        <v>1.5E-3</v>
      </c>
      <c r="D29" s="241"/>
      <c r="E29" s="242"/>
      <c r="F29" s="252"/>
      <c r="G29" s="253"/>
    </row>
    <row r="30" spans="1:7" s="220" customFormat="1" ht="13.5" customHeight="1">
      <c r="A30" s="261" t="s">
        <v>2204</v>
      </c>
      <c r="B30" s="216" t="s">
        <v>2205</v>
      </c>
      <c r="C30" s="241">
        <f>ROUND(F30/(1+'数据-取费表'!C42),4)</f>
        <v>5.33E-2</v>
      </c>
      <c r="D30" s="242" t="s">
        <v>2184</v>
      </c>
      <c r="E30" s="247"/>
      <c r="F30" s="243">
        <f>'数据-取费表'!B41</f>
        <v>5.6000000000000001E-2</v>
      </c>
      <c r="G30" s="240" t="s">
        <v>2206</v>
      </c>
    </row>
    <row r="31" spans="1:7" ht="16.5" customHeight="1">
      <c r="A31" s="215">
        <v>1</v>
      </c>
      <c r="B31" s="216" t="s">
        <v>2207</v>
      </c>
      <c r="C31" s="217">
        <f ca="1">ROUND((C5+C19+C20+C22+C27)/(1-C21-D22-D27-C30),0)</f>
        <v>23892</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33812</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31949</v>
      </c>
      <c r="D34" s="223"/>
      <c r="E34" s="226"/>
      <c r="F34" s="263">
        <f ca="1">IF('数据-取费表'!B24=0,1,IF(B1="",'数据-取费表'!N16,INDIRECT("'数据-取费表'!n"&amp;$G$1)))</f>
        <v>1</v>
      </c>
      <c r="G34" s="225" t="s">
        <v>2212</v>
      </c>
    </row>
    <row r="35" spans="1:7" ht="13.5" customHeight="1">
      <c r="A35" s="888" t="s">
        <v>796</v>
      </c>
      <c r="B35" s="221" t="s">
        <v>2213</v>
      </c>
      <c r="C35" s="226">
        <f ca="1">ROUND(C34*F35,0)</f>
        <v>958</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426</v>
      </c>
      <c r="D37" s="223">
        <f ca="1">D19</f>
        <v>21299.25</v>
      </c>
      <c r="E37" s="255">
        <f>'数据-取费表'!B35</f>
        <v>200</v>
      </c>
      <c r="F37" s="265"/>
      <c r="G37" s="267" t="s">
        <v>2218</v>
      </c>
    </row>
    <row r="38" spans="1:7" ht="13.5" customHeight="1">
      <c r="A38" s="888" t="s">
        <v>799</v>
      </c>
      <c r="B38" s="221" t="s">
        <v>2219</v>
      </c>
      <c r="C38" s="226">
        <f ca="1">ROUND(C34*F38,0)</f>
        <v>479</v>
      </c>
      <c r="D38" s="226"/>
      <c r="E38" s="226"/>
      <c r="F38" s="265">
        <f>'数据-取费表'!B36</f>
        <v>1.4999999999999999E-2</v>
      </c>
      <c r="G38" s="225" t="s">
        <v>2214</v>
      </c>
    </row>
    <row r="39" spans="1:7" s="220" customFormat="1" ht="13.5" customHeight="1">
      <c r="A39" s="261" t="s">
        <v>2177</v>
      </c>
      <c r="B39" s="216" t="s">
        <v>2180</v>
      </c>
      <c r="C39" s="238">
        <f ca="1">ROUND(C33*F20,0)</f>
        <v>338</v>
      </c>
      <c r="D39" s="238"/>
      <c r="E39" s="238"/>
      <c r="F39" s="2534">
        <f>F20</f>
        <v>0.01</v>
      </c>
      <c r="G39" s="240" t="s">
        <v>2222</v>
      </c>
    </row>
    <row r="40" spans="1:7" s="220" customFormat="1" ht="13.5" customHeight="1">
      <c r="A40" s="261" t="s">
        <v>2179</v>
      </c>
      <c r="B40" s="216" t="s">
        <v>2183</v>
      </c>
      <c r="C40" s="1494">
        <f>F21</f>
        <v>0.01</v>
      </c>
      <c r="D40" s="242" t="s">
        <v>2225</v>
      </c>
      <c r="E40" s="238"/>
      <c r="F40" s="2534">
        <f>F21</f>
        <v>0.01</v>
      </c>
      <c r="G40" s="240" t="s">
        <v>2226</v>
      </c>
    </row>
    <row r="41" spans="1:7" s="220" customFormat="1" ht="13.5" customHeight="1">
      <c r="A41" s="261" t="s">
        <v>2182</v>
      </c>
      <c r="B41" s="216" t="s">
        <v>2187</v>
      </c>
      <c r="C41" s="238">
        <f ca="1">ROUND(SUM(C42:C43),0)</f>
        <v>1486</v>
      </c>
      <c r="D41" s="241">
        <f ca="1">C44</f>
        <v>4.0000000000000002E-4</v>
      </c>
      <c r="E41" s="242" t="s">
        <v>2225</v>
      </c>
      <c r="F41" s="2535">
        <f ca="1">F22</f>
        <v>4.3499999999999997E-2</v>
      </c>
      <c r="G41" s="240" t="str">
        <f>IF('数据-取费表'!B22&lt;=1,"单利计息","复利计息")</f>
        <v>复利计息</v>
      </c>
    </row>
    <row r="42" spans="1:7" ht="13.5" customHeight="1">
      <c r="A42" s="888" t="s">
        <v>791</v>
      </c>
      <c r="B42" s="221" t="s">
        <v>2189</v>
      </c>
      <c r="C42" s="244">
        <f ca="1">ROUND(IF('数据-取费表'!B22&lt;=1,C33*F22*'数据-取费表'!B21/2,C33*(POWER((1+F22),'数据-取费表'!B21/2)-1)),0)</f>
        <v>1471</v>
      </c>
      <c r="D42" s="244"/>
      <c r="E42" s="244"/>
      <c r="F42" s="245"/>
      <c r="G42" s="3296" t="s">
        <v>2230</v>
      </c>
    </row>
    <row r="43" spans="1:7" ht="13.5" customHeight="1">
      <c r="A43" s="888" t="s">
        <v>792</v>
      </c>
      <c r="B43" s="221" t="s">
        <v>2192</v>
      </c>
      <c r="C43" s="244">
        <f ca="1">ROUND(IF('数据-取费表'!B22&lt;=1,C39*F22*'数据-取费表'!B21/2,C39*(POWER((1+F22),'数据-取费表'!B21/2)-1)),0)</f>
        <v>15</v>
      </c>
      <c r="D43" s="244"/>
      <c r="E43" s="244"/>
      <c r="F43" s="245"/>
      <c r="G43" s="3297"/>
    </row>
    <row r="44" spans="1:7" ht="13.5" customHeight="1">
      <c r="A44" s="888" t="s">
        <v>793</v>
      </c>
      <c r="B44" s="221" t="s">
        <v>2195</v>
      </c>
      <c r="C44" s="244">
        <f ca="1">ROUND(IF('数据-取费表'!B22&lt;=1,C40*F22*'数据-取费表'!B21/2,C40*(POWER((1+F22),'数据-取费表'!B21/2)-1)),4)</f>
        <v>4.0000000000000002E-4</v>
      </c>
      <c r="D44" s="244"/>
      <c r="E44" s="244"/>
      <c r="F44" s="245"/>
      <c r="G44" s="3298"/>
    </row>
    <row r="45" spans="1:7" s="220" customFormat="1" ht="13.5" customHeight="1">
      <c r="A45" s="261" t="s">
        <v>2186</v>
      </c>
      <c r="B45" s="250" t="s">
        <v>2199</v>
      </c>
      <c r="C45" s="251">
        <f ca="1">C46</f>
        <v>5123</v>
      </c>
      <c r="D45" s="241">
        <f ca="1">C47</f>
        <v>1.5E-3</v>
      </c>
      <c r="E45" s="242" t="s">
        <v>2225</v>
      </c>
      <c r="F45" s="2536">
        <f ca="1">F27</f>
        <v>0.15</v>
      </c>
      <c r="G45" s="253" t="s">
        <v>2234</v>
      </c>
    </row>
    <row r="46" spans="1:7" s="220" customFormat="1" ht="13.5" customHeight="1">
      <c r="A46" s="888" t="s">
        <v>791</v>
      </c>
      <c r="B46" s="254" t="s">
        <v>2235</v>
      </c>
      <c r="C46" s="255">
        <f ca="1">ROUND((C33+C39)*F27,0)</f>
        <v>5123</v>
      </c>
      <c r="D46" s="269"/>
      <c r="E46" s="242"/>
      <c r="F46" s="252"/>
      <c r="G46" s="253"/>
    </row>
    <row r="47" spans="1:7" s="220" customFormat="1" ht="13.5" customHeight="1">
      <c r="A47" s="888" t="s">
        <v>792</v>
      </c>
      <c r="B47" s="254" t="s">
        <v>2236</v>
      </c>
      <c r="C47" s="244">
        <f ca="1">ROUND(C40*F27,4)</f>
        <v>1.5E-3</v>
      </c>
      <c r="D47" s="269"/>
      <c r="E47" s="242"/>
      <c r="F47" s="252"/>
      <c r="G47" s="253"/>
    </row>
    <row r="48" spans="1:7" s="220" customFormat="1" ht="13.5" customHeight="1">
      <c r="A48" s="261" t="s">
        <v>2198</v>
      </c>
      <c r="B48" s="216" t="s">
        <v>2237</v>
      </c>
      <c r="C48" s="1494">
        <f>ROUND(F30/(1+'数据-取费表'!C42),4)</f>
        <v>5.33E-2</v>
      </c>
      <c r="D48" s="242" t="s">
        <v>2225</v>
      </c>
      <c r="E48" s="238"/>
      <c r="F48" s="2535">
        <f>F30</f>
        <v>5.6000000000000001E-2</v>
      </c>
      <c r="G48" s="240" t="s">
        <v>2238</v>
      </c>
    </row>
    <row r="49" spans="1:7" ht="16.5" customHeight="1">
      <c r="A49" s="261" t="s">
        <v>2204</v>
      </c>
      <c r="B49" s="216" t="s">
        <v>2239</v>
      </c>
      <c r="C49" s="238">
        <f ca="1">ROUND((C33+C39+C41+C45)/(1-C40-D41-D45-C48),0)</f>
        <v>43602</v>
      </c>
      <c r="D49" s="238"/>
      <c r="E49" s="238"/>
      <c r="F49" s="270"/>
      <c r="G49" s="240" t="s">
        <v>2240</v>
      </c>
    </row>
    <row r="50" spans="1:7" s="264" customFormat="1" ht="24">
      <c r="A50" s="261" t="s">
        <v>2241</v>
      </c>
      <c r="B50" s="216" t="s">
        <v>2242</v>
      </c>
      <c r="C50" s="238"/>
      <c r="D50" s="238"/>
      <c r="E50" s="238"/>
      <c r="F50" s="270">
        <f>IF('数据-取费表'!B24=0,'数据-取费表'!N16,1)</f>
        <v>0.97</v>
      </c>
      <c r="G50" s="253" t="s">
        <v>2243</v>
      </c>
    </row>
    <row r="51" spans="1:7" ht="16.5" customHeight="1">
      <c r="A51" s="261" t="s">
        <v>2244</v>
      </c>
      <c r="B51" s="216" t="s">
        <v>2245</v>
      </c>
      <c r="C51" s="238">
        <f ca="1">ROUND(C49*F50,0)</f>
        <v>42294</v>
      </c>
      <c r="D51" s="238"/>
      <c r="E51" s="238"/>
      <c r="F51" s="270"/>
      <c r="G51" s="240" t="s">
        <v>2246</v>
      </c>
    </row>
    <row r="52" spans="1:7" s="214" customFormat="1" ht="16.5" thickBot="1">
      <c r="A52" s="271" t="s">
        <v>2247</v>
      </c>
      <c r="B52" s="272"/>
      <c r="C52" s="273">
        <f ca="1">C31+C51</f>
        <v>66186</v>
      </c>
      <c r="D52" s="272"/>
      <c r="E52" s="272"/>
      <c r="F52" s="272"/>
      <c r="G52" s="274"/>
    </row>
    <row r="55" spans="1:7" ht="15">
      <c r="B55" s="276" t="s">
        <v>2248</v>
      </c>
      <c r="C55" s="277"/>
    </row>
    <row r="56" spans="1:7">
      <c r="B56" s="279" t="s">
        <v>1478</v>
      </c>
      <c r="C56" s="281">
        <f ca="1">1-C57</f>
        <v>0.36099999999999999</v>
      </c>
    </row>
    <row r="57" spans="1:7">
      <c r="B57" s="279" t="s">
        <v>1479</v>
      </c>
      <c r="C57" s="280">
        <f ca="1">ROUND(C51/C52,3)</f>
        <v>0.63900000000000001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2E00-000000000000}">
      <formula1>"需扣减承租人权益,——"</formula1>
    </dataValidation>
    <dataValidation type="list" allowBlank="1" showInputMessage="1" showErrorMessage="1" sqref="G2" xr:uid="{00000000-0002-0000-2E00-000001000000}">
      <formula1>估价方法</formula1>
    </dataValidation>
    <dataValidation type="list" allowBlank="1" showInputMessage="1" showErrorMessage="1" sqref="G9" xr:uid="{00000000-0002-0000-2E00-000002000000}">
      <formula1>"部分缴纳,全部缴纳"</formula1>
    </dataValidation>
    <dataValidation type="list" allowBlank="1" showInputMessage="1" showErrorMessage="1" sqref="B1" xr:uid="{00000000-0002-0000-2E00-000003000000}">
      <formula1>项目类型</formula1>
    </dataValidation>
    <dataValidation type="list" allowBlank="1" showInputMessage="1" showErrorMessage="1" sqref="G19" xr:uid="{00000000-0002-0000-2E00-000004000000}">
      <formula1>"已包含在土地取得成本中,未包含在土地取得成本中"</formula1>
    </dataValidation>
    <dataValidation type="list" allowBlank="1" showInputMessage="1" showErrorMessage="1" sqref="G8" xr:uid="{00000000-0002-0000-2E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83"/>
  <sheetViews>
    <sheetView view="pageBreakPreview" topLeftCell="B1" zoomScale="70" zoomScaleNormal="70" zoomScaleSheetLayoutView="70" workbookViewId="0">
      <selection activeCell="K42" sqref="K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3180</v>
      </c>
      <c r="D1" s="1545" t="s">
        <v>70</v>
      </c>
      <c r="E1" s="1546" t="s">
        <v>1352</v>
      </c>
      <c r="F1" s="1193">
        <f ca="1">J53</f>
        <v>42.08</v>
      </c>
      <c r="G1" s="1561">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6876</v>
      </c>
      <c r="C2" s="1570" t="s">
        <v>1481</v>
      </c>
      <c r="D2" s="1570"/>
      <c r="E2" s="1571"/>
      <c r="F2" s="1572"/>
      <c r="G2" s="2934"/>
      <c r="H2" s="2923"/>
      <c r="I2" s="2923"/>
      <c r="J2" s="2923"/>
      <c r="K2" s="2924"/>
      <c r="L2" s="2923"/>
      <c r="M2" s="2923"/>
    </row>
    <row r="3" spans="1:37" ht="18" customHeight="1" thickBot="1">
      <c r="A3" s="1573" t="s">
        <v>1482</v>
      </c>
      <c r="B3" s="1574">
        <f ca="1">IF(ISERROR(B2*10000/F43),0,ROUND(B2*10000/F43,0))</f>
        <v>3228</v>
      </c>
      <c r="C3" s="1570" t="s">
        <v>1483</v>
      </c>
      <c r="D3" s="1570"/>
      <c r="E3" s="1571"/>
      <c r="F3" s="1572"/>
      <c r="G3" s="2934"/>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1089</v>
      </c>
      <c r="D5" s="1547" t="s">
        <v>1367</v>
      </c>
      <c r="E5" s="1203"/>
      <c r="F5" s="1204"/>
      <c r="G5" s="1567"/>
      <c r="H5" s="305">
        <v>1</v>
      </c>
      <c r="I5" s="306" t="s">
        <v>1366</v>
      </c>
      <c r="J5" s="1202">
        <f ca="1">J6+J10+J12</f>
        <v>0</v>
      </c>
      <c r="K5" s="1547" t="s">
        <v>1367</v>
      </c>
      <c r="L5" s="1203"/>
      <c r="M5" s="1204"/>
    </row>
    <row r="6" spans="1:37" ht="18" customHeight="1">
      <c r="A6" s="1201" t="s">
        <v>1003</v>
      </c>
      <c r="B6" s="3344" t="s">
        <v>1368</v>
      </c>
      <c r="C6" s="1206">
        <f ca="1">ROUND(F6*F8*F7*(1-F9)/10000,0)</f>
        <v>1088</v>
      </c>
      <c r="D6" s="160" t="s">
        <v>2850</v>
      </c>
      <c r="E6" s="308" t="s">
        <v>1370</v>
      </c>
      <c r="F6" s="309">
        <f ca="1">INDIRECT("'数据-取费表'!u"&amp;$G$1)</f>
        <v>2</v>
      </c>
      <c r="G6" s="1567"/>
      <c r="H6" s="1201" t="s">
        <v>1003</v>
      </c>
      <c r="I6" s="3344" t="s">
        <v>1368</v>
      </c>
      <c r="J6" s="307">
        <f ca="1">ROUND(M6*M8*M7*(1-M9)/10000,0)</f>
        <v>0</v>
      </c>
      <c r="K6" s="160" t="s">
        <v>2849</v>
      </c>
      <c r="L6" s="308" t="s">
        <v>1370</v>
      </c>
      <c r="M6" s="309">
        <f ca="1">INDIRECT("'数据-取费表'!z"&amp;$G$1)</f>
        <v>0</v>
      </c>
    </row>
    <row r="7" spans="1:37" ht="18" customHeight="1">
      <c r="A7" s="1205"/>
      <c r="B7" s="3345"/>
      <c r="C7" s="1207"/>
      <c r="D7" s="313"/>
      <c r="E7" s="3094" t="s">
        <v>1371</v>
      </c>
      <c r="F7" s="309">
        <f ca="1">IF(INDIRECT("'数据-取费表'!ah"&amp;$G$1)="",INDIRECT("'数据-取费表'!k"&amp;$G$1),INDIRECT("'数据-取费表'!ah"&amp;$G$1))</f>
        <v>21299.25</v>
      </c>
      <c r="G7" s="1567"/>
      <c r="H7" s="310"/>
      <c r="I7" s="3345"/>
      <c r="J7" s="312"/>
      <c r="K7" s="313"/>
      <c r="L7" s="308" t="s">
        <v>1371</v>
      </c>
      <c r="M7" s="309">
        <f ca="1">F7</f>
        <v>21299.25</v>
      </c>
    </row>
    <row r="8" spans="1:37" ht="18" customHeight="1">
      <c r="A8" s="310"/>
      <c r="B8" s="3345"/>
      <c r="C8" s="312"/>
      <c r="D8" s="313"/>
      <c r="E8" s="308" t="s">
        <v>1372</v>
      </c>
      <c r="F8" s="309">
        <f ca="1">INDIRECT("'数据-取费表'!ai"&amp;$G$1)</f>
        <v>365</v>
      </c>
      <c r="G8" s="1567"/>
      <c r="H8" s="310"/>
      <c r="I8" s="3345"/>
      <c r="J8" s="312"/>
      <c r="K8" s="313"/>
      <c r="L8" s="308" t="s">
        <v>1372</v>
      </c>
      <c r="M8" s="309">
        <f ca="1">INDIRECT("'数据-取费表'!ai"&amp;$G$1)</f>
        <v>365</v>
      </c>
    </row>
    <row r="9" spans="1:37" ht="18" customHeight="1">
      <c r="A9" s="310"/>
      <c r="B9" s="3346"/>
      <c r="C9" s="312"/>
      <c r="D9" s="313"/>
      <c r="E9" s="308" t="s">
        <v>1373</v>
      </c>
      <c r="F9" s="318">
        <f ca="1">INDIRECT("'数据-取费表'!w"&amp;$G$1)</f>
        <v>0.3</v>
      </c>
      <c r="G9" s="1567"/>
      <c r="H9" s="310"/>
      <c r="I9" s="3346"/>
      <c r="J9" s="312"/>
      <c r="K9" s="313"/>
      <c r="L9" s="319" t="s">
        <v>1373</v>
      </c>
      <c r="M9" s="320">
        <f ca="1">INDIRECT("'数据-取费表'!ab"&amp;$G$1)</f>
        <v>0</v>
      </c>
    </row>
    <row r="10" spans="1:37" ht="18" customHeight="1">
      <c r="A10" s="1201" t="s">
        <v>1007</v>
      </c>
      <c r="B10" s="1548" t="s">
        <v>1374</v>
      </c>
      <c r="C10" s="322">
        <f ca="1">ROUND(IF(F10="押一",C6/12*F11,IF(F10="押二",C6/12*2*F11,IF(F10="押三",C6/12*3*F11,C11*F11))),0)</f>
        <v>1</v>
      </c>
      <c r="D10" s="1549" t="s">
        <v>2857</v>
      </c>
      <c r="E10" s="319" t="s">
        <v>1375</v>
      </c>
      <c r="F10" s="1276" t="s">
        <v>3171</v>
      </c>
      <c r="G10" s="1567"/>
      <c r="H10" s="1201" t="s">
        <v>1007</v>
      </c>
      <c r="I10" s="1548" t="s">
        <v>1374</v>
      </c>
      <c r="J10" s="307">
        <f ca="1">ROUND(IF(M10="押一",J6/12*M11,IF(M10="押二",J6/12*2*M11,IF(M10="押三",J6/12*3*M11,J11*M11))),0)</f>
        <v>0</v>
      </c>
      <c r="K10" s="1549" t="s">
        <v>2857</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42294</v>
      </c>
      <c r="D13" s="3091" t="s">
        <v>1380</v>
      </c>
      <c r="E13" s="3091" t="s">
        <v>1381</v>
      </c>
      <c r="F13" s="1242">
        <f ca="1">INDIRECT("'数据-取费表'!y"&amp;$G$1)</f>
        <v>0.97</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31949</v>
      </c>
      <c r="D14" s="3097" t="s">
        <v>1383</v>
      </c>
      <c r="E14" s="3096"/>
      <c r="F14" s="325"/>
      <c r="G14" s="1567"/>
      <c r="H14" s="1113" t="s">
        <v>1003</v>
      </c>
      <c r="I14" s="308" t="s">
        <v>1384</v>
      </c>
      <c r="J14" s="24">
        <f ca="1">C29</f>
        <v>43602</v>
      </c>
      <c r="K14" s="3093"/>
      <c r="L14" s="916"/>
      <c r="M14" s="917"/>
    </row>
    <row r="15" spans="1:37" s="1580" customFormat="1" ht="18" customHeight="1" thickBot="1">
      <c r="A15" s="1113" t="s">
        <v>1004</v>
      </c>
      <c r="B15" s="308" t="s">
        <v>1385</v>
      </c>
      <c r="C15" s="24">
        <f ca="1">ROUND(C14*F15,0)</f>
        <v>958</v>
      </c>
      <c r="D15" s="3092" t="s">
        <v>1386</v>
      </c>
      <c r="E15" s="3092"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856</v>
      </c>
      <c r="K16" s="1247" t="s">
        <v>1390</v>
      </c>
      <c r="L16" s="3099"/>
      <c r="M16" s="1204"/>
    </row>
    <row r="17" spans="1:37" s="1580" customFormat="1" ht="18" customHeight="1">
      <c r="A17" s="1113" t="s">
        <v>1355</v>
      </c>
      <c r="B17" s="308" t="s">
        <v>1391</v>
      </c>
      <c r="C17" s="24">
        <f ca="1">ROUND(F17*(F43+INDIRECT("'数据-取费表'!S"&amp;$G$1))/10000,0)</f>
        <v>426</v>
      </c>
      <c r="D17" s="308" t="s">
        <v>1392</v>
      </c>
      <c r="E17" s="308" t="s">
        <v>1393</v>
      </c>
      <c r="F17" s="26">
        <f>'数据-取费表'!B35</f>
        <v>200</v>
      </c>
      <c r="G17" s="1579"/>
      <c r="H17" s="1113" t="s">
        <v>1003</v>
      </c>
      <c r="I17" s="308" t="s">
        <v>1394</v>
      </c>
      <c r="J17" s="2533">
        <f ca="1">ROUND(IF(AND(项目基本情况!B11="自然人",项目基本情况!B10="北京市"),J6*M17/(1+'数据-取费表'!C42),J18+J19+J20),0)</f>
        <v>420</v>
      </c>
      <c r="K17" s="3097" t="s">
        <v>1395</v>
      </c>
      <c r="L17" s="3098"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479</v>
      </c>
      <c r="D18" s="308" t="s">
        <v>1386</v>
      </c>
      <c r="E18" s="308" t="s">
        <v>1387</v>
      </c>
      <c r="F18" s="328">
        <f>'数据-取费表'!B36</f>
        <v>1.4999999999999999E-2</v>
      </c>
      <c r="G18" s="1579"/>
      <c r="H18" s="1113" t="s">
        <v>1002</v>
      </c>
      <c r="I18" s="308" t="s">
        <v>1398</v>
      </c>
      <c r="J18" s="24">
        <f ca="1">ROUND(J6*M18/(1+'数据-取费表'!C42),2)</f>
        <v>0</v>
      </c>
      <c r="K18" s="3098"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33812</v>
      </c>
      <c r="D19" s="136" t="s">
        <v>1401</v>
      </c>
      <c r="E19" s="3101"/>
      <c r="F19" s="26"/>
      <c r="G19" s="1567"/>
      <c r="H19" s="1113" t="s">
        <v>1004</v>
      </c>
      <c r="I19" s="308" t="s">
        <v>1402</v>
      </c>
      <c r="J19" s="24">
        <f ca="1">IF(K19="按租金收入计税",ROUND(J6*M19/(1+'数据-取费表'!C42),2),ROUND(C29*M19*0.7,2))</f>
        <v>366.26</v>
      </c>
      <c r="K19" s="1553" t="s">
        <v>1403</v>
      </c>
      <c r="L19" s="308" t="s">
        <v>1387</v>
      </c>
      <c r="M19" s="328">
        <f>IF(K19="按租金收入计税",'数据-取费表'!B51,'数据-取费表'!B50)</f>
        <v>1.2E-2</v>
      </c>
    </row>
    <row r="20" spans="1:37" s="1580" customFormat="1" ht="18" customHeight="1">
      <c r="A20" s="1113" t="s">
        <v>1007</v>
      </c>
      <c r="B20" s="308" t="s">
        <v>1404</v>
      </c>
      <c r="C20" s="24">
        <f ca="1">ROUND(C19*F20,0)</f>
        <v>338</v>
      </c>
      <c r="D20" s="329" t="s">
        <v>1405</v>
      </c>
      <c r="E20" s="308" t="s">
        <v>1387</v>
      </c>
      <c r="F20" s="328">
        <f>'数据-取费表'!B37</f>
        <v>0.01</v>
      </c>
      <c r="G20" s="1579"/>
      <c r="H20" s="1113" t="s">
        <v>1354</v>
      </c>
      <c r="I20" s="160" t="s">
        <v>1406</v>
      </c>
      <c r="J20" s="25">
        <f ca="1">ROUND(M20*M21/10000,2)</f>
        <v>54</v>
      </c>
      <c r="K20" s="330" t="s">
        <v>1407</v>
      </c>
      <c r="L20" s="308" t="s">
        <v>1408</v>
      </c>
      <c r="M20" s="331">
        <f>'数据-取费表'!B52</f>
        <v>11.2</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0.01</v>
      </c>
      <c r="G21" s="1579"/>
      <c r="H21" s="332"/>
      <c r="I21" s="317"/>
      <c r="J21" s="29"/>
      <c r="K21" s="333"/>
      <c r="L21" s="308" t="s">
        <v>1412</v>
      </c>
      <c r="M21" s="309">
        <f ca="1">INDIRECT("'数据-取费表'!r"&amp;$G$1)</f>
        <v>48213.71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101"/>
      <c r="F22" s="26"/>
      <c r="G22" s="1567"/>
      <c r="H22" s="1113" t="s">
        <v>1007</v>
      </c>
      <c r="I22" s="308" t="s">
        <v>1414</v>
      </c>
      <c r="J22" s="24">
        <f ca="1">ROUND(J14*M22,1)</f>
        <v>436</v>
      </c>
      <c r="K22" s="3098" t="s">
        <v>1415</v>
      </c>
      <c r="L22" s="308" t="s">
        <v>1387</v>
      </c>
      <c r="M22" s="334">
        <f ca="1">INDIRECT("'数据-取费表'!Ak"&amp;$G$1)</f>
        <v>0.01</v>
      </c>
    </row>
    <row r="23" spans="1:37" s="1580" customFormat="1" ht="18" customHeight="1">
      <c r="A23" s="1113" t="s">
        <v>1002</v>
      </c>
      <c r="B23" s="308" t="s">
        <v>1416</v>
      </c>
      <c r="C23" s="24">
        <f ca="1">IF('数据-取费表'!B22&lt;=1,ROUND(C19*F24*F23/2,0)+ROUND(C20*F24*F23/2,0),ROUND(C19*(POWER((1+F24),F23/2)-1),0)+ROUND(C20*(POWER((1+F24),F23/2)-1),0))</f>
        <v>1486</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3098" t="s">
        <v>1419</v>
      </c>
      <c r="L23" s="308" t="s">
        <v>1387</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79"/>
      <c r="H24" s="1249" t="s">
        <v>1357</v>
      </c>
      <c r="I24" s="1250" t="s">
        <v>1404</v>
      </c>
      <c r="J24" s="1251">
        <f ca="1">ROUND(J5*M24,1)</f>
        <v>0</v>
      </c>
      <c r="K24" s="1252" t="s">
        <v>1424</v>
      </c>
      <c r="L24" s="1250" t="s">
        <v>1387</v>
      </c>
      <c r="M24" s="1246">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101"/>
      <c r="F25" s="26"/>
      <c r="G25" s="1567"/>
      <c r="H25" s="1239" t="s">
        <v>999</v>
      </c>
      <c r="I25" s="1254" t="s">
        <v>1428</v>
      </c>
      <c r="J25" s="316">
        <f ca="1">J5-J16</f>
        <v>-856</v>
      </c>
      <c r="K25" s="1255" t="s">
        <v>1429</v>
      </c>
      <c r="L25" s="1256"/>
      <c r="M25" s="1257"/>
    </row>
    <row r="26" spans="1:37">
      <c r="A26" s="1113" t="s">
        <v>1002</v>
      </c>
      <c r="B26" s="308" t="s">
        <v>1430</v>
      </c>
      <c r="C26" s="24">
        <f ca="1">ROUND((C19+C20)*F26,0)</f>
        <v>5123</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1.5E-3</v>
      </c>
      <c r="D27" s="329" t="s">
        <v>1437</v>
      </c>
      <c r="E27" s="3092"/>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43602</v>
      </c>
      <c r="D29" s="1252"/>
      <c r="E29" s="1250"/>
      <c r="F29" s="1253"/>
      <c r="G29" s="1579"/>
      <c r="H29" s="340" t="s">
        <v>1001</v>
      </c>
      <c r="I29" s="341" t="s">
        <v>1444</v>
      </c>
      <c r="J29" s="342">
        <f ca="1">ROUND(J26/(1+F40)^F41,0)</f>
        <v>0</v>
      </c>
      <c r="K29" s="343" t="s">
        <v>1445</v>
      </c>
      <c r="L29" s="344"/>
      <c r="M29" s="345">
        <f ca="1">INDIRECT("'数据-取费表'!k"&amp;$G$1)</f>
        <v>21299.25</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746</v>
      </c>
      <c r="D30" s="1247" t="s">
        <v>1390</v>
      </c>
      <c r="E30" s="3099"/>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236</v>
      </c>
      <c r="D31" s="3097" t="s">
        <v>1395</v>
      </c>
      <c r="E31" s="3098"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3" t="s">
        <v>1002</v>
      </c>
      <c r="B32" s="308" t="s">
        <v>1398</v>
      </c>
      <c r="C32" s="24">
        <f ca="1">IF(项目基本情况!B11="自然人","——",ROUND(C6*F32/(1+'数据-取费表'!C42),2))</f>
        <v>58.03</v>
      </c>
      <c r="D32" s="3098"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124.34</v>
      </c>
      <c r="D33" s="1553" t="s">
        <v>3172</v>
      </c>
      <c r="E33" s="308" t="s">
        <v>1387</v>
      </c>
      <c r="F33" s="328">
        <f>IF(D33="按票据","——",IF(D33="按租金收入计税",'数据-取费表'!B51,'数据-取费表'!B50))</f>
        <v>0.12</v>
      </c>
      <c r="G33" s="1567"/>
      <c r="H33" s="2928"/>
      <c r="I33" s="1581"/>
      <c r="J33" s="1582"/>
      <c r="K33" s="2929"/>
      <c r="L33" s="2928"/>
      <c r="M33" s="2928"/>
    </row>
    <row r="34" spans="1:18" ht="18" customHeight="1">
      <c r="A34" s="1201" t="s">
        <v>1354</v>
      </c>
      <c r="B34" s="160" t="s">
        <v>1406</v>
      </c>
      <c r="C34" s="25">
        <f ca="1">IF(项目基本情况!B11="自然人","——",ROUND(F34*F35/10000,2))</f>
        <v>54</v>
      </c>
      <c r="D34" s="330" t="s">
        <v>1407</v>
      </c>
      <c r="E34" s="308" t="s">
        <v>1408</v>
      </c>
      <c r="F34" s="331">
        <f>'数据-取费表'!B52</f>
        <v>11.2</v>
      </c>
      <c r="G34" s="1567"/>
      <c r="H34" s="2925"/>
      <c r="I34" s="1581"/>
      <c r="J34" s="1582"/>
      <c r="K34" s="2930"/>
      <c r="L34" s="2931"/>
      <c r="M34" s="2931"/>
    </row>
    <row r="35" spans="1:18" ht="18" customHeight="1">
      <c r="A35" s="1263"/>
      <c r="B35" s="1261"/>
      <c r="C35" s="29"/>
      <c r="D35" s="333"/>
      <c r="E35" s="308" t="s">
        <v>1412</v>
      </c>
      <c r="F35" s="309">
        <f ca="1">INDIRECT("'数据-取费表'!r"&amp;$G$1)</f>
        <v>48213.71</v>
      </c>
      <c r="G35" s="1567"/>
      <c r="H35" s="2925"/>
      <c r="I35" s="1581"/>
      <c r="J35" s="1582"/>
      <c r="K35" s="2929"/>
      <c r="L35" s="2928"/>
      <c r="M35" s="2928"/>
    </row>
    <row r="36" spans="1:18" ht="18" customHeight="1">
      <c r="A36" s="1262" t="s">
        <v>1007</v>
      </c>
      <c r="B36" s="308" t="s">
        <v>1414</v>
      </c>
      <c r="C36" s="24">
        <f ca="1">ROUND(C29*F36,1)</f>
        <v>436</v>
      </c>
      <c r="D36" s="3098" t="s">
        <v>1447</v>
      </c>
      <c r="E36" s="308" t="s">
        <v>1387</v>
      </c>
      <c r="F36" s="334">
        <f ca="1">INDIRECT("'数据-取费表'!Ak"&amp;$G$1)</f>
        <v>0.01</v>
      </c>
      <c r="G36" s="1567"/>
      <c r="H36" s="2928"/>
      <c r="I36" s="1581"/>
      <c r="J36" s="1582"/>
      <c r="K36" s="2769"/>
      <c r="L36" s="2928"/>
      <c r="M36" s="2928"/>
    </row>
    <row r="37" spans="1:18" ht="18" customHeight="1">
      <c r="A37" s="1113" t="s">
        <v>1043</v>
      </c>
      <c r="B37" s="308" t="s">
        <v>1418</v>
      </c>
      <c r="C37" s="24">
        <f ca="1">ROUND(C13*F37,1)</f>
        <v>63.4</v>
      </c>
      <c r="D37" s="3098" t="s">
        <v>1419</v>
      </c>
      <c r="E37" s="308" t="s">
        <v>1387</v>
      </c>
      <c r="F37" s="336">
        <f ca="1">INDIRECT("'数据-取费表'!Al"&amp;$G$1)</f>
        <v>1.5E-3</v>
      </c>
      <c r="G37" s="1567"/>
      <c r="H37" s="2928"/>
      <c r="I37" s="1581"/>
      <c r="J37" s="1582"/>
      <c r="K37" s="2769"/>
      <c r="L37" s="2928"/>
      <c r="M37" s="2928"/>
    </row>
    <row r="38" spans="1:18" ht="18" customHeight="1" thickBot="1">
      <c r="A38" s="1249" t="s">
        <v>1357</v>
      </c>
      <c r="B38" s="1250" t="s">
        <v>1404</v>
      </c>
      <c r="C38" s="1251">
        <f ca="1">ROUND(C5*F38,1)</f>
        <v>10.9</v>
      </c>
      <c r="D38" s="1252" t="s">
        <v>1424</v>
      </c>
      <c r="E38" s="1250" t="s">
        <v>1387</v>
      </c>
      <c r="F38" s="1246">
        <f ca="1">INDIRECT("'数据-取费表'!Am"&amp;$G$1)</f>
        <v>0.01</v>
      </c>
      <c r="G38" s="1567"/>
      <c r="H38" s="2928"/>
      <c r="I38" s="1581"/>
      <c r="J38" s="1582"/>
      <c r="K38" s="2932"/>
      <c r="L38" s="2928"/>
      <c r="M38" s="2928"/>
    </row>
    <row r="39" spans="1:18" ht="24.6" customHeight="1" thickTop="1">
      <c r="A39" s="1239" t="s">
        <v>999</v>
      </c>
      <c r="B39" s="1254" t="s">
        <v>1428</v>
      </c>
      <c r="C39" s="316">
        <f ca="1">C5-C30</f>
        <v>343</v>
      </c>
      <c r="D39" s="1255" t="s">
        <v>1429</v>
      </c>
      <c r="E39" s="1256"/>
      <c r="F39" s="1257"/>
      <c r="G39" s="1567"/>
      <c r="H39" s="2928"/>
      <c r="I39" s="1581"/>
      <c r="J39" s="1582"/>
      <c r="K39" s="2932"/>
      <c r="L39" s="2928"/>
      <c r="M39" s="2928"/>
    </row>
    <row r="40" spans="1:18" ht="18" customHeight="1">
      <c r="A40" s="305" t="s">
        <v>1000</v>
      </c>
      <c r="B40" s="306" t="s">
        <v>1450</v>
      </c>
      <c r="C40" s="307">
        <f ca="1">ROUND(C39*(1-((1+F42)/(1+F40))^F41)/(F40-F42),0)</f>
        <v>6876</v>
      </c>
      <c r="D40" s="330" t="s">
        <v>1434</v>
      </c>
      <c r="E40" s="308" t="s">
        <v>1435</v>
      </c>
      <c r="F40" s="318">
        <f ca="1">INDIRECT("'数据-取费表'!I"&amp;$G$1)</f>
        <v>0.06</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42.08</v>
      </c>
      <c r="G41" s="1567"/>
      <c r="H41" s="1352"/>
      <c r="I41" s="1581"/>
      <c r="J41" s="1582"/>
      <c r="K41" s="2769"/>
      <c r="L41" s="1352"/>
      <c r="M41" s="1352"/>
    </row>
    <row r="42" spans="1:18" ht="18" customHeight="1">
      <c r="A42" s="314"/>
      <c r="B42" s="315"/>
      <c r="C42" s="316"/>
      <c r="D42" s="333"/>
      <c r="E42" s="308" t="s">
        <v>1442</v>
      </c>
      <c r="F42" s="318">
        <f ca="1">INDIRECT("'数据-取费表'!v"&amp;$G$1)</f>
        <v>0.02</v>
      </c>
      <c r="G42" s="1567"/>
      <c r="H42" s="1352"/>
      <c r="I42" s="1581"/>
      <c r="J42" s="1582"/>
      <c r="K42" s="2769"/>
      <c r="L42" s="1352"/>
      <c r="M42" s="1352"/>
    </row>
    <row r="43" spans="1:18" ht="18" customHeight="1" thickBot="1">
      <c r="A43" s="340" t="s">
        <v>1001</v>
      </c>
      <c r="B43" s="341" t="s">
        <v>1452</v>
      </c>
      <c r="C43" s="342">
        <f ca="1">ROUND(C40*10000/F43,0)</f>
        <v>3228</v>
      </c>
      <c r="D43" s="343" t="s">
        <v>1453</v>
      </c>
      <c r="E43" s="344" t="s">
        <v>1454</v>
      </c>
      <c r="F43" s="345">
        <f ca="1">INDIRECT("'数据-取费表'!k"&amp;$G$1)</f>
        <v>21299.25</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1484</v>
      </c>
      <c r="P45" s="1644"/>
      <c r="Q45" s="1644"/>
      <c r="R45" s="1644"/>
    </row>
    <row r="46" spans="1:18" s="1567" customFormat="1" ht="13.5" thickBot="1">
      <c r="A46" s="1587" t="s">
        <v>1485</v>
      </c>
      <c r="C46" s="1588">
        <f ca="1">C68-C40</f>
        <v>-71091</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3174</v>
      </c>
      <c r="K47" s="1599" t="s">
        <v>1492</v>
      </c>
      <c r="L47" s="1600">
        <f ca="1">INDIRECT("'数据-取费表'!d"&amp;$G$1)</f>
        <v>50</v>
      </c>
      <c r="M47" s="1563" t="str">
        <f>IF(ISNUMBER(FIND("住宅",C1)),"住宅","非住宅")</f>
        <v>非住宅</v>
      </c>
      <c r="O47" s="1601" t="s">
        <v>1008</v>
      </c>
      <c r="P47" s="1602" t="s">
        <v>1493</v>
      </c>
      <c r="Q47" s="1603">
        <f ca="1">C40+J29</f>
        <v>6876</v>
      </c>
      <c r="R47" s="1603" t="s">
        <v>1494</v>
      </c>
    </row>
    <row r="48" spans="1:18" s="1567" customFormat="1" ht="28.5" thickBot="1">
      <c r="A48" s="1270" t="s">
        <v>1103</v>
      </c>
      <c r="B48" s="306" t="s">
        <v>1366</v>
      </c>
      <c r="C48" s="3100">
        <f ca="1">C49+C53+C55</f>
        <v>0</v>
      </c>
      <c r="D48" s="1272"/>
      <c r="E48" s="1273"/>
      <c r="F48" s="1093"/>
      <c r="G48" s="731"/>
      <c r="H48" s="732"/>
      <c r="I48" s="1604" t="s">
        <v>1495</v>
      </c>
      <c r="J48" s="1605" t="s">
        <v>3173</v>
      </c>
      <c r="K48" s="1606" t="s">
        <v>1496</v>
      </c>
      <c r="L48" s="1607">
        <f ca="1">INDIRECT("'数据-取费表'!f"&amp;$G$1)</f>
        <v>42.08</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2849</v>
      </c>
      <c r="E49" s="1555" t="s">
        <v>1456</v>
      </c>
      <c r="F49" s="1191"/>
      <c r="G49" s="1608"/>
      <c r="H49" s="732"/>
      <c r="I49" s="1604" t="s">
        <v>1499</v>
      </c>
      <c r="J49" s="1609">
        <v>2019</v>
      </c>
      <c r="K49" s="1606" t="s">
        <v>1500</v>
      </c>
      <c r="L49" s="1610"/>
      <c r="O49" s="1611" t="s">
        <v>1010</v>
      </c>
      <c r="P49" s="1602" t="s">
        <v>1501</v>
      </c>
      <c r="Q49" s="1603">
        <f ca="1">C29</f>
        <v>43602</v>
      </c>
      <c r="R49" s="1603" t="s">
        <v>1494</v>
      </c>
    </row>
    <row r="50" spans="1:18" s="1567" customFormat="1" ht="13.5" thickBot="1">
      <c r="A50" s="1107"/>
      <c r="B50" s="1110"/>
      <c r="C50" s="1278"/>
      <c r="D50" s="1084"/>
      <c r="E50" s="1187" t="s">
        <v>1371</v>
      </c>
      <c r="F50" s="1188">
        <f ca="1">F7</f>
        <v>21299.25</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58</v>
      </c>
      <c r="K51" s="1617" t="s">
        <v>1506</v>
      </c>
      <c r="L51" s="1618">
        <f ca="1">ROUND(-PV(INDIRECT("'数据-取费表'!h"&amp;$G$1),J51,(C39-C13*C76),0),0)</f>
        <v>-49132</v>
      </c>
      <c r="M51" s="1619"/>
      <c r="O51" s="1611" t="s">
        <v>1012</v>
      </c>
      <c r="P51" s="1602" t="s">
        <v>1507</v>
      </c>
      <c r="Q51" s="1614">
        <f>J52</f>
        <v>0.08</v>
      </c>
      <c r="R51" s="1603"/>
    </row>
    <row r="52" spans="1:18" s="1567" customFormat="1" ht="13.5" thickBot="1">
      <c r="A52" s="1108"/>
      <c r="B52" s="1110"/>
      <c r="C52" s="1111"/>
      <c r="D52" s="1084"/>
      <c r="E52" s="1112" t="s">
        <v>1373</v>
      </c>
      <c r="F52" s="1185"/>
      <c r="I52" s="1620" t="s">
        <v>1508</v>
      </c>
      <c r="J52" s="1621">
        <v>0.08</v>
      </c>
      <c r="K52" s="1620" t="s">
        <v>1509</v>
      </c>
      <c r="L52" s="1621"/>
      <c r="O52" s="1611" t="s">
        <v>1013</v>
      </c>
      <c r="P52" s="1602" t="s">
        <v>1510</v>
      </c>
      <c r="Q52" s="1603">
        <f ca="1">J53</f>
        <v>42.08</v>
      </c>
      <c r="R52" s="1603" t="s">
        <v>1511</v>
      </c>
    </row>
    <row r="53" spans="1:18" s="1567" customFormat="1" ht="24.75" thickBot="1">
      <c r="A53" s="1313" t="s">
        <v>1105</v>
      </c>
      <c r="B53" s="1556" t="s">
        <v>1374</v>
      </c>
      <c r="C53" s="322">
        <f ca="1">ROUND(IF(F53="押一",C49/12*F11,IF(F53="押二",C49/12*2*F11,IF(F53="押三",C49/12*3*F11,C54*F11))),0)</f>
        <v>0</v>
      </c>
      <c r="D53" s="1549" t="s">
        <v>2857</v>
      </c>
      <c r="E53" s="319" t="s">
        <v>1375</v>
      </c>
      <c r="F53" s="1276"/>
      <c r="I53" s="1622" t="s">
        <v>1512</v>
      </c>
      <c r="J53" s="2385">
        <f ca="1">IF(M47="住宅",IF(D1="——",MAX(J51,L48),MAX(J51,L48-'数据-取费表'!B24)),IF(D1="——",MIN(J51,L48),MIN(J51,L48-'数据-取费表'!B24)))</f>
        <v>42.08</v>
      </c>
      <c r="K53" s="3342" t="s">
        <v>1513</v>
      </c>
      <c r="L53" s="3343"/>
      <c r="O53" s="1601" t="s">
        <v>1014</v>
      </c>
      <c r="P53" s="1602" t="s">
        <v>1514</v>
      </c>
      <c r="Q53" s="1603">
        <f ca="1">Q47+Q48</f>
        <v>6876</v>
      </c>
      <c r="R53" s="1603" t="s">
        <v>1015</v>
      </c>
    </row>
    <row r="54" spans="1:18" s="1567" customFormat="1" ht="13.5" thickBot="1">
      <c r="A54" s="1314"/>
      <c r="B54" s="1550" t="s">
        <v>1353</v>
      </c>
      <c r="C54" s="1090"/>
      <c r="D54" s="1549"/>
      <c r="E54" s="3095"/>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3095"/>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42294</v>
      </c>
      <c r="D56" s="1630"/>
      <c r="E56" s="1631"/>
      <c r="F56" s="1623"/>
      <c r="I56" s="1632" t="s">
        <v>1519</v>
      </c>
      <c r="J56" s="3448" t="s">
        <v>3160</v>
      </c>
      <c r="K56" s="1604" t="s">
        <v>1520</v>
      </c>
      <c r="L56" s="1607" t="str">
        <f ca="1">IF(L48&lt;J51,"——",L48-J53)</f>
        <v>——</v>
      </c>
      <c r="O56" s="1601" t="s">
        <v>1008</v>
      </c>
      <c r="P56" s="1602" t="s">
        <v>1493</v>
      </c>
      <c r="Q56" s="1603">
        <f ca="1">C40+J29</f>
        <v>6876</v>
      </c>
      <c r="R56" s="1603" t="s">
        <v>1494</v>
      </c>
    </row>
    <row r="57" spans="1:18" s="1567" customFormat="1" ht="24.75" thickBot="1">
      <c r="A57" s="1634"/>
      <c r="B57" s="1081" t="s">
        <v>1443</v>
      </c>
      <c r="C57" s="244">
        <f ca="1">C29</f>
        <v>43602</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4216</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3717</v>
      </c>
      <c r="D59" s="1094" t="s">
        <v>1395</v>
      </c>
      <c r="E59" s="1095"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1402</v>
      </c>
      <c r="C61" s="24">
        <f ca="1">IF(项目基本情况!B11="自然人","——",IF(D61="按租金收入计税",ROUND(C49*F61/(1+'数据-取费表'!C42),2),IF(D61="按房产原值计税",ROUND(C57*F61*0.7,2),INDIRECT("'数据-取费表'!Aj"&amp;$G$1))))</f>
        <v>3662.57</v>
      </c>
      <c r="D61" s="1553" t="s">
        <v>1403</v>
      </c>
      <c r="E61" s="1081" t="s">
        <v>1387</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3" t="s">
        <v>1460</v>
      </c>
      <c r="B62" s="1080" t="s">
        <v>1406</v>
      </c>
      <c r="C62" s="25">
        <f ca="1">IF(项目基本情况!B11="自然人","——",ROUND(F62*F63/10000,2))</f>
        <v>54</v>
      </c>
      <c r="D62" s="1096" t="s">
        <v>1407</v>
      </c>
      <c r="E62" s="1081" t="s">
        <v>1408</v>
      </c>
      <c r="F62" s="331">
        <f t="shared" si="0"/>
        <v>11.2</v>
      </c>
      <c r="I62" s="1645" t="s">
        <v>1535</v>
      </c>
      <c r="J62" s="1646" t="s">
        <v>1536</v>
      </c>
      <c r="K62" s="1646" t="s">
        <v>1537</v>
      </c>
      <c r="L62" s="1646" t="s">
        <v>1538</v>
      </c>
      <c r="M62" s="1647" t="s">
        <v>1539</v>
      </c>
      <c r="O62" s="1601" t="s">
        <v>1014</v>
      </c>
      <c r="P62" s="1602" t="s">
        <v>1514</v>
      </c>
      <c r="Q62" s="1603">
        <f ca="1">Q56+Q57</f>
        <v>6876</v>
      </c>
      <c r="R62" s="1603" t="s">
        <v>1015</v>
      </c>
    </row>
    <row r="63" spans="1:18" s="1567" customFormat="1" ht="13.5" thickBot="1">
      <c r="A63" s="332"/>
      <c r="B63" s="1087"/>
      <c r="C63" s="29"/>
      <c r="D63" s="1097"/>
      <c r="E63" s="1081" t="s">
        <v>1412</v>
      </c>
      <c r="F63" s="309">
        <f t="shared" ca="1" si="0"/>
        <v>48213.71</v>
      </c>
      <c r="I63" s="1645" t="s">
        <v>1541</v>
      </c>
      <c r="J63" s="1646">
        <v>70</v>
      </c>
      <c r="K63" s="1646">
        <v>50</v>
      </c>
      <c r="L63" s="1646">
        <v>80</v>
      </c>
      <c r="M63" s="1648">
        <v>0.02</v>
      </c>
      <c r="O63" s="1586" t="s">
        <v>1542</v>
      </c>
      <c r="P63" s="1564"/>
      <c r="Q63" s="1564"/>
      <c r="R63" s="1564"/>
    </row>
    <row r="64" spans="1:18" s="1567" customFormat="1" ht="13.5" thickBot="1">
      <c r="A64" s="1113" t="s">
        <v>1465</v>
      </c>
      <c r="B64" s="1081" t="s">
        <v>1414</v>
      </c>
      <c r="C64" s="24">
        <f ca="1">ROUND(C57*F64,1)</f>
        <v>436</v>
      </c>
      <c r="D64" s="1095" t="s">
        <v>1447</v>
      </c>
      <c r="E64" s="1081" t="s">
        <v>1387</v>
      </c>
      <c r="F64" s="334">
        <f t="shared" ca="1" si="0"/>
        <v>0.01</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63.4</v>
      </c>
      <c r="D65" s="1095" t="s">
        <v>1419</v>
      </c>
      <c r="E65" s="1081" t="s">
        <v>1387</v>
      </c>
      <c r="F65" s="336">
        <f t="shared" ca="1" si="0"/>
        <v>1.5E-3</v>
      </c>
      <c r="I65" s="1645" t="s">
        <v>1544</v>
      </c>
      <c r="J65" s="1646">
        <v>40</v>
      </c>
      <c r="K65" s="1646">
        <v>30</v>
      </c>
      <c r="L65" s="1646">
        <v>50</v>
      </c>
      <c r="M65" s="1648">
        <v>0.02</v>
      </c>
      <c r="O65" s="1601" t="s">
        <v>1008</v>
      </c>
      <c r="P65" s="1602" t="s">
        <v>1493</v>
      </c>
      <c r="Q65" s="1603">
        <f ca="1">C40+J29</f>
        <v>6876</v>
      </c>
      <c r="R65" s="1603" t="s">
        <v>1494</v>
      </c>
    </row>
    <row r="66" spans="1:18" s="1567" customFormat="1" ht="16.5" thickBot="1">
      <c r="A66" s="1113" t="s">
        <v>1469</v>
      </c>
      <c r="B66" s="1081" t="s">
        <v>1404</v>
      </c>
      <c r="C66" s="24">
        <f ca="1">ROUND(C48*F66,1)</f>
        <v>0</v>
      </c>
      <c r="D66" s="1095" t="s">
        <v>1424</v>
      </c>
      <c r="E66" s="1081" t="s">
        <v>1387</v>
      </c>
      <c r="F66" s="318">
        <f t="shared" ca="1" si="0"/>
        <v>0.01</v>
      </c>
      <c r="O66" s="1601" t="s">
        <v>1009</v>
      </c>
      <c r="P66" s="1602" t="s">
        <v>1523</v>
      </c>
      <c r="Q66" s="1603">
        <f ca="1">L60</f>
        <v>0</v>
      </c>
      <c r="R66" s="1603" t="s">
        <v>1546</v>
      </c>
    </row>
    <row r="67" spans="1:18" s="1567" customFormat="1" ht="16.5" thickBot="1">
      <c r="A67" s="1088" t="s">
        <v>999</v>
      </c>
      <c r="B67" s="1098" t="s">
        <v>1428</v>
      </c>
      <c r="C67" s="322">
        <f ca="1">C48-C58</f>
        <v>-4216</v>
      </c>
      <c r="D67" s="1094" t="s">
        <v>1429</v>
      </c>
      <c r="E67" s="1099"/>
      <c r="F67" s="1100"/>
      <c r="O67" s="1611" t="s">
        <v>1010</v>
      </c>
      <c r="P67" s="1602" t="s">
        <v>1527</v>
      </c>
      <c r="Q67" s="1649">
        <f ca="1">L51</f>
        <v>-49132</v>
      </c>
      <c r="R67" s="1603" t="s">
        <v>1547</v>
      </c>
    </row>
    <row r="68" spans="1:18" s="1567" customFormat="1" ht="16.5" thickBot="1">
      <c r="A68" s="1078" t="s">
        <v>1000</v>
      </c>
      <c r="B68" s="1079" t="s">
        <v>1450</v>
      </c>
      <c r="C68" s="307">
        <f ca="1">ROUND(C67*(1-((1+F70)/(1+F68))^F69)/(F68-F70),0)</f>
        <v>-64215</v>
      </c>
      <c r="D68" s="1096" t="s">
        <v>1434</v>
      </c>
      <c r="E68" s="1081" t="s">
        <v>1435</v>
      </c>
      <c r="F68" s="318">
        <f ca="1">F40</f>
        <v>0.06</v>
      </c>
      <c r="O68" s="1611" t="s">
        <v>1011</v>
      </c>
      <c r="P68" s="1650" t="s">
        <v>1548</v>
      </c>
      <c r="Q68" s="1603">
        <f ca="1">ROUND(Q69-Q70*Q71,0)</f>
        <v>-2829</v>
      </c>
      <c r="R68" s="1603" t="s">
        <v>1019</v>
      </c>
    </row>
    <row r="69" spans="1:18" s="1567" customFormat="1" ht="13.5" thickBot="1">
      <c r="A69" s="1082"/>
      <c r="B69" s="1083"/>
      <c r="C69" s="312"/>
      <c r="D69" s="1101" t="s">
        <v>1438</v>
      </c>
      <c r="E69" s="1081" t="s">
        <v>1439</v>
      </c>
      <c r="F69" s="339">
        <f ca="1">F41</f>
        <v>42.08</v>
      </c>
      <c r="O69" s="1611" t="s">
        <v>1016</v>
      </c>
      <c r="P69" s="1650" t="s">
        <v>1549</v>
      </c>
      <c r="Q69" s="1603">
        <f ca="1">C39</f>
        <v>343</v>
      </c>
      <c r="R69" s="1603" t="s">
        <v>1494</v>
      </c>
    </row>
    <row r="70" spans="1:18" s="1567" customFormat="1" ht="13.5" thickBot="1">
      <c r="A70" s="1085"/>
      <c r="B70" s="1086"/>
      <c r="C70" s="316"/>
      <c r="D70" s="1097"/>
      <c r="E70" s="1081" t="s">
        <v>1442</v>
      </c>
      <c r="F70" s="1185"/>
      <c r="O70" s="1611" t="s">
        <v>1017</v>
      </c>
      <c r="P70" s="1650" t="s">
        <v>1550</v>
      </c>
      <c r="Q70" s="1603">
        <f ca="1">C13</f>
        <v>42294</v>
      </c>
      <c r="R70" s="1603" t="s">
        <v>1494</v>
      </c>
    </row>
    <row r="71" spans="1:18" s="1567" customFormat="1" ht="13.5" thickBot="1">
      <c r="A71" s="1102" t="s">
        <v>1001</v>
      </c>
      <c r="B71" s="1103" t="s">
        <v>1452</v>
      </c>
      <c r="C71" s="342">
        <f ca="1">ROUND(C68*10000/F71,0)</f>
        <v>-30149</v>
      </c>
      <c r="D71" s="1104" t="s">
        <v>1453</v>
      </c>
      <c r="E71" s="1105" t="s">
        <v>1454</v>
      </c>
      <c r="F71" s="345">
        <f ca="1">F43</f>
        <v>21299.25</v>
      </c>
      <c r="O71" s="1611" t="s">
        <v>1018</v>
      </c>
      <c r="P71" s="1650" t="s">
        <v>1551</v>
      </c>
      <c r="Q71" s="1614">
        <f ca="1">C76</f>
        <v>7.4999999999999997E-2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3172</v>
      </c>
      <c r="D75" s="1567"/>
      <c r="E75" s="1567"/>
      <c r="F75" s="1567"/>
      <c r="K75" s="1585"/>
      <c r="L75" s="1567"/>
      <c r="O75" s="1601" t="s">
        <v>1014</v>
      </c>
      <c r="P75" s="1602" t="s">
        <v>1514</v>
      </c>
      <c r="Q75" s="1603">
        <f ca="1">Q65+Q66</f>
        <v>6876</v>
      </c>
      <c r="R75" s="1603" t="s">
        <v>1015</v>
      </c>
    </row>
    <row r="76" spans="1:18">
      <c r="B76" s="348" t="s">
        <v>1472</v>
      </c>
      <c r="C76" s="349">
        <f ca="1">INDIRECT("'数据-取费表'!j"&amp;$G$1)</f>
        <v>7.4999999999999997E-2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-8.2479999999999993</v>
      </c>
    </row>
    <row r="80" spans="1:18">
      <c r="B80" s="346" t="s">
        <v>1476</v>
      </c>
      <c r="C80" s="280">
        <f ca="1">ROUND(C75/C39,3)</f>
        <v>9.2479999999999993</v>
      </c>
    </row>
    <row r="81" spans="2:3">
      <c r="B81" s="276" t="s">
        <v>1477</v>
      </c>
      <c r="C81" s="244"/>
    </row>
    <row r="82" spans="2:3">
      <c r="B82" s="279" t="s">
        <v>1478</v>
      </c>
      <c r="C82" s="281">
        <f ca="1">1-C83</f>
        <v>-5.1509999999999998</v>
      </c>
    </row>
    <row r="83" spans="2:3">
      <c r="B83" s="279" t="s">
        <v>1479</v>
      </c>
      <c r="C83" s="280">
        <f ca="1">ROUND(C13/C40,3)</f>
        <v>6.1509999999999998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xr:uid="{00000000-0002-0000-2F00-000000000000}">
      <formula1>"在建（套用方法）,土地（套用方法）,——"</formula1>
    </dataValidation>
    <dataValidation type="list" allowBlank="1" showInputMessage="1" showErrorMessage="1" sqref="M10 F10 F53" xr:uid="{00000000-0002-0000-2F00-000001000000}">
      <formula1>"押一,押二,押三,自定义"</formula1>
    </dataValidation>
    <dataValidation type="list" allowBlank="1" showInputMessage="1" showErrorMessage="1" sqref="L55" xr:uid="{00000000-0002-0000-2F00-000002000000}">
      <formula1>"比较法,基准地价,收益还原"</formula1>
    </dataValidation>
    <dataValidation type="list" allowBlank="1" showInputMessage="1" showErrorMessage="1" sqref="J56" xr:uid="{00000000-0002-0000-2F00-000003000000}">
      <formula1>判定</formula1>
    </dataValidation>
    <dataValidation type="list" allowBlank="1" showInputMessage="1" showErrorMessage="1" sqref="J48" xr:uid="{00000000-0002-0000-2F00-000004000000}">
      <formula1>"非生产用房,生产用房,受腐蚀的生产用房"</formula1>
    </dataValidation>
    <dataValidation type="list" allowBlank="1" showInputMessage="1" showErrorMessage="1" sqref="J47" xr:uid="{00000000-0002-0000-2F00-000005000000}">
      <formula1>"钢,钢混,砖混"</formula1>
    </dataValidation>
    <dataValidation type="list" allowBlank="1" showInputMessage="1" showErrorMessage="1" sqref="C1" xr:uid="{00000000-0002-0000-2F00-000006000000}">
      <formula1>项目类型</formula1>
    </dataValidation>
    <dataValidation type="list" allowBlank="1" showInputMessage="1" showErrorMessage="1" sqref="D33 D61" xr:uid="{00000000-0002-0000-2F00-000007000000}">
      <formula1>"按租金收入计税,按房产原值计税,按票据"</formula1>
    </dataValidation>
    <dataValidation type="list" allowBlank="1" showInputMessage="1" showErrorMessage="1" sqref="K19" xr:uid="{00000000-0002-0000-2F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Q20"/>
  <sheetViews>
    <sheetView topLeftCell="F1" workbookViewId="0">
      <selection activeCell="O26" sqref="O26"/>
    </sheetView>
  </sheetViews>
  <sheetFormatPr defaultRowHeight="13.5"/>
  <cols>
    <col min="1" max="1" width="12.375" customWidth="1"/>
    <col min="2" max="2" width="0" hidden="1" customWidth="1"/>
    <col min="6" max="6" width="26.75" customWidth="1"/>
    <col min="7" max="7" width="0" hidden="1" customWidth="1"/>
    <col min="9" max="9" width="0" hidden="1" customWidth="1"/>
    <col min="11" max="11" width="43.5" customWidth="1"/>
  </cols>
  <sheetData>
    <row r="1" spans="1:17">
      <c r="A1" s="3078" t="s">
        <v>3074</v>
      </c>
      <c r="B1" s="3078" t="s">
        <v>3075</v>
      </c>
      <c r="C1" s="3078" t="s">
        <v>3076</v>
      </c>
      <c r="D1" s="3078" t="s">
        <v>3077</v>
      </c>
      <c r="E1" s="3078" t="s">
        <v>3078</v>
      </c>
      <c r="F1" s="3078" t="s">
        <v>3079</v>
      </c>
      <c r="G1" s="3078" t="s">
        <v>3080</v>
      </c>
      <c r="H1" s="3078" t="s">
        <v>3081</v>
      </c>
      <c r="I1" s="3078" t="s">
        <v>3082</v>
      </c>
      <c r="J1" s="3078" t="s">
        <v>3083</v>
      </c>
      <c r="K1" s="3078" t="s">
        <v>3084</v>
      </c>
      <c r="L1" s="3078" t="s">
        <v>3085</v>
      </c>
      <c r="M1" s="3078" t="s">
        <v>3086</v>
      </c>
      <c r="N1" s="3078" t="s">
        <v>3087</v>
      </c>
      <c r="O1" s="3081" t="s">
        <v>3157</v>
      </c>
      <c r="P1" s="3078" t="s">
        <v>3088</v>
      </c>
      <c r="Q1" s="3078" t="s">
        <v>3089</v>
      </c>
    </row>
    <row r="2" spans="1:17">
      <c r="A2" s="3078" t="s">
        <v>3090</v>
      </c>
      <c r="B2" s="3078" t="s">
        <v>3091</v>
      </c>
      <c r="C2" s="3078" t="s">
        <v>3092</v>
      </c>
      <c r="D2" s="3078">
        <v>10176</v>
      </c>
      <c r="E2" s="3078">
        <v>35616</v>
      </c>
      <c r="F2" s="3078" t="s">
        <v>3093</v>
      </c>
      <c r="G2" s="3078" t="s">
        <v>3094</v>
      </c>
      <c r="H2" s="3078" t="s">
        <v>3095</v>
      </c>
      <c r="I2" s="3078">
        <v>0</v>
      </c>
      <c r="J2" s="3078" t="s">
        <v>3096</v>
      </c>
      <c r="K2" s="3078" t="s">
        <v>3097</v>
      </c>
      <c r="L2" s="3078">
        <v>6128</v>
      </c>
      <c r="M2" s="3078">
        <v>6128</v>
      </c>
      <c r="N2" s="3078">
        <v>1720.57</v>
      </c>
      <c r="O2" s="3078">
        <f>ROUND(M2/D2*10000,0)</f>
        <v>6022</v>
      </c>
      <c r="P2" s="3078">
        <v>0</v>
      </c>
      <c r="Q2" s="3078" t="s">
        <v>3098</v>
      </c>
    </row>
    <row r="3" spans="1:17" s="3080" customFormat="1">
      <c r="A3" s="3079" t="s">
        <v>3099</v>
      </c>
      <c r="B3" s="3079" t="s">
        <v>3091</v>
      </c>
      <c r="C3" s="3079" t="s">
        <v>3092</v>
      </c>
      <c r="D3" s="3079">
        <v>6327</v>
      </c>
      <c r="E3" s="3079">
        <v>18981</v>
      </c>
      <c r="F3" s="3079" t="s">
        <v>3100</v>
      </c>
      <c r="G3" s="3079" t="s">
        <v>3094</v>
      </c>
      <c r="H3" s="3079" t="s">
        <v>3101</v>
      </c>
      <c r="I3" s="3079">
        <v>0</v>
      </c>
      <c r="J3" s="3079" t="s">
        <v>3102</v>
      </c>
      <c r="K3" s="3079" t="s">
        <v>3103</v>
      </c>
      <c r="L3" s="3079">
        <v>6043</v>
      </c>
      <c r="M3" s="3079">
        <v>6043</v>
      </c>
      <c r="N3" s="3079">
        <v>3183.71</v>
      </c>
      <c r="O3" s="3079">
        <f t="shared" ref="O3:O20" si="0">ROUND(M3/D3*10000,0)</f>
        <v>9551</v>
      </c>
      <c r="P3" s="3079">
        <v>0</v>
      </c>
      <c r="Q3" s="3079" t="s">
        <v>3104</v>
      </c>
    </row>
    <row r="4" spans="1:17" s="3080" customFormat="1">
      <c r="A4" s="3079" t="s">
        <v>3105</v>
      </c>
      <c r="B4" s="3079" t="s">
        <v>3091</v>
      </c>
      <c r="C4" s="3079" t="s">
        <v>3092</v>
      </c>
      <c r="D4" s="3079">
        <v>63477</v>
      </c>
      <c r="E4" s="3079">
        <v>222169.5</v>
      </c>
      <c r="F4" s="3079" t="s">
        <v>3093</v>
      </c>
      <c r="G4" s="3079" t="s">
        <v>3094</v>
      </c>
      <c r="H4" s="3079" t="s">
        <v>3095</v>
      </c>
      <c r="I4" s="3079">
        <v>0</v>
      </c>
      <c r="J4" s="3079" t="s">
        <v>3102</v>
      </c>
      <c r="K4" s="3079" t="s">
        <v>3103</v>
      </c>
      <c r="L4" s="3079">
        <v>54348</v>
      </c>
      <c r="M4" s="3079">
        <v>54348</v>
      </c>
      <c r="N4" s="3079">
        <v>2446.23</v>
      </c>
      <c r="O4" s="3079">
        <f t="shared" si="0"/>
        <v>8562</v>
      </c>
      <c r="P4" s="3079">
        <v>0</v>
      </c>
      <c r="Q4" s="3079" t="s">
        <v>3104</v>
      </c>
    </row>
    <row r="5" spans="1:17">
      <c r="A5" s="3078" t="s">
        <v>3106</v>
      </c>
      <c r="B5" s="3078" t="s">
        <v>3091</v>
      </c>
      <c r="C5" s="3078" t="s">
        <v>3092</v>
      </c>
      <c r="D5" s="3078">
        <v>18965</v>
      </c>
      <c r="E5" s="3078">
        <v>66377.5</v>
      </c>
      <c r="F5" s="3078" t="s">
        <v>3093</v>
      </c>
      <c r="G5" s="3078" t="s">
        <v>3094</v>
      </c>
      <c r="H5" s="3078" t="s">
        <v>3095</v>
      </c>
      <c r="I5" s="3078">
        <v>0</v>
      </c>
      <c r="J5" s="3078" t="s">
        <v>3107</v>
      </c>
      <c r="K5" s="3078" t="s">
        <v>3108</v>
      </c>
      <c r="L5" s="3078">
        <v>7397</v>
      </c>
      <c r="M5" s="3078">
        <v>7397</v>
      </c>
      <c r="N5" s="3078">
        <v>1114.3800000000001</v>
      </c>
      <c r="O5" s="3078">
        <f t="shared" si="0"/>
        <v>3900</v>
      </c>
      <c r="P5" s="3078">
        <v>0</v>
      </c>
      <c r="Q5" s="3078" t="s">
        <v>3098</v>
      </c>
    </row>
    <row r="6" spans="1:17" s="3083" customFormat="1">
      <c r="A6" s="3082" t="s">
        <v>3109</v>
      </c>
      <c r="B6" s="3082" t="s">
        <v>3091</v>
      </c>
      <c r="C6" s="3082" t="s">
        <v>3092</v>
      </c>
      <c r="D6" s="3082">
        <v>10059</v>
      </c>
      <c r="E6" s="3082">
        <v>25147.5</v>
      </c>
      <c r="F6" s="3082" t="s">
        <v>3110</v>
      </c>
      <c r="G6" s="3082" t="s">
        <v>3094</v>
      </c>
      <c r="H6" s="3082" t="s">
        <v>3095</v>
      </c>
      <c r="I6" s="3082">
        <v>0</v>
      </c>
      <c r="J6" s="3082" t="s">
        <v>3111</v>
      </c>
      <c r="K6" s="3082" t="s">
        <v>3112</v>
      </c>
      <c r="L6" s="3082">
        <v>3923</v>
      </c>
      <c r="M6" s="3082">
        <v>3923</v>
      </c>
      <c r="N6" s="3082">
        <v>1560</v>
      </c>
      <c r="O6" s="3082">
        <f t="shared" si="0"/>
        <v>3900</v>
      </c>
      <c r="P6" s="3082">
        <v>0</v>
      </c>
      <c r="Q6" s="3082" t="s">
        <v>3098</v>
      </c>
    </row>
    <row r="7" spans="1:17" s="3080" customFormat="1">
      <c r="A7" s="3079" t="s">
        <v>3113</v>
      </c>
      <c r="B7" s="3079" t="s">
        <v>3091</v>
      </c>
      <c r="C7" s="3079" t="s">
        <v>3092</v>
      </c>
      <c r="D7" s="3079">
        <v>52581</v>
      </c>
      <c r="E7" s="3079">
        <v>131452.5</v>
      </c>
      <c r="F7" s="3079" t="s">
        <v>3110</v>
      </c>
      <c r="G7" s="3079" t="s">
        <v>3094</v>
      </c>
      <c r="H7" s="3079" t="s">
        <v>3114</v>
      </c>
      <c r="I7" s="3079">
        <v>0</v>
      </c>
      <c r="J7" s="3079" t="s">
        <v>3111</v>
      </c>
      <c r="K7" s="3079" t="s">
        <v>3115</v>
      </c>
      <c r="L7" s="3079">
        <v>31833</v>
      </c>
      <c r="M7" s="3079">
        <v>31833</v>
      </c>
      <c r="N7" s="3079">
        <v>2421.63</v>
      </c>
      <c r="O7" s="3079">
        <f t="shared" si="0"/>
        <v>6054</v>
      </c>
      <c r="P7" s="3079">
        <v>0</v>
      </c>
      <c r="Q7" s="3079" t="s">
        <v>3098</v>
      </c>
    </row>
    <row r="8" spans="1:17" s="3080" customFormat="1">
      <c r="A8" s="3079" t="s">
        <v>3116</v>
      </c>
      <c r="B8" s="3079" t="s">
        <v>3091</v>
      </c>
      <c r="C8" s="3079" t="s">
        <v>3092</v>
      </c>
      <c r="D8" s="3079">
        <v>220228</v>
      </c>
      <c r="E8" s="3079">
        <v>528547.19999999995</v>
      </c>
      <c r="F8" s="3079" t="s">
        <v>3117</v>
      </c>
      <c r="G8" s="3079" t="s">
        <v>3094</v>
      </c>
      <c r="H8" s="3079" t="s">
        <v>3114</v>
      </c>
      <c r="I8" s="3079">
        <v>0</v>
      </c>
      <c r="J8" s="3079" t="s">
        <v>3118</v>
      </c>
      <c r="K8" s="3079" t="s">
        <v>3103</v>
      </c>
      <c r="L8" s="3079">
        <v>156109</v>
      </c>
      <c r="M8" s="3079">
        <v>156109</v>
      </c>
      <c r="N8" s="3079">
        <v>2953.55</v>
      </c>
      <c r="O8" s="3079">
        <f t="shared" si="0"/>
        <v>7089</v>
      </c>
      <c r="P8" s="3079">
        <v>0</v>
      </c>
      <c r="Q8" s="3079" t="s">
        <v>3104</v>
      </c>
    </row>
    <row r="9" spans="1:17">
      <c r="A9" s="3078" t="s">
        <v>3119</v>
      </c>
      <c r="B9" s="3078" t="s">
        <v>3091</v>
      </c>
      <c r="C9" s="3078" t="s">
        <v>3092</v>
      </c>
      <c r="D9" s="3078">
        <v>3486.78</v>
      </c>
      <c r="E9" s="3078">
        <v>8281.1</v>
      </c>
      <c r="F9" s="3078" t="s">
        <v>3120</v>
      </c>
      <c r="G9" s="3078" t="s">
        <v>3094</v>
      </c>
      <c r="H9" s="3078" t="s">
        <v>3121</v>
      </c>
      <c r="I9" s="3078">
        <v>0</v>
      </c>
      <c r="J9" s="3078" t="s">
        <v>3122</v>
      </c>
      <c r="K9" s="3078" t="s">
        <v>3123</v>
      </c>
      <c r="L9" s="3078">
        <v>1203</v>
      </c>
      <c r="M9" s="3078">
        <v>1203</v>
      </c>
      <c r="N9" s="3078">
        <v>1452.71</v>
      </c>
      <c r="O9" s="3078">
        <f t="shared" si="0"/>
        <v>3450</v>
      </c>
      <c r="P9" s="3078">
        <v>0</v>
      </c>
      <c r="Q9" s="3078" t="s">
        <v>3098</v>
      </c>
    </row>
    <row r="10" spans="1:17" s="3083" customFormat="1">
      <c r="A10" s="3082" t="s">
        <v>3119</v>
      </c>
      <c r="B10" s="3082" t="s">
        <v>3091</v>
      </c>
      <c r="C10" s="3082" t="s">
        <v>3092</v>
      </c>
      <c r="D10" s="3082">
        <v>13191.24</v>
      </c>
      <c r="E10" s="3082">
        <v>22108.52</v>
      </c>
      <c r="F10" s="3082" t="s">
        <v>3124</v>
      </c>
      <c r="G10" s="3082" t="s">
        <v>3094</v>
      </c>
      <c r="H10" s="3082" t="s">
        <v>3121</v>
      </c>
      <c r="I10" s="3082">
        <v>0</v>
      </c>
      <c r="J10" s="3082" t="s">
        <v>3122</v>
      </c>
      <c r="K10" s="3082" t="s">
        <v>3123</v>
      </c>
      <c r="L10" s="3082">
        <v>4552</v>
      </c>
      <c r="M10" s="3082">
        <v>4552</v>
      </c>
      <c r="N10" s="3082">
        <v>2058.92</v>
      </c>
      <c r="O10" s="3082">
        <f t="shared" si="0"/>
        <v>3451</v>
      </c>
      <c r="P10" s="3082">
        <v>0</v>
      </c>
      <c r="Q10" s="3082" t="s">
        <v>3098</v>
      </c>
    </row>
    <row r="11" spans="1:17">
      <c r="A11" s="3078" t="s">
        <v>3125</v>
      </c>
      <c r="B11" s="3078" t="s">
        <v>3091</v>
      </c>
      <c r="C11" s="3078" t="s">
        <v>3092</v>
      </c>
      <c r="D11" s="3078">
        <v>9483</v>
      </c>
      <c r="E11" s="3078">
        <v>12327.9</v>
      </c>
      <c r="F11" s="3078" t="s">
        <v>3126</v>
      </c>
      <c r="G11" s="3078" t="s">
        <v>3094</v>
      </c>
      <c r="H11" s="3078" t="s">
        <v>3127</v>
      </c>
      <c r="I11" s="3078">
        <v>0</v>
      </c>
      <c r="J11" s="3078" t="s">
        <v>3128</v>
      </c>
      <c r="K11" s="3078" t="s">
        <v>3129</v>
      </c>
      <c r="L11" s="3078">
        <v>1987</v>
      </c>
      <c r="M11" s="3078">
        <v>1987</v>
      </c>
      <c r="N11" s="3078">
        <v>1611.78</v>
      </c>
      <c r="O11" s="3078">
        <f t="shared" si="0"/>
        <v>2095</v>
      </c>
      <c r="P11" s="3078">
        <v>0</v>
      </c>
      <c r="Q11" s="3078" t="s">
        <v>3104</v>
      </c>
    </row>
    <row r="12" spans="1:17" s="3080" customFormat="1">
      <c r="A12" s="3079" t="s">
        <v>3130</v>
      </c>
      <c r="B12" s="3079" t="s">
        <v>3091</v>
      </c>
      <c r="C12" s="3079" t="s">
        <v>3092</v>
      </c>
      <c r="D12" s="3079">
        <v>20899</v>
      </c>
      <c r="E12" s="3079">
        <v>65413.87</v>
      </c>
      <c r="F12" s="3079" t="s">
        <v>3131</v>
      </c>
      <c r="G12" s="3079" t="s">
        <v>3094</v>
      </c>
      <c r="H12" s="3079" t="s">
        <v>3114</v>
      </c>
      <c r="I12" s="3079">
        <v>0</v>
      </c>
      <c r="J12" s="3079" t="s">
        <v>3132</v>
      </c>
      <c r="K12" s="3079" t="s">
        <v>3133</v>
      </c>
      <c r="L12" s="3079">
        <v>5848</v>
      </c>
      <c r="M12" s="3079">
        <v>5848</v>
      </c>
      <c r="N12" s="3079">
        <v>894</v>
      </c>
      <c r="O12" s="3079">
        <f t="shared" si="0"/>
        <v>2798</v>
      </c>
      <c r="P12" s="3079">
        <v>0</v>
      </c>
      <c r="Q12" s="3079" t="s">
        <v>3134</v>
      </c>
    </row>
    <row r="13" spans="1:17" s="3080" customFormat="1">
      <c r="A13" s="3079" t="s">
        <v>3135</v>
      </c>
      <c r="B13" s="3079" t="s">
        <v>3091</v>
      </c>
      <c r="C13" s="3079" t="s">
        <v>3092</v>
      </c>
      <c r="D13" s="3079">
        <v>62415</v>
      </c>
      <c r="E13" s="3079">
        <v>232183.8</v>
      </c>
      <c r="F13" s="3079" t="s">
        <v>3136</v>
      </c>
      <c r="G13" s="3079" t="s">
        <v>3094</v>
      </c>
      <c r="H13" s="3079" t="s">
        <v>3114</v>
      </c>
      <c r="I13" s="3079">
        <v>0</v>
      </c>
      <c r="J13" s="3079" t="s">
        <v>3132</v>
      </c>
      <c r="K13" s="3079" t="s">
        <v>3133</v>
      </c>
      <c r="L13" s="3079">
        <v>17464</v>
      </c>
      <c r="M13" s="3079">
        <v>17464</v>
      </c>
      <c r="N13" s="3079">
        <v>752.15</v>
      </c>
      <c r="O13" s="3079">
        <f t="shared" si="0"/>
        <v>2798</v>
      </c>
      <c r="P13" s="3079">
        <v>0</v>
      </c>
      <c r="Q13" s="3079" t="s">
        <v>3134</v>
      </c>
    </row>
    <row r="14" spans="1:17" s="3083" customFormat="1">
      <c r="A14" s="3082" t="s">
        <v>3137</v>
      </c>
      <c r="B14" s="3082" t="s">
        <v>3091</v>
      </c>
      <c r="C14" s="3082" t="s">
        <v>3092</v>
      </c>
      <c r="D14" s="3082">
        <v>139020</v>
      </c>
      <c r="E14" s="3082">
        <v>208530</v>
      </c>
      <c r="F14" s="3082" t="s">
        <v>3138</v>
      </c>
      <c r="G14" s="3082" t="s">
        <v>3094</v>
      </c>
      <c r="H14" s="3082" t="s">
        <v>3095</v>
      </c>
      <c r="I14" s="3082">
        <v>0</v>
      </c>
      <c r="J14" s="3082" t="s">
        <v>3139</v>
      </c>
      <c r="K14" s="3082" t="s">
        <v>3140</v>
      </c>
      <c r="L14" s="3082">
        <v>38898</v>
      </c>
      <c r="M14" s="3082">
        <v>38898</v>
      </c>
      <c r="N14" s="3082">
        <v>1865.33</v>
      </c>
      <c r="O14" s="3082">
        <f t="shared" si="0"/>
        <v>2798</v>
      </c>
      <c r="P14" s="3082">
        <v>0</v>
      </c>
      <c r="Q14" s="3082" t="s">
        <v>3104</v>
      </c>
    </row>
    <row r="15" spans="1:17">
      <c r="A15" s="3078" t="s">
        <v>3141</v>
      </c>
      <c r="B15" s="3078" t="s">
        <v>3091</v>
      </c>
      <c r="C15" s="3078" t="s">
        <v>3092</v>
      </c>
      <c r="D15" s="3078">
        <v>20750</v>
      </c>
      <c r="E15" s="3078">
        <v>145250</v>
      </c>
      <c r="F15" s="3078" t="s">
        <v>3142</v>
      </c>
      <c r="G15" s="3078" t="s">
        <v>3094</v>
      </c>
      <c r="H15" s="3078" t="s">
        <v>3114</v>
      </c>
      <c r="I15" s="3078">
        <v>0</v>
      </c>
      <c r="J15" s="3078" t="s">
        <v>3139</v>
      </c>
      <c r="K15" s="3078" t="s">
        <v>3140</v>
      </c>
      <c r="L15" s="3078">
        <v>7160</v>
      </c>
      <c r="M15" s="3078">
        <v>7160</v>
      </c>
      <c r="N15" s="3078">
        <v>492.93</v>
      </c>
      <c r="O15" s="3078">
        <f t="shared" si="0"/>
        <v>3451</v>
      </c>
      <c r="P15" s="3078">
        <v>0</v>
      </c>
      <c r="Q15" s="3078" t="s">
        <v>3104</v>
      </c>
    </row>
    <row r="16" spans="1:17" s="3080" customFormat="1">
      <c r="A16" s="3079" t="s">
        <v>3143</v>
      </c>
      <c r="B16" s="3079" t="s">
        <v>3091</v>
      </c>
      <c r="C16" s="3079" t="s">
        <v>3092</v>
      </c>
      <c r="D16" s="3079">
        <v>33637</v>
      </c>
      <c r="E16" s="3079">
        <v>90819.9</v>
      </c>
      <c r="F16" s="3079" t="s">
        <v>3144</v>
      </c>
      <c r="G16" s="3079" t="s">
        <v>3094</v>
      </c>
      <c r="H16" s="3079" t="s">
        <v>3095</v>
      </c>
      <c r="I16" s="3079">
        <v>0</v>
      </c>
      <c r="J16" s="3079" t="s">
        <v>3145</v>
      </c>
      <c r="K16" s="3079" t="s">
        <v>3115</v>
      </c>
      <c r="L16" s="3079">
        <v>30328</v>
      </c>
      <c r="M16" s="3079">
        <v>30328</v>
      </c>
      <c r="N16" s="3079">
        <v>3339.36</v>
      </c>
      <c r="O16" s="3079">
        <f t="shared" si="0"/>
        <v>9016</v>
      </c>
      <c r="P16" s="3079">
        <v>0</v>
      </c>
      <c r="Q16" s="3079" t="s">
        <v>3098</v>
      </c>
    </row>
    <row r="17" spans="1:17" s="3080" customFormat="1">
      <c r="A17" s="3079" t="s">
        <v>3146</v>
      </c>
      <c r="B17" s="3079" t="s">
        <v>3091</v>
      </c>
      <c r="C17" s="3079" t="s">
        <v>3092</v>
      </c>
      <c r="D17" s="3079">
        <v>74915</v>
      </c>
      <c r="E17" s="3079">
        <v>149830</v>
      </c>
      <c r="F17" s="3079" t="s">
        <v>3147</v>
      </c>
      <c r="G17" s="3079" t="s">
        <v>3094</v>
      </c>
      <c r="H17" s="3079" t="s">
        <v>3095</v>
      </c>
      <c r="I17" s="3079">
        <v>0</v>
      </c>
      <c r="J17" s="3079" t="s">
        <v>3145</v>
      </c>
      <c r="K17" s="3079" t="s">
        <v>3115</v>
      </c>
      <c r="L17" s="3079">
        <v>51535</v>
      </c>
      <c r="M17" s="3079">
        <v>51535</v>
      </c>
      <c r="N17" s="3079">
        <v>3439.55</v>
      </c>
      <c r="O17" s="3079">
        <f t="shared" si="0"/>
        <v>6879</v>
      </c>
      <c r="P17" s="3079">
        <v>0</v>
      </c>
      <c r="Q17" s="3079" t="s">
        <v>3098</v>
      </c>
    </row>
    <row r="18" spans="1:17" s="3080" customFormat="1">
      <c r="A18" s="3079" t="s">
        <v>3148</v>
      </c>
      <c r="B18" s="3079" t="s">
        <v>3091</v>
      </c>
      <c r="C18" s="3079" t="s">
        <v>3092</v>
      </c>
      <c r="D18" s="3079">
        <v>58723</v>
      </c>
      <c r="E18" s="3079">
        <v>146807.5</v>
      </c>
      <c r="F18" s="3079" t="s">
        <v>3149</v>
      </c>
      <c r="G18" s="3079" t="s">
        <v>3094</v>
      </c>
      <c r="H18" s="3079" t="s">
        <v>3095</v>
      </c>
      <c r="I18" s="3079">
        <v>0</v>
      </c>
      <c r="J18" s="3079" t="s">
        <v>3145</v>
      </c>
      <c r="K18" s="3079" t="s">
        <v>3115</v>
      </c>
      <c r="L18" s="3079">
        <v>50079</v>
      </c>
      <c r="M18" s="3079">
        <v>50079</v>
      </c>
      <c r="N18" s="3079">
        <v>3411.19</v>
      </c>
      <c r="O18" s="3079">
        <f t="shared" si="0"/>
        <v>8528</v>
      </c>
      <c r="P18" s="3079">
        <v>0</v>
      </c>
      <c r="Q18" s="3079" t="s">
        <v>3098</v>
      </c>
    </row>
    <row r="19" spans="1:17">
      <c r="A19" s="3078" t="s">
        <v>3150</v>
      </c>
      <c r="B19" s="3078" t="s">
        <v>3091</v>
      </c>
      <c r="C19" s="3078" t="s">
        <v>3092</v>
      </c>
      <c r="D19" s="3078">
        <v>22866</v>
      </c>
      <c r="E19" s="3078">
        <v>91464</v>
      </c>
      <c r="F19" s="3078" t="s">
        <v>3151</v>
      </c>
      <c r="G19" s="3078" t="s">
        <v>3094</v>
      </c>
      <c r="H19" s="3078" t="s">
        <v>3121</v>
      </c>
      <c r="I19" s="3078">
        <v>0</v>
      </c>
      <c r="J19" s="3078" t="s">
        <v>3145</v>
      </c>
      <c r="K19" s="3078" t="s">
        <v>3152</v>
      </c>
      <c r="L19" s="3078">
        <v>6398</v>
      </c>
      <c r="M19" s="3078">
        <v>6398</v>
      </c>
      <c r="N19" s="3078">
        <v>699.5</v>
      </c>
      <c r="O19" s="3078">
        <f t="shared" si="0"/>
        <v>2798</v>
      </c>
      <c r="P19" s="3078">
        <v>0</v>
      </c>
      <c r="Q19" s="3078" t="s">
        <v>3104</v>
      </c>
    </row>
    <row r="20" spans="1:17">
      <c r="A20" s="3078" t="s">
        <v>3153</v>
      </c>
      <c r="B20" s="3078" t="s">
        <v>3091</v>
      </c>
      <c r="C20" s="3078" t="s">
        <v>3092</v>
      </c>
      <c r="D20" s="3078">
        <v>6507</v>
      </c>
      <c r="E20" s="3078">
        <v>16267.5</v>
      </c>
      <c r="F20" s="3078" t="s">
        <v>3149</v>
      </c>
      <c r="G20" s="3078" t="s">
        <v>3094</v>
      </c>
      <c r="H20" s="3078" t="s">
        <v>3154</v>
      </c>
      <c r="I20" s="3078">
        <v>0</v>
      </c>
      <c r="J20" s="3078" t="s">
        <v>3155</v>
      </c>
      <c r="K20" s="3078" t="s">
        <v>3156</v>
      </c>
      <c r="L20" s="3078">
        <v>2020</v>
      </c>
      <c r="M20" s="3078">
        <v>2020</v>
      </c>
      <c r="N20" s="3078">
        <v>1241.74</v>
      </c>
      <c r="O20" s="3078">
        <f t="shared" si="0"/>
        <v>3104</v>
      </c>
      <c r="P20" s="3078">
        <v>0</v>
      </c>
      <c r="Q20" s="3078" t="s">
        <v>3104</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26" t="str">
        <f>IF(项目基本情况!B9="房地产市场价值","估价结果一览表","结果表-2")</f>
        <v>结果表-2</v>
      </c>
      <c r="B1" s="3126"/>
      <c r="C1" s="3126"/>
      <c r="D1" s="3126"/>
      <c r="E1" s="3126"/>
      <c r="F1" s="3126"/>
      <c r="G1" s="3126"/>
      <c r="H1" s="3126"/>
      <c r="I1" s="3126"/>
    </row>
    <row r="2" spans="1:9" ht="30" customHeight="1" thickTop="1">
      <c r="A2" s="3127" t="s">
        <v>1606</v>
      </c>
      <c r="B2" s="3127" t="s">
        <v>1607</v>
      </c>
      <c r="C2" s="3127" t="s">
        <v>1608</v>
      </c>
      <c r="D2" s="3127" t="str">
        <f>结果表!D116</f>
        <v>出让国有建设用地使用权价值</v>
      </c>
      <c r="E2" s="3127"/>
      <c r="F2" s="3127" t="str">
        <f>结果表!F116</f>
        <v>在建建筑物价值</v>
      </c>
      <c r="G2" s="3127"/>
      <c r="H2" s="3127" t="str">
        <f>IF(项目基本情况!B9="房地产市场价值","房地产市场价值","房地产价值")</f>
        <v>房地产价值</v>
      </c>
      <c r="I2" s="3127"/>
    </row>
    <row r="3" spans="1:9" ht="15">
      <c r="A3" s="3121"/>
      <c r="B3" s="3121"/>
      <c r="C3" s="3121"/>
      <c r="D3" s="963" t="s">
        <v>1603</v>
      </c>
      <c r="E3" s="963" t="s">
        <v>1609</v>
      </c>
      <c r="F3" s="963" t="s">
        <v>1603</v>
      </c>
      <c r="G3" s="963" t="s">
        <v>1604</v>
      </c>
      <c r="H3" s="963" t="s">
        <v>1603</v>
      </c>
      <c r="I3" s="963" t="s">
        <v>1604</v>
      </c>
    </row>
    <row r="4" spans="1:9" ht="15">
      <c r="A4" s="1689" t="str">
        <f>项目基本情况!S2</f>
        <v>房地产</v>
      </c>
      <c r="B4" s="963">
        <f>项目基本情况!C17</f>
        <v>58794.39</v>
      </c>
      <c r="C4" s="963">
        <f>项目基本情况!C18</f>
        <v>133089</v>
      </c>
      <c r="D4" s="963">
        <f ca="1">结果表!D118</f>
        <v>28867</v>
      </c>
      <c r="E4" s="963">
        <f ca="1">结果表!E118</f>
        <v>7698</v>
      </c>
      <c r="F4" s="963">
        <f ca="1">结果表!F118</f>
        <v>51097</v>
      </c>
      <c r="G4" s="963">
        <f ca="1">结果表!G118</f>
        <v>13628</v>
      </c>
      <c r="H4" s="963">
        <f ca="1">结果表!H118</f>
        <v>79964</v>
      </c>
      <c r="I4" s="963">
        <f ca="1">结果表!I118</f>
        <v>21326</v>
      </c>
    </row>
    <row r="5" spans="1:9" ht="30" customHeight="1">
      <c r="A5" s="3121" t="s">
        <v>1605</v>
      </c>
      <c r="B5" s="3121"/>
      <c r="C5" s="3121"/>
      <c r="D5" s="3122" t="str">
        <f ca="1">结果表!D119</f>
        <v>贰亿捌仟捌佰陆拾柒万元整</v>
      </c>
      <c r="E5" s="3122"/>
      <c r="F5" s="3122" t="str">
        <f ca="1">结果表!F119</f>
        <v>伍亿壹仟零玖拾柒万元整</v>
      </c>
      <c r="G5" s="3122"/>
      <c r="H5" s="3122" t="str">
        <f ca="1">结果表!H119</f>
        <v>柒亿玖仟玖佰陆拾肆万元整</v>
      </c>
      <c r="I5" s="3122"/>
    </row>
    <row r="6" spans="1:9" ht="15.75">
      <c r="A6" s="3120" t="str">
        <f>结果表!A120</f>
        <v>估价师知悉的法定优先受偿款</v>
      </c>
      <c r="B6" s="3120"/>
      <c r="C6" s="3120"/>
      <c r="D6" s="3120">
        <f>结果表!D120</f>
        <v>0</v>
      </c>
      <c r="E6" s="3120"/>
      <c r="F6" s="3120"/>
      <c r="G6" s="3120"/>
      <c r="H6" s="3120"/>
      <c r="I6" s="3120"/>
    </row>
    <row r="7" spans="1:9" ht="15">
      <c r="A7" s="3121" t="s">
        <v>1605</v>
      </c>
      <c r="B7" s="3121"/>
      <c r="C7" s="3121"/>
      <c r="D7" s="3123" t="str">
        <f>结果表!D121</f>
        <v>零元整</v>
      </c>
      <c r="E7" s="3124"/>
      <c r="F7" s="3124"/>
      <c r="G7" s="3124"/>
      <c r="H7" s="3124"/>
      <c r="I7" s="3125"/>
    </row>
    <row r="8" spans="1:9" ht="15.75">
      <c r="A8" s="3120" t="str">
        <f>结果表!A122</f>
        <v>房地产抵押价值</v>
      </c>
      <c r="B8" s="3120"/>
      <c r="C8" s="3120"/>
      <c r="D8" s="3120">
        <f ca="1">结果表!D122</f>
        <v>79964</v>
      </c>
      <c r="E8" s="3120"/>
      <c r="F8" s="3120"/>
      <c r="G8" s="3120"/>
      <c r="H8" s="3120"/>
      <c r="I8" s="3120"/>
    </row>
    <row r="9" spans="1:9" ht="15">
      <c r="A9" s="3121" t="s">
        <v>1605</v>
      </c>
      <c r="B9" s="3121"/>
      <c r="C9" s="3121"/>
      <c r="D9" s="3122" t="str">
        <f ca="1">结果表!D123</f>
        <v>柒亿玖仟玖佰陆拾肆万元整</v>
      </c>
      <c r="E9" s="3122"/>
      <c r="F9" s="3122"/>
      <c r="G9" s="3122"/>
      <c r="H9" s="3122"/>
      <c r="I9" s="3122"/>
    </row>
    <row r="10" spans="1:9" ht="15.75">
      <c r="A10" s="3120" t="str">
        <f>结果表!A124</f>
        <v/>
      </c>
      <c r="B10" s="3120"/>
      <c r="C10" s="3120"/>
      <c r="D10" s="3120" t="str">
        <f>结果表!D124</f>
        <v>——</v>
      </c>
      <c r="E10" s="3120"/>
      <c r="F10" s="3120"/>
      <c r="G10" s="3120"/>
      <c r="H10" s="3120"/>
      <c r="I10" s="3120"/>
    </row>
    <row r="11" spans="1:9" ht="15">
      <c r="A11" s="3121" t="s">
        <v>1605</v>
      </c>
      <c r="B11" s="3121"/>
      <c r="C11" s="3121"/>
      <c r="D11" s="3122" t="e">
        <f>结果表!D125</f>
        <v>#VALUE!</v>
      </c>
      <c r="E11" s="3122"/>
      <c r="F11" s="3122"/>
      <c r="G11" s="3122"/>
      <c r="H11" s="3122"/>
      <c r="I11" s="3122"/>
    </row>
    <row r="12" spans="1:9" ht="15.75">
      <c r="A12" s="3120" t="str">
        <f>结果表!A126</f>
        <v/>
      </c>
      <c r="B12" s="3120"/>
      <c r="C12" s="3120"/>
      <c r="D12" s="3120" t="str">
        <f>结果表!D126</f>
        <v>——</v>
      </c>
      <c r="E12" s="3120"/>
      <c r="F12" s="3120"/>
      <c r="G12" s="3120"/>
      <c r="H12" s="3120"/>
      <c r="I12" s="3120"/>
    </row>
    <row r="13" spans="1:9" ht="15.75" thickBot="1">
      <c r="A13" s="3117" t="s">
        <v>1605</v>
      </c>
      <c r="B13" s="3117"/>
      <c r="C13" s="3117"/>
      <c r="D13" s="3118" t="e">
        <f>结果表!D127</f>
        <v>#VALUE!</v>
      </c>
      <c r="E13" s="3118"/>
      <c r="F13" s="3118"/>
      <c r="G13" s="3118"/>
      <c r="H13" s="3118"/>
      <c r="I13" s="3118"/>
    </row>
    <row r="14" spans="1:9" ht="15" thickTop="1">
      <c r="A14" s="3119" t="s">
        <v>1610</v>
      </c>
      <c r="B14" s="3119"/>
      <c r="C14" s="3119"/>
      <c r="D14" s="3119"/>
      <c r="E14" s="3119"/>
      <c r="F14" s="3119"/>
      <c r="G14" s="3119"/>
      <c r="H14" s="3119"/>
      <c r="I14" s="3119"/>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34" t="s">
        <v>1627</v>
      </c>
      <c r="B1" s="3134"/>
      <c r="C1" s="3134"/>
      <c r="D1" s="3134"/>
    </row>
    <row r="2" spans="1:4" ht="18">
      <c r="A2" s="3135" t="s">
        <v>1611</v>
      </c>
      <c r="B2" s="3135"/>
      <c r="C2" s="3135"/>
      <c r="D2" s="3135"/>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35" t="s">
        <v>1617</v>
      </c>
      <c r="B6" s="3135"/>
      <c r="C6" s="3135"/>
      <c r="D6" s="3135"/>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36" t="s">
        <v>1620</v>
      </c>
      <c r="B11" s="3128"/>
      <c r="C11" s="3128"/>
      <c r="D11" s="3128"/>
    </row>
    <row r="12" spans="1:4" ht="15.75">
      <c r="A12" s="31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3"/>
      <c r="C12" s="3133"/>
      <c r="D12" s="3133"/>
    </row>
    <row r="13" spans="1:4" ht="30" customHeight="1">
      <c r="A13" s="31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3"/>
      <c r="C13" s="3133"/>
      <c r="D13" s="3133"/>
    </row>
    <row r="14" spans="1:4" ht="15.75" customHeight="1">
      <c r="A14" s="3128" t="str">
        <f>IF(项目基本情况!B8="抵押","4.本次评估估价师所知悉的法定优先受偿款情况说明如下：","——")</f>
        <v>4.本次评估估价师所知悉的法定优先受偿款情况说明如下：</v>
      </c>
      <c r="B14" s="3133"/>
      <c r="C14" s="3133"/>
      <c r="D14" s="3133"/>
    </row>
    <row r="15" spans="1:4" ht="42" customHeight="1">
      <c r="A15" s="31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8"/>
      <c r="C15" s="3128"/>
      <c r="D15" s="3128"/>
    </row>
    <row r="16" spans="1:4" ht="30" customHeight="1">
      <c r="A16" s="3130" t="s">
        <v>1621</v>
      </c>
      <c r="B16" s="3130"/>
      <c r="C16" s="3130"/>
      <c r="D16" s="3130"/>
    </row>
    <row r="17" spans="1:4" ht="144" customHeight="1">
      <c r="A17" s="3130" t="s">
        <v>1622</v>
      </c>
      <c r="B17" s="3130"/>
      <c r="C17" s="3130"/>
      <c r="D17" s="3130"/>
    </row>
    <row r="18" spans="1:4" ht="15.75" customHeight="1">
      <c r="A18" s="3128" t="str">
        <f>IF(项目基本情况!B8="抵押",结果表!K120,"——")</f>
        <v>故，本次评估不存在估价师知悉的法定优先受偿款</v>
      </c>
      <c r="B18" s="3128"/>
      <c r="C18" s="3128"/>
      <c r="D18" s="3128"/>
    </row>
    <row r="19" spans="1:4" ht="46.5" customHeight="1">
      <c r="A19" s="31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8"/>
      <c r="C19" s="3128"/>
      <c r="D19" s="3128"/>
    </row>
    <row r="20" spans="1:4" ht="57.75" customHeight="1">
      <c r="A20" s="31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8"/>
      <c r="C20" s="3128"/>
      <c r="D20" s="3128"/>
    </row>
    <row r="21" spans="1:4" ht="57.75" customHeight="1">
      <c r="A21" s="31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1"/>
      <c r="C21" s="3131"/>
      <c r="D21" s="3131"/>
    </row>
    <row r="22" spans="1:4" ht="18.75" customHeight="1">
      <c r="A22" s="3132" t="s">
        <v>1623</v>
      </c>
      <c r="B22" s="3132"/>
      <c r="C22" s="3132"/>
      <c r="D22" s="3132"/>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29">
        <v>42551</v>
      </c>
      <c r="D31" s="31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42" t="s">
        <v>1634</v>
      </c>
      <c r="B15" s="3137" t="s">
        <v>136</v>
      </c>
      <c r="C15" s="3138"/>
    </row>
    <row r="16" spans="1:7" ht="13.5">
      <c r="A16" s="3143"/>
      <c r="B16" s="3137" t="s">
        <v>69</v>
      </c>
      <c r="C16" s="3138"/>
    </row>
    <row r="17" spans="1:3" ht="13.5">
      <c r="A17" s="3143"/>
      <c r="B17" s="3140" t="s">
        <v>1635</v>
      </c>
      <c r="C17" s="1716" t="s">
        <v>1634</v>
      </c>
    </row>
    <row r="18" spans="1:3" ht="13.5">
      <c r="A18" s="3143"/>
      <c r="B18" s="3140"/>
      <c r="C18" s="1716" t="s">
        <v>1636</v>
      </c>
    </row>
    <row r="19" spans="1:3" ht="13.5">
      <c r="A19" s="3143"/>
      <c r="B19" s="3140"/>
      <c r="C19" s="1716" t="s">
        <v>1637</v>
      </c>
    </row>
    <row r="20" spans="1:3" ht="13.5">
      <c r="A20" s="3144"/>
      <c r="B20" s="3139" t="s">
        <v>1638</v>
      </c>
      <c r="C20" s="3138"/>
    </row>
    <row r="21" spans="1:3" ht="13.5">
      <c r="A21" s="1717" t="s">
        <v>1639</v>
      </c>
      <c r="B21" s="1718"/>
      <c r="C21" s="1719"/>
    </row>
    <row r="22" spans="1:3" ht="13.5">
      <c r="A22" s="3141" t="s">
        <v>1640</v>
      </c>
      <c r="B22" s="3139" t="s">
        <v>1641</v>
      </c>
      <c r="C22" s="3138"/>
    </row>
    <row r="23" spans="1:3" ht="13.5">
      <c r="A23" s="3141"/>
      <c r="B23" s="3139" t="s">
        <v>1642</v>
      </c>
      <c r="C23" s="3138"/>
    </row>
    <row r="24" spans="1:3" ht="13.5">
      <c r="A24" s="3141"/>
      <c r="B24" s="3139" t="s">
        <v>1643</v>
      </c>
      <c r="C24" s="3138"/>
    </row>
    <row r="25" spans="1:3" ht="13.5">
      <c r="A25" s="3141"/>
      <c r="B25" s="3140" t="s">
        <v>1644</v>
      </c>
      <c r="C25" s="1716" t="s">
        <v>1645</v>
      </c>
    </row>
    <row r="26" spans="1:3" ht="13.5">
      <c r="A26" s="3141"/>
      <c r="B26" s="3140"/>
      <c r="C26" s="1716" t="s">
        <v>1646</v>
      </c>
    </row>
    <row r="27" spans="1:3" ht="13.5">
      <c r="A27" s="3141"/>
      <c r="B27" s="3140"/>
      <c r="C27" s="1716" t="s">
        <v>1647</v>
      </c>
    </row>
    <row r="28" spans="1:3" ht="13.5">
      <c r="A28" s="3141"/>
      <c r="B28" s="3140"/>
      <c r="C28" s="1716" t="s">
        <v>1648</v>
      </c>
    </row>
    <row r="29" spans="1:3" ht="13.5">
      <c r="A29" s="3141"/>
      <c r="B29" s="3140"/>
      <c r="C29" s="1716" t="s">
        <v>1649</v>
      </c>
    </row>
    <row r="30" spans="1:3" ht="13.5">
      <c r="A30" s="3141"/>
      <c r="B30" s="3140"/>
      <c r="C30" s="1716" t="s">
        <v>1650</v>
      </c>
    </row>
    <row r="31" spans="1:3" ht="13.5">
      <c r="A31" s="3141"/>
      <c r="B31" s="3140"/>
      <c r="C31" s="1716" t="s">
        <v>1651</v>
      </c>
    </row>
    <row r="32" spans="1:3" ht="13.5">
      <c r="A32" s="3141"/>
      <c r="B32" s="3140"/>
      <c r="C32" s="1716" t="s">
        <v>1652</v>
      </c>
    </row>
    <row r="33" spans="1:3" ht="13.5">
      <c r="A33" s="3141"/>
      <c r="B33" s="3140"/>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2881</v>
      </c>
      <c r="B2" s="2561">
        <f ca="1">TODAY()</f>
        <v>44558</v>
      </c>
      <c r="C2" s="2562" t="s">
        <v>2882</v>
      </c>
      <c r="D2" s="2562"/>
      <c r="E2" s="2562"/>
      <c r="F2" s="2558"/>
      <c r="G2" s="2558"/>
      <c r="H2" s="2558"/>
    </row>
    <row r="3" spans="1:8" ht="24" customHeight="1">
      <c r="A3" s="2563" t="s">
        <v>2883</v>
      </c>
      <c r="B3" s="2564" t="s">
        <v>2884</v>
      </c>
      <c r="C3" s="2564" t="s">
        <v>2885</v>
      </c>
      <c r="D3" s="2565" t="s">
        <v>2886</v>
      </c>
      <c r="E3" s="2566" t="s">
        <v>2887</v>
      </c>
      <c r="F3" s="1471" t="s">
        <v>2888</v>
      </c>
      <c r="G3" s="2564" t="s">
        <v>2885</v>
      </c>
      <c r="H3" s="2565" t="s">
        <v>2889</v>
      </c>
    </row>
    <row r="4" spans="1:8" ht="24" customHeight="1">
      <c r="A4" s="1471" t="s">
        <v>2890</v>
      </c>
      <c r="B4" s="1471">
        <f ca="1">IF(C4&lt;B2,"已过期",1119970066)</f>
        <v>1119970066</v>
      </c>
      <c r="C4" s="2567">
        <v>44876</v>
      </c>
      <c r="D4" s="2568" t="str">
        <f ca="1">A4&amp;"（注册号："&amp;B4&amp;"）"</f>
        <v>梁津（注册号：1119970066）</v>
      </c>
      <c r="E4" s="2569" t="s">
        <v>2890</v>
      </c>
      <c r="F4" s="1471">
        <f ca="1">IF(G4&lt;B2,"已过期",96010014)</f>
        <v>96010014</v>
      </c>
      <c r="G4" s="2570">
        <v>47118</v>
      </c>
      <c r="H4" s="2571" t="str">
        <f ca="1">E4&amp;"（注册号："&amp;F4&amp;"）"</f>
        <v>梁津（注册号：96010014）</v>
      </c>
    </row>
    <row r="5" spans="1:8" ht="24" customHeight="1">
      <c r="A5" s="1471" t="s">
        <v>2891</v>
      </c>
      <c r="B5" s="1471">
        <f ca="1">IF(C5&lt;B2,"已过期",1119970111)</f>
        <v>1119970111</v>
      </c>
      <c r="C5" s="2567">
        <v>44876</v>
      </c>
      <c r="D5" s="2568" t="str">
        <f t="shared" ref="D5:D15" ca="1" si="0">A5&amp;"（注册号："&amp;B5&amp;"）"</f>
        <v>叶凌（注册号：1119970111）</v>
      </c>
      <c r="E5" s="2569" t="s">
        <v>2891</v>
      </c>
      <c r="F5" s="1471">
        <f ca="1">IF(G5&lt;B2,"已过期",94010078)</f>
        <v>94010078</v>
      </c>
      <c r="G5" s="2570">
        <v>46387</v>
      </c>
      <c r="H5" s="2571" t="str">
        <f t="shared" ref="H5:H16" ca="1" si="1">E5&amp;"（注册号："&amp;F5&amp;"）"</f>
        <v>叶凌（注册号：94010078）</v>
      </c>
    </row>
    <row r="6" spans="1:8" ht="24" customHeight="1">
      <c r="A6" s="1471" t="s">
        <v>2892</v>
      </c>
      <c r="B6" s="1471" t="str">
        <f ca="1">IF(C6&lt;B2,"已过期",1120050019)</f>
        <v>已过期</v>
      </c>
      <c r="C6" s="2567">
        <v>44395</v>
      </c>
      <c r="D6" s="2568" t="str">
        <f t="shared" ca="1" si="0"/>
        <v>王鹏（注册号：已过期）</v>
      </c>
      <c r="E6" s="2569" t="s">
        <v>2892</v>
      </c>
      <c r="F6" s="1471">
        <f ca="1">IF(G6&lt;B2,"已过期",2002110030)</f>
        <v>2002110030</v>
      </c>
      <c r="G6" s="2570">
        <v>46387</v>
      </c>
      <c r="H6" s="2571" t="str">
        <f t="shared" ca="1" si="1"/>
        <v>王鹏（注册号：2002110030）</v>
      </c>
    </row>
    <row r="7" spans="1:8" ht="24" customHeight="1">
      <c r="A7" s="1471" t="s">
        <v>2893</v>
      </c>
      <c r="B7" s="1471">
        <f ca="1">IF(C7&lt;B2,"已过期",1120000080)</f>
        <v>1120000080</v>
      </c>
      <c r="C7" s="2567">
        <v>44876</v>
      </c>
      <c r="D7" s="2568" t="str">
        <f t="shared" ca="1" si="0"/>
        <v>欧红伟（注册号：1120000080）</v>
      </c>
      <c r="E7" s="2569" t="s">
        <v>2893</v>
      </c>
      <c r="F7" s="1471">
        <f ca="1">IF(G7&lt;B2,"已过期",2000110082)</f>
        <v>2000110082</v>
      </c>
      <c r="G7" s="2570">
        <v>46387</v>
      </c>
      <c r="H7" s="2571" t="str">
        <f t="shared" ca="1" si="1"/>
        <v>欧红伟（注册号：2000110082）</v>
      </c>
    </row>
    <row r="8" spans="1:8" ht="24" customHeight="1">
      <c r="A8" s="1471" t="s">
        <v>2894</v>
      </c>
      <c r="B8" s="1471">
        <f ca="1">IF(C8&lt;B2,"已过期",1419970001)</f>
        <v>1419970001</v>
      </c>
      <c r="C8" s="2567">
        <v>44899</v>
      </c>
      <c r="D8" s="2568" t="str">
        <f t="shared" ca="1" si="0"/>
        <v>吴薇（注册号：1419970001）</v>
      </c>
      <c r="E8" s="2569" t="s">
        <v>2894</v>
      </c>
      <c r="F8" s="1471">
        <f ca="1">IF(G8&lt;B2,"已过期",2002110125)</f>
        <v>2002110125</v>
      </c>
      <c r="G8" s="2570">
        <v>47118</v>
      </c>
      <c r="H8" s="2571" t="str">
        <f t="shared" ca="1" si="1"/>
        <v>吴薇（注册号：2002110125）</v>
      </c>
    </row>
    <row r="9" spans="1:8" ht="24" customHeight="1">
      <c r="A9" s="1471" t="s">
        <v>2895</v>
      </c>
      <c r="B9" s="1471" t="str">
        <f ca="1">IF(C9&lt;B2,"已过期",1120060040)</f>
        <v>已过期</v>
      </c>
      <c r="C9" s="2572">
        <v>44554</v>
      </c>
      <c r="D9" s="2568" t="str">
        <f t="shared" ca="1" si="0"/>
        <v>陈颖（注册号：已过期）</v>
      </c>
      <c r="E9" s="2569" t="s">
        <v>2895</v>
      </c>
      <c r="F9" s="1471">
        <f ca="1">IF(G9&lt;B2,"已过期",2004110096)</f>
        <v>2004110096</v>
      </c>
      <c r="G9" s="2570">
        <v>47118</v>
      </c>
      <c r="H9" s="2571" t="str">
        <f t="shared" ca="1" si="1"/>
        <v>陈颖（注册号：2004110096）</v>
      </c>
    </row>
    <row r="10" spans="1:8" ht="24" customHeight="1">
      <c r="A10" s="1471" t="s">
        <v>2896</v>
      </c>
      <c r="B10" s="1471">
        <f ca="1">IF(C10&lt;B2,"已过期",1120100036)</f>
        <v>1120100036</v>
      </c>
      <c r="C10" s="2572">
        <v>44675</v>
      </c>
      <c r="D10" s="2568" t="str">
        <f t="shared" ca="1" si="0"/>
        <v>崔锴（注册号：1120100036）</v>
      </c>
      <c r="E10" s="2569" t="s">
        <v>2896</v>
      </c>
      <c r="F10" s="1471">
        <f ca="1">IF(G10&lt;B2,"已过期",2010110070)</f>
        <v>2010110070</v>
      </c>
      <c r="G10" s="2570">
        <v>47907</v>
      </c>
      <c r="H10" s="2571" t="str">
        <f t="shared" ca="1" si="1"/>
        <v>崔锴（注册号：2010110070）</v>
      </c>
    </row>
    <row r="11" spans="1:8" ht="24" customHeight="1">
      <c r="A11" s="1471" t="s">
        <v>2897</v>
      </c>
      <c r="B11" s="1471">
        <f ca="1">IF(C11&lt;B2,"已过期",1120070131)</f>
        <v>1120070131</v>
      </c>
      <c r="C11" s="2567">
        <v>44849</v>
      </c>
      <c r="D11" s="2568" t="str">
        <f t="shared" ca="1" si="0"/>
        <v>郑燚（注册号：1120070131）</v>
      </c>
      <c r="E11" s="2569" t="s">
        <v>2897</v>
      </c>
      <c r="F11" s="1471">
        <f ca="1">IF(G11&lt;B2,"已过期",2014110011)</f>
        <v>2014110011</v>
      </c>
      <c r="G11" s="2570">
        <v>49302</v>
      </c>
      <c r="H11" s="2571" t="str">
        <f t="shared" ca="1" si="1"/>
        <v>郑燚（注册号：2014110011）</v>
      </c>
    </row>
    <row r="12" spans="1:8" ht="24" customHeight="1">
      <c r="A12" s="1471" t="s">
        <v>2898</v>
      </c>
      <c r="B12" s="1471">
        <f ca="1">IF(C12&lt;B2,"已过期",1120040230)</f>
        <v>1120040230</v>
      </c>
      <c r="C12" s="2572">
        <v>44864</v>
      </c>
      <c r="D12" s="2568" t="str">
        <f t="shared" ca="1" si="0"/>
        <v>苏海（注册号：1120040230）</v>
      </c>
      <c r="E12" s="2569" t="s">
        <v>2898</v>
      </c>
      <c r="F12" s="1471">
        <f ca="1">IF(G12&lt;B2,"已过期",98030020)</f>
        <v>98030020</v>
      </c>
      <c r="G12" s="2570">
        <v>47118</v>
      </c>
      <c r="H12" s="2571" t="str">
        <f t="shared" ca="1" si="1"/>
        <v>苏海（注册号：98030020）</v>
      </c>
    </row>
    <row r="13" spans="1:8" ht="24" customHeight="1">
      <c r="A13" s="1471" t="s">
        <v>2899</v>
      </c>
      <c r="B13" s="1471" t="str">
        <f ca="1">IF(C13&lt;B2,"已过期",1120020033)</f>
        <v>已过期</v>
      </c>
      <c r="C13" s="2567">
        <v>44339</v>
      </c>
      <c r="D13" s="2568" t="str">
        <f t="shared" ca="1" si="0"/>
        <v>刘敬东（注册号：已过期）</v>
      </c>
      <c r="E13" s="2569" t="s">
        <v>2899</v>
      </c>
      <c r="F13" s="1471">
        <f ca="1">IF(G13&lt;B2,"已过期",2000110137)</f>
        <v>2000110137</v>
      </c>
      <c r="G13" s="2570">
        <v>46387</v>
      </c>
      <c r="H13" s="2571" t="str">
        <f t="shared" ca="1" si="1"/>
        <v>刘敬东（注册号：2000110137）</v>
      </c>
    </row>
    <row r="14" spans="1:8" ht="24" customHeight="1">
      <c r="A14" s="1471" t="s">
        <v>2900</v>
      </c>
      <c r="B14" s="1471">
        <f ca="1">IF(C14&lt;B2,"已过期",1119980106)</f>
        <v>1119980106</v>
      </c>
      <c r="C14" s="2572">
        <v>44969</v>
      </c>
      <c r="D14" s="2568" t="str">
        <f t="shared" ca="1" si="0"/>
        <v>刘俊财（注册号：1119980106）</v>
      </c>
      <c r="E14" s="2569" t="s">
        <v>2900</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2901</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45" t="s">
        <v>2902</v>
      </c>
      <c r="B17" s="3145"/>
      <c r="C17" s="3145"/>
      <c r="D17" s="3145"/>
      <c r="E17" s="3145"/>
      <c r="F17" s="3145"/>
      <c r="G17" s="3145"/>
      <c r="H17" s="3145"/>
    </row>
    <row r="18" spans="1:8" ht="24" customHeight="1">
      <c r="A18" s="3146" t="s">
        <v>2903</v>
      </c>
      <c r="B18" s="3146"/>
      <c r="C18" s="3146"/>
      <c r="D18" s="2565"/>
      <c r="E18" s="3147" t="s">
        <v>2904</v>
      </c>
      <c r="F18" s="3146"/>
      <c r="G18" s="3146"/>
    </row>
    <row r="19" spans="1:8" s="2576" customFormat="1" ht="24" customHeight="1">
      <c r="A19" s="2575" t="s">
        <v>2905</v>
      </c>
      <c r="B19" s="2564" t="s">
        <v>2906</v>
      </c>
      <c r="C19" s="2564" t="s">
        <v>2885</v>
      </c>
      <c r="D19" s="2565"/>
      <c r="E19" s="2569" t="s">
        <v>2905</v>
      </c>
      <c r="F19" s="2564" t="s">
        <v>2906</v>
      </c>
      <c r="G19" s="2564" t="s">
        <v>2885</v>
      </c>
    </row>
    <row r="20" spans="1:8" s="2576" customFormat="1" ht="24" customHeight="1">
      <c r="A20" s="2577" t="s">
        <v>2907</v>
      </c>
      <c r="B20" s="2577" t="s">
        <v>2908</v>
      </c>
      <c r="C20" s="2570">
        <v>44820</v>
      </c>
      <c r="D20" s="2578"/>
      <c r="E20" s="2579" t="s">
        <v>2909</v>
      </c>
      <c r="F20" s="2577" t="s">
        <v>2910</v>
      </c>
      <c r="G20" s="2580">
        <v>44377</v>
      </c>
    </row>
    <row r="21" spans="1:8" s="2576" customFormat="1" ht="24" customHeight="1">
      <c r="A21" s="2577"/>
      <c r="B21" s="2577"/>
      <c r="C21" s="2581"/>
      <c r="D21" s="2582"/>
      <c r="E21" s="2579" t="s">
        <v>2911</v>
      </c>
      <c r="F21" s="2583" t="s">
        <v>2912</v>
      </c>
      <c r="G21" s="2584">
        <v>44012</v>
      </c>
    </row>
    <row r="22" spans="1:8" ht="24" customHeight="1">
      <c r="C22" s="2585"/>
      <c r="D22" s="2585"/>
      <c r="E22" s="2586"/>
      <c r="F22" s="2587"/>
      <c r="G22" s="2588"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结果表-C2</vt:lpstr>
      <vt:lpstr>成本法-C2</vt:lpstr>
      <vt:lpstr>收益法-C2</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'成本法-C2'!Print_Area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'结果表-C2'!Print_Area</vt:lpstr>
      <vt:lpstr>收益法!Print_Area</vt:lpstr>
      <vt:lpstr>'收益法 (元)'!Print_Area</vt:lpstr>
      <vt:lpstr>'收益法（汇总）'!Print_Area</vt:lpstr>
      <vt:lpstr>'收益法-C2'!Print_Area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2021-12-28T03:20:23Z</dcterms:modified>
</cp:coreProperties>
</file>