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4" l="1"/>
  <c r="B7" i="4"/>
  <c r="D14" i="9" l="1"/>
  <c r="D3" i="31"/>
  <c r="E3" i="31"/>
  <c r="F3" i="31"/>
  <c r="G3" i="31"/>
  <c r="C3" i="3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B24" i="31"/>
  <c r="A24" i="31"/>
  <c r="C37" i="34"/>
  <c r="C34" i="34"/>
  <c r="Y6" i="1" l="1"/>
  <c r="H6" i="1"/>
  <c r="F19" i="6"/>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8" i="76"/>
  <c r="E12" i="76"/>
  <c r="E10" i="76"/>
  <c r="B7" i="76"/>
  <c r="E7" i="76"/>
  <c r="E9" i="76"/>
  <c r="B13" i="76"/>
  <c r="B8" i="76"/>
  <c r="B9" i="76"/>
  <c r="B12" i="76"/>
  <c r="B11" i="76"/>
  <c r="B10"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5" i="73"/>
  <c r="F4" i="73"/>
  <c r="F3" i="73"/>
  <c r="D3" i="73"/>
  <c r="D6"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R500" i="31"/>
  <c r="S500" i="31" s="1"/>
  <c r="R501" i="31"/>
  <c r="R502" i="31"/>
  <c r="R503" i="31"/>
  <c r="R504" i="31"/>
  <c r="S504" i="31" s="1"/>
  <c r="R505" i="3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37" i="31"/>
  <c r="S429" i="31"/>
  <c r="S219" i="31"/>
  <c r="S211" i="31"/>
  <c r="S203" i="31"/>
  <c r="S195" i="31"/>
  <c r="S187" i="31"/>
  <c r="S183" i="31"/>
  <c r="S179" i="31"/>
  <c r="S175" i="31"/>
  <c r="S171" i="31"/>
  <c r="S167" i="31"/>
  <c r="S163" i="31"/>
  <c r="S159" i="31"/>
  <c r="S155" i="31"/>
  <c r="S151" i="31"/>
  <c r="S147" i="31"/>
  <c r="S143" i="31"/>
  <c r="S142" i="31"/>
  <c r="S141" i="31"/>
  <c r="S140" i="31"/>
  <c r="S139" i="31"/>
  <c r="S138" i="31"/>
  <c r="S137" i="31"/>
  <c r="S136" i="31"/>
  <c r="S135" i="31"/>
  <c r="S134" i="31"/>
  <c r="S133" i="31"/>
  <c r="S132" i="31"/>
  <c r="S131" i="31"/>
  <c r="S130" i="31"/>
  <c r="S129" i="31"/>
  <c r="S128" i="31"/>
  <c r="S127" i="31"/>
  <c r="S126" i="31"/>
  <c r="S125" i="31"/>
  <c r="S124" i="31"/>
  <c r="S123" i="31"/>
  <c r="S483" i="31"/>
  <c r="S444" i="31"/>
  <c r="S442" i="31"/>
  <c r="S440" i="31"/>
  <c r="S438" i="31"/>
  <c r="S436" i="31"/>
  <c r="S434" i="31"/>
  <c r="S432" i="31"/>
  <c r="S430" i="31"/>
  <c r="S121" i="31"/>
  <c r="S119" i="31"/>
  <c r="S117" i="31"/>
  <c r="S115" i="31"/>
  <c r="S113" i="31"/>
  <c r="S506" i="31"/>
  <c r="S502" i="31"/>
  <c r="S498" i="31"/>
  <c r="S466" i="31"/>
  <c r="S464" i="31"/>
  <c r="S462" i="31"/>
  <c r="S460" i="31"/>
  <c r="S458" i="31"/>
  <c r="S456" i="31"/>
  <c r="S454" i="31"/>
  <c r="S452" i="31"/>
  <c r="S450"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44" i="34"/>
  <c r="W37" i="34"/>
  <c r="S35" i="34"/>
  <c r="AA41" i="34"/>
  <c r="AC36" i="34"/>
  <c r="S34" i="34"/>
  <c r="AB23" i="34"/>
  <c r="AC17" i="34"/>
  <c r="AB17" i="34"/>
  <c r="S15" i="34"/>
  <c r="W9" i="34"/>
  <c r="S9" i="34"/>
  <c r="G13" i="1"/>
  <c r="BA18" i="3"/>
  <c r="AZ18" i="3" s="1"/>
  <c r="BL20" i="3"/>
  <c r="AZ20" i="3" s="1"/>
  <c r="BL23" i="3"/>
  <c r="BL26" i="3"/>
  <c r="BA27" i="3"/>
  <c r="AZ27" i="3" s="1"/>
  <c r="BA28" i="3"/>
  <c r="AZ28" i="3" s="1"/>
  <c r="BA29" i="3"/>
  <c r="AZ29" i="3" s="1"/>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9" i="15"/>
  <c r="M29" i="67"/>
  <c r="F26" i="15"/>
  <c r="F26" i="67"/>
  <c r="F38" i="67"/>
  <c r="F36" i="15"/>
  <c r="L48" i="15"/>
  <c r="F37" i="15"/>
  <c r="F9" i="67"/>
  <c r="F13" i="15"/>
  <c r="J15" i="15"/>
  <c r="F40" i="67"/>
  <c r="M8" i="67"/>
  <c r="F8" i="15"/>
  <c r="M26" i="67"/>
  <c r="M26" i="15"/>
  <c r="M23" i="15"/>
  <c r="F38" i="15"/>
  <c r="C76" i="15"/>
  <c r="M22" i="67"/>
  <c r="F6" i="67"/>
  <c r="F7" i="67"/>
  <c r="F40" i="15"/>
  <c r="F6" i="15"/>
  <c r="M24" i="15"/>
  <c r="F43" i="67"/>
  <c r="M28" i="15"/>
  <c r="M24" i="67"/>
  <c r="J15" i="67"/>
  <c r="M6" i="67"/>
  <c r="C76" i="67"/>
  <c r="M8" i="15"/>
  <c r="F7" i="15"/>
  <c r="F8" i="67"/>
  <c r="M23" i="67"/>
  <c r="F42" i="15"/>
  <c r="M6" i="15"/>
  <c r="M22" i="15"/>
  <c r="F16" i="15"/>
  <c r="F43" i="15"/>
  <c r="F37" i="67"/>
  <c r="F13" i="67"/>
  <c r="L48" i="67"/>
  <c r="M9" i="67"/>
  <c r="F16" i="67"/>
  <c r="F36" i="67"/>
  <c r="M9" i="15"/>
  <c r="F42" i="67"/>
  <c r="M28" i="67"/>
  <c r="L47" i="67"/>
  <c r="F9" i="15"/>
  <c r="L47" i="15"/>
  <c r="G1" i="73"/>
  <c r="T10" i="1" l="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15"/>
  <c r="F31" i="67"/>
  <c r="M17" i="15"/>
  <c r="M17" i="67"/>
  <c r="F59" i="15"/>
  <c r="C16" i="67"/>
  <c r="C17" i="15"/>
  <c r="C16" i="15"/>
  <c r="C30" i="69" l="1"/>
  <c r="AQ7" i="1"/>
  <c r="E3" i="6"/>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M21" i="15"/>
  <c r="B6" i="76"/>
  <c r="F35" i="15"/>
  <c r="M21" i="67"/>
  <c r="F35" i="67"/>
  <c r="S24" i="31" l="1"/>
  <c r="R39" i="31"/>
  <c r="S39" i="31" s="1"/>
  <c r="R35" i="31"/>
  <c r="S35" i="31" s="1"/>
  <c r="R31" i="31"/>
  <c r="S31" i="31" s="1"/>
  <c r="R27" i="31"/>
  <c r="S27" i="31" s="1"/>
  <c r="R40" i="31"/>
  <c r="S40" i="31" s="1"/>
  <c r="R36" i="31"/>
  <c r="S36" i="31" s="1"/>
  <c r="R32" i="31"/>
  <c r="S32" i="31" s="1"/>
  <c r="R28" i="31"/>
  <c r="S28" i="31" s="1"/>
  <c r="R37" i="31"/>
  <c r="S37" i="31" s="1"/>
  <c r="R33" i="31"/>
  <c r="S33" i="31" s="1"/>
  <c r="R29" i="31"/>
  <c r="S29" i="31" s="1"/>
  <c r="R25" i="31"/>
  <c r="S25" i="31" s="1"/>
  <c r="R38" i="31"/>
  <c r="S38" i="31" s="1"/>
  <c r="R34" i="31"/>
  <c r="S34" i="31" s="1"/>
  <c r="R30" i="31"/>
  <c r="S30" i="31" s="1"/>
  <c r="R26" i="31"/>
  <c r="S26"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E2" i="68"/>
  <c r="D2" i="21"/>
  <c r="D2" i="33"/>
  <c r="D2" i="35"/>
  <c r="D2" i="36"/>
  <c r="D2" i="34"/>
  <c r="F20" i="31"/>
  <c r="D2" i="37"/>
  <c r="B20" i="31" l="1"/>
  <c r="B2" i="36"/>
  <c r="B3" i="36" s="1"/>
  <c r="B2" i="35"/>
  <c r="B3" i="35" s="1"/>
  <c r="B2" i="37"/>
  <c r="B3" i="37" s="1"/>
  <c r="B2" i="34"/>
  <c r="B3" i="34" s="1"/>
  <c r="B2" i="21"/>
  <c r="B3" i="21" s="1"/>
  <c r="B2" i="70"/>
  <c r="B3" i="70" s="1"/>
  <c r="B3" i="68"/>
  <c r="D19" i="9"/>
  <c r="C19" i="9"/>
  <c r="C20" i="9"/>
  <c r="D20"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N59" i="9" s="1"/>
  <c r="C81" i="9"/>
  <c r="N60" i="9" l="1"/>
  <c r="N61"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<sst xmlns="http://schemas.openxmlformats.org/spreadsheetml/2006/main" count="7405" uniqueCount="3120">
  <si>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</si>
  <si>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</si>
  <si>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</si>
  <si>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</si>
  <si>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</si>
  <si>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</si>
  <si>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</si>
  <si>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</si>
  <si>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</si>
  <si>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</si>
  <si>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</si>
  <si>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</si>
  <si>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</si>
  <si>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</si>
  <si>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</si>
  <si>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</si>
  <si>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</si>
  <si>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</si>
  <si>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</si>
  <si>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</si>
  <si>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</si>
  <si>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</si>
  <si>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</si>
  <si>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</si>
  <si>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</si>
  <si>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</si>
  <si>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</si>
  <si>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</si>
  <si>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</si>
  <si>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</si>
  <si>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</si>
  <si>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</si>
  <si>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</si>
  <si>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</si>
  <si>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</si>
  <si>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</si>
  <si>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</si>
  <si>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</si>
  <si>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</si>
  <si>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</si>
  <si>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</si>
  <si>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</si>
  <si>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</si>
  <si>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</si>
  <si>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</si>
  <si>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</si>
  <si>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</si>
  <si>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</si>
  <si>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</si>
  <si>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</si>
  <si>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</si>
  <si>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</si>
  <si>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</si>
  <si>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</si>
  <si>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</si>
  <si>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</si>
  <si>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</si>
  <si>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</si>
  <si>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</si>
  <si>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</si>
  <si>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</si>
  <si>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</si>
  <si>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</si>
  <si>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</si>
  <si>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</si>
  <si>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</si>
  <si>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</si>
  <si>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</si>
  <si>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</si>
  <si>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</si>
  <si>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</si>
  <si>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</si>
  <si>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</si>
  <si>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</si>
  <si>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</si>
  <si>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</si>
  <si>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</si>
  <si>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</si>
  <si>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</si>
  <si>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</si>
  <si>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</si>
  <si>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</si>
  <si>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</si>
  <si>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</si>
  <si>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</si>
  <si>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</si>
  <si>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</si>
  <si>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</si>
  <si>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</si>
  <si>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</si>
  <si>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</si>
  <si>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</si>
  <si>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</si>
  <si>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</si>
  <si>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</si>
  <si>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</si>
  <si>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</si>
  <si>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</si>
  <si>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</si>
  <si>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</si>
  <si>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</si>
  <si>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</si>
  <si>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</si>
  <si>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</si>
  <si>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</si>
  <si>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</si>
  <si>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</si>
  <si>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</si>
  <si>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</si>
  <si>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</si>
  <si>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</si>
  <si>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</si>
  <si>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</si>
  <si>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</si>
  <si>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</si>
  <si>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</si>
  <si>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</si>
  <si>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</si>
  <si>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</si>
  <si>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</si>
  <si>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</si>
  <si>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</si>
  <si>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</si>
  <si>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</si>
  <si>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</si>
  <si>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</si>
  <si>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</si>
  <si>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</si>
  <si>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</si>
  <si>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</si>
  <si>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</si>
  <si>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</si>
  <si>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</si>
  <si>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</si>
  <si>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</si>
  <si>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</si>
  <si>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</si>
  <si>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</si>
  <si>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</si>
  <si>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</si>
  <si>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</si>
  <si>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</si>
  <si>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</si>
  <si>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</si>
  <si>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</si>
  <si>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</si>
  <si>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</si>
  <si>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</si>
  <si>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</si>
  <si>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</si>
  <si>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</si>
  <si>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</si>
  <si>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</si>
  <si>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</si>
  <si>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</si>
  <si>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</si>
  <si>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</si>
  <si>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</si>
  <si>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</si>
  <si>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</si>
  <si>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</si>
  <si>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</si>
  <si>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</si>
  <si>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</si>
  <si>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</si>
  <si>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</si>
  <si>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</si>
  <si>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</si>
  <si>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</si>
  <si>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</si>
  <si>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</si>
  <si>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</si>
  <si>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</si>
  <si>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</si>
  <si>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</si>
  <si>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</si>
  <si>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</si>
  <si>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</si>
  <si>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</si>
  <si>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</si>
  <si>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</si>
  <si>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</si>
  <si>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</si>
  <si>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</si>
  <si>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</si>
  <si>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</si>
  <si>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</si>
  <si>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</si>
  <si>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</si>
  <si>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</si>
  <si>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</si>
  <si>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</si>
  <si>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</si>
  <si>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</si>
  <si>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</si>
  <si>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</si>
  <si>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</si>
  <si>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</si>
  <si>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</si>
  <si>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</si>
  <si>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</si>
  <si>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</si>
  <si>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</si>
  <si>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</si>
  <si>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</si>
  <si>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</si>
  <si>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</si>
  <si>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</si>
  <si>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</si>
  <si>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</si>
  <si>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</si>
  <si>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</si>
  <si>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</si>
  <si>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</si>
  <si>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</si>
  <si>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</si>
  <si>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</si>
  <si>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</si>
  <si>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</si>
  <si>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</si>
  <si>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</si>
  <si>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</si>
  <si>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</si>
  <si>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</si>
  <si>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</si>
  <si>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</si>
  <si>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</si>
  <si>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</si>
  <si>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</si>
  <si>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</si>
  <si>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</si>
  <si>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</si>
  <si>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</si>
  <si>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</si>
  <si>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</si>
  <si>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</si>
  <si>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</si>
  <si>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</si>
  <si>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</si>
  <si>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</si>
  <si>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</si>
  <si>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</si>
  <si>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</si>
  <si>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</si>
  <si>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</si>
  <si>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</si>
  <si>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</si>
  <si>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</si>
  <si>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</si>
  <si>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</si>
  <si>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</si>
  <si>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</si>
  <si>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</si>
  <si>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</si>
  <si>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</si>
  <si>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</si>
  <si>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</si>
  <si>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</si>
  <si>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</si>
  <si>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</si>
  <si>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</si>
  <si>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</si>
  <si>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</si>
  <si>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</si>
  <si>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</si>
  <si>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</si>
  <si>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</si>
  <si>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</si>
  <si>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</si>
  <si>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</si>
  <si>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</si>
  <si>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</si>
  <si>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</si>
  <si>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</si>
  <si>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</si>
  <si>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</si>
  <si>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</si>
  <si>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</si>
  <si>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</si>
  <si>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</si>
  <si>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</si>
  <si>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</si>
  <si>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</si>
  <si>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</si>
  <si>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</si>
  <si>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</si>
  <si>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</si>
  <si>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</si>
  <si>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</si>
  <si>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</si>
  <si>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</si>
  <si>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</si>
  <si>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</si>
  <si>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</si>
  <si>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</si>
  <si>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</si>
  <si>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</si>
  <si>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</si>
  <si>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</si>
  <si>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</si>
  <si>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</si>
  <si>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</si>
  <si>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</si>
  <si>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</si>
  <si>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</si>
  <si>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</si>
  <si>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</si>
  <si>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</si>
  <si>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</si>
  <si>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</si>
  <si>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</si>
  <si>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</si>
  <si>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</si>
  <si>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</si>
  <si>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</si>
  <si>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</si>
  <si>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</si>
  <si>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</si>
  <si>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</si>
  <si>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</si>
  <si>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</si>
  <si>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</si>
  <si>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</si>
  <si>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</si>
  <si>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</si>
  <si>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</si>
  <si>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</si>
  <si>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</si>
  <si>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</si>
  <si>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</si>
  <si>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</si>
  <si>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</si>
  <si>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</si>
  <si>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</si>
  <si>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</si>
  <si>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</si>
  <si>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</si>
  <si>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</si>
  <si>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</si>
  <si>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</si>
  <si>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</si>
  <si>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</si>
  <si>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</si>
  <si>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</si>
  <si>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</si>
  <si>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</si>
  <si>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</si>
  <si>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</si>
  <si>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</si>
  <si>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</si>
  <si>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</si>
  <si>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</si>
  <si>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</si>
  <si>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</si>
  <si>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</si>
  <si>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</si>
  <si>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</si>
  <si>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</si>
  <si>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</si>
  <si>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</si>
  <si>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</si>
  <si>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</si>
  <si>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</si>
  <si>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</si>
  <si>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</si>
  <si>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</si>
  <si>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</si>
  <si>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</si>
  <si>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</si>
  <si>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</si>
  <si>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</si>
  <si>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</si>
  <si>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</si>
  <si>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</si>
  <si>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</si>
  <si>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</si>
  <si>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</si>
  <si>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</si>
  <si>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</si>
  <si>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</si>
  <si>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</si>
  <si>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</si>
  <si>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</si>
  <si>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</si>
  <si>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</si>
  <si>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</si>
  <si>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</si>
  <si>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</si>
  <si>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</si>
  <si>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</si>
  <si>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</si>
  <si>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</si>
  <si>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</si>
  <si>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</si>
  <si>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</si>
  <si>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</si>
  <si>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</si>
  <si>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</si>
  <si>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</si>
  <si>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</si>
  <si>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</si>
  <si>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</si>
  <si>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</si>
  <si>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</si>
  <si>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</si>
  <si>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</si>
  <si>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</si>
  <si>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</si>
  <si>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</si>
  <si>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</si>
  <si>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</si>
  <si>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</si>
  <si>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</si>
  <si>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</si>
  <si>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</si>
  <si>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</si>
  <si>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</si>
  <si>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</si>
  <si>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</si>
  <si>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</si>
  <si>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</si>
  <si>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</si>
  <si>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</si>
  <si>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</si>
  <si>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</si>
  <si>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</si>
  <si>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</si>
  <si>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</si>
  <si>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</si>
  <si>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</si>
  <si>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</si>
  <si>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</si>
  <si>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</si>
  <si>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</si>
  <si>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</si>
  <si>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</si>
  <si>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</si>
  <si>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</si>
  <si>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</si>
  <si>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</si>
  <si>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</si>
  <si>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</si>
  <si>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</si>
  <si>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</si>
  <si>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</si>
  <si>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</si>
  <si>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</si>
  <si>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</si>
  <si>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</si>
  <si>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</si>
  <si>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</si>
  <si>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</si>
  <si>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</si>
  <si>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</si>
  <si>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</si>
  <si>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</si>
  <si>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</si>
  <si>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</si>
  <si>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</si>
  <si>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</si>
  <si>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</si>
  <si>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</si>
  <si>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</si>
  <si>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</si>
  <si>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</si>
  <si>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</si>
  <si>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</si>
  <si>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</si>
  <si>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</si>
  <si>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</si>
  <si>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</si>
  <si>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</si>
  <si>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</si>
  <si>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</si>
  <si>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</si>
  <si>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</si>
  <si>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</si>
  <si>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</si>
  <si>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</si>
  <si>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</si>
  <si>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</si>
  <si>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</si>
  <si>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</si>
  <si>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</si>
  <si>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</si>
  <si>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</si>
  <si>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</si>
  <si>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</si>
  <si>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</si>
  <si>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</si>
  <si>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</si>
  <si>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</si>
  <si>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</si>
  <si>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</si>
  <si>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</si>
  <si>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</si>
  <si>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</si>
  <si>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</si>
  <si>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</si>
  <si>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</si>
  <si>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</si>
  <si>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</si>
  <si>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</si>
  <si>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</si>
  <si>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</si>
  <si>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</si>
  <si>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</si>
  <si>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</si>
  <si>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</si>
  <si>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</si>
  <si>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</si>
  <si>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</si>
  <si>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</si>
  <si>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</si>
  <si>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</si>
  <si>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</si>
  <si>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</si>
  <si>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</si>
  <si>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</si>
  <si>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</si>
  <si>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</si>
  <si>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</si>
  <si>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</si>
  <si>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</si>
  <si>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</si>
  <si>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</si>
  <si>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</si>
  <si>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</si>
  <si>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</si>
  <si>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</si>
  <si>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</si>
  <si>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</si>
  <si>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</si>
  <si>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</si>
  <si>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</si>
  <si>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</si>
  <si>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</si>
  <si>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</si>
  <si>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</si>
  <si>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</si>
  <si>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</si>
  <si>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</si>
  <si>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</si>
  <si>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</si>
  <si>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</si>
  <si>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</si>
  <si>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</si>
  <si>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</si>
  <si>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</si>
  <si>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</si>
  <si>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</si>
  <si>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</si>
  <si>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</si>
  <si>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</si>
  <si>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</si>
  <si>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</si>
  <si>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</si>
  <si>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</si>
  <si>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</si>
  <si>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</si>
  <si>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</si>
  <si>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</si>
  <si>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</si>
  <si>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</si>
  <si>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</si>
  <si>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</si>
  <si>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</si>
  <si>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</si>
  <si>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</si>
  <si>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</si>
  <si>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</si>
  <si>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</si>
  <si>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</si>
  <si>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</si>
  <si>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</si>
  <si>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</si>
  <si>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</si>
  <si>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</si>
  <si>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</si>
  <si>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</si>
  <si>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</si>
  <si>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</si>
  <si>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</si>
  <si>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</si>
  <si>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</si>
  <si>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</si>
  <si>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</si>
  <si>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</si>
  <si>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</si>
  <si>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</si>
  <si>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</si>
  <si>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</si>
  <si>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</si>
  <si>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</si>
  <si>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</si>
  <si>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</si>
  <si>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</si>
  <si>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</si>
  <si>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</si>
  <si>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</si>
  <si>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</si>
  <si>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</si>
  <si>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</si>
  <si>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</si>
  <si>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</si>
  <si>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</si>
  <si>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</si>
  <si>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</si>
  <si>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</si>
  <si>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</si>
  <si>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</si>
  <si>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</si>
  <si>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</si>
  <si>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</si>
  <si>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</si>
  <si>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</si>
  <si>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</si>
  <si>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</si>
  <si>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</si>
  <si>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</si>
  <si>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</si>
  <si>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</si>
  <si>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</si>
  <si>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</si>
  <si>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</si>
  <si>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</si>
  <si>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</si>
  <si>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</si>
  <si>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</si>
  <si>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</si>
  <si>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</si>
  <si>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</si>
  <si>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</si>
  <si>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</si>
  <si>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</si>
  <si>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</si>
  <si>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</si>
  <si>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</si>
  <si>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</si>
  <si>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</si>
  <si>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</si>
  <si>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</si>
  <si>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</si>
  <si>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</si>
  <si>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</si>
  <si>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</si>
  <si>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</si>
  <si>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</si>
  <si>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</si>
  <si>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</si>
  <si>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</si>
  <si>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</si>
  <si>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</si>
  <si>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</si>
  <si>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</si>
  <si>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</si>
  <si>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</si>
  <si>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</si>
  <si>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</si>
  <si>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</si>
  <si>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</si>
  <si>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</si>
  <si>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</si>
  <si>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</si>
  <si>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</si>
  <si>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</si>
  <si>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</si>
  <si>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</si>
  <si>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</si>
  <si>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</si>
  <si>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</si>
  <si>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</si>
  <si>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</si>
  <si>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</si>
  <si>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</si>
  <si>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</si>
  <si>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</si>
  <si>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</si>
  <si>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</si>
  <si>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</si>
  <si>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</si>
  <si>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</si>
  <si>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</si>
  <si>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</si>
  <si>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</si>
  <si>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</si>
  <si>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</si>
  <si>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</si>
  <si>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</si>
  <si>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</si>
  <si>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</si>
  <si>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</si>
  <si>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</si>
  <si>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</si>
  <si>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</si>
  <si>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</si>
  <si>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</si>
  <si>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</si>
  <si>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</si>
  <si>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</si>
  <si>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</si>
  <si>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</si>
  <si>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</si>
  <si>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</si>
  <si>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</si>
  <si>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</si>
  <si>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</si>
  <si>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</si>
  <si>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</si>
  <si>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</si>
  <si>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</si>
  <si>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</si>
  <si>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</si>
  <si>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</si>
  <si>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</si>
  <si>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</si>
  <si>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</si>
  <si>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</si>
  <si>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</si>
  <si>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</si>
  <si>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</si>
  <si>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</si>
  <si>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</si>
  <si>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</si>
  <si>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</si>
  <si>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</si>
  <si>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</si>
  <si>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</si>
  <si>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</si>
  <si>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</si>
  <si>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</si>
  <si>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</si>
  <si>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</si>
  <si>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</si>
  <si>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</si>
  <si>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</si>
  <si>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</si>
  <si>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</si>
  <si>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</si>
  <si>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</si>
  <si>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</si>
  <si>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</si>
  <si>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</si>
  <si>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</si>
  <si>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</si>
  <si>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</si>
  <si>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</si>
  <si>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</si>
  <si>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</si>
  <si>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</si>
  <si>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</si>
  <si>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</si>
  <si>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</si>
  <si>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</si>
  <si>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</si>
  <si>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</si>
  <si>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</si>
  <si>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</si>
  <si>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</si>
  <si>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</si>
  <si>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</si>
  <si>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</si>
  <si>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</si>
  <si>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</si>
  <si>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</si>
  <si>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</si>
  <si>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</si>
  <si>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</si>
  <si>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</si>
  <si>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</si>
  <si>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</si>
  <si>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</si>
  <si>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</si>
  <si>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</si>
  <si>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</si>
  <si>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</si>
  <si>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</si>
  <si>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</si>
  <si>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</si>
  <si>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</si>
  <si>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</si>
  <si>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</si>
  <si>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</si>
  <si>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</si>
  <si>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</si>
  <si>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</si>
  <si>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</si>
  <si>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</si>
  <si>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</si>
  <si>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</si>
  <si>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</si>
  <si>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</si>
  <si>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</si>
  <si>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</si>
  <si>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</si>
  <si>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</si>
  <si>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</si>
  <si>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</si>
  <si>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</si>
  <si>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</si>
  <si>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</si>
  <si>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</si>
  <si>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</si>
  <si>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</si>
  <si>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</si>
  <si>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</si>
  <si>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</si>
  <si>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</si>
  <si>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</si>
  <si>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</si>
  <si>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</si>
  <si>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</si>
  <si>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</si>
  <si>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</si>
  <si>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</si>
  <si>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</si>
  <si>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</si>
  <si>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</si>
  <si>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</si>
  <si>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</si>
  <si>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</si>
  <si>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</si>
  <si>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</si>
  <si>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</si>
  <si>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</si>
  <si>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</si>
  <si>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</si>
  <si>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</si>
  <si>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</si>
  <si>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</si>
  <si>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</si>
  <si>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</si>
  <si>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</si>
  <si>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</si>
  <si>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</si>
  <si>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</si>
  <si>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</si>
  <si>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</si>
  <si>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</si>
  <si>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</si>
  <si>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</si>
  <si>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</si>
  <si>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</si>
  <si>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</si>
  <si>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</si>
  <si>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</si>
  <si>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</si>
  <si>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</si>
  <si>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</si>
  <si>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</si>
  <si>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</si>
  <si>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</si>
  <si>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</si>
  <si>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</si>
  <si>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</si>
  <si>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</si>
  <si>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</si>
  <si>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</si>
  <si>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</si>
  <si>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</si>
  <si>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</si>
  <si>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</si>
  <si>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</si>
  <si>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</si>
  <si>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</si>
  <si>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</si>
  <si>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</si>
  <si>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</si>
  <si>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</si>
  <si>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</si>
  <si>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</si>
  <si>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</si>
  <si>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</si>
  <si>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</si>
  <si>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</si>
  <si>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</si>
  <si>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</si>
  <si>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</si>
  <si>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</si>
  <si>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</si>
  <si>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</si>
  <si>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</si>
  <si>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</si>
  <si>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</si>
  <si>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</si>
  <si>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</si>
  <si>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</si>
  <si>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</si>
  <si>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</si>
  <si>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</si>
  <si>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</si>
  <si>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</si>
  <si>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</si>
  <si>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</si>
  <si>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</si>
  <si>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</si>
  <si>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</si>
  <si>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</si>
  <si>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</si>
  <si>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</si>
  <si>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</si>
  <si>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</si>
  <si>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</si>
  <si>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</si>
  <si>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</si>
  <si>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</si>
  <si>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</si>
  <si>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</si>
  <si>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</si>
  <si>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</si>
  <si>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</si>
  <si>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</si>
  <si>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</si>
  <si>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</si>
  <si>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</si>
  <si>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</si>
  <si>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</si>
  <si>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</si>
  <si>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</si>
  <si>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</si>
  <si>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</si>
  <si>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</si>
  <si>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</si>
  <si>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</si>
  <si>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</si>
  <si>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</si>
  <si>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</si>
  <si>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</si>
  <si>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</si>
  <si>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</si>
  <si>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</si>
  <si>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</si>
  <si>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</si>
  <si>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</si>
  <si>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</si>
  <si>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</si>
  <si>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</si>
  <si>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</si>
  <si>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</si>
  <si>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</si>
  <si>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</si>
  <si>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</si>
  <si>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</si>
  <si>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</si>
  <si>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</si>
  <si>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</si>
  <si>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</si>
  <si>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</si>
  <si>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</si>
  <si>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</si>
  <si>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</si>
  <si>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</si>
  <si>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</si>
  <si>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</si>
  <si>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</si>
  <si>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</si>
  <si>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</si>
  <si>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</si>
  <si>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</si>
  <si>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</si>
  <si>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</si>
  <si>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</si>
  <si>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</si>
  <si>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</si>
  <si>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</si>
  <si>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</si>
  <si>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</si>
  <si>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</si>
  <si>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</si>
  <si>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</si>
  <si>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</si>
  <si>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</si>
  <si>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</si>
  <si>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</si>
  <si>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</si>
  <si>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</si>
  <si>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</si>
  <si>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</si>
  <si>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</si>
  <si>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</si>
  <si>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</si>
  <si>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</si>
  <si>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</si>
  <si>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</si>
  <si>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</si>
  <si>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</si>
  <si>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</si>
  <si>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</si>
  <si>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</si>
  <si>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</si>
  <si>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</si>
  <si>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</si>
  <si>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</si>
  <si>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</si>
  <si>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</si>
  <si>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</si>
  <si>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</si>
  <si>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</si>
  <si>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</si>
  <si>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</si>
  <si>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</si>
  <si>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</si>
  <si>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</si>
  <si>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</si>
  <si>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</si>
  <si>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</si>
  <si>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</si>
  <si>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</si>
  <si>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</si>
  <si>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</si>
  <si>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</si>
  <si>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</si>
  <si>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</si>
  <si>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</si>
  <si>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</si>
  <si>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</si>
  <si>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</si>
  <si>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</si>
  <si>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</si>
  <si>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</si>
  <si>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</si>
  <si>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</si>
  <si>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</si>
  <si>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</si>
  <si>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</si>
  <si>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</si>
  <si>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</si>
  <si>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</si>
  <si>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</si>
  <si>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</si>
  <si>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</si>
  <si>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</si>
  <si>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</si>
  <si>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</si>
  <si>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</si>
  <si>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</si>
  <si>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</si>
  <si>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</si>
  <si>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</si>
  <si>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</si>
  <si>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</si>
  <si>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</si>
  <si>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</si>
  <si>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</si>
  <si>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</si>
  <si>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</si>
  <si>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</si>
  <si>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</si>
  <si>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</si>
  <si>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</si>
  <si>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</si>
  <si>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</si>
  <si>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</si>
  <si>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</si>
  <si>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</si>
  <si>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</si>
  <si>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</si>
  <si>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</si>
  <si>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</si>
  <si>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</si>
  <si>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</si>
  <si>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</si>
  <si>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</si>
  <si>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</si>
  <si>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</si>
  <si>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</si>
  <si>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</si>
  <si>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</si>
  <si>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</si>
  <si>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</si>
  <si>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</si>
  <si>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</si>
  <si>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</si>
  <si>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</si>
  <si>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</si>
  <si>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</si>
  <si>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</si>
  <si>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</si>
  <si>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</si>
  <si>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</si>
  <si>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</si>
  <si>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</si>
  <si>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</si>
  <si>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</si>
  <si>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</si>
  <si>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</si>
  <si>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</si>
  <si>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</si>
  <si>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</si>
  <si>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</si>
  <si>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</si>
  <si>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</si>
  <si>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</si>
  <si>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</si>
  <si>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</si>
  <si>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</si>
  <si>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</si>
  <si>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</si>
  <si>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</si>
  <si>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</si>
  <si>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</si>
  <si>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</si>
  <si>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</si>
  <si>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</si>
  <si>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</si>
  <si>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</si>
  <si>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</si>
  <si>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</si>
  <si>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</si>
  <si>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</si>
  <si>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</si>
  <si>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</si>
  <si>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</si>
  <si>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</si>
  <si>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</si>
  <si>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</si>
  <si>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</si>
  <si>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</si>
  <si>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</si>
  <si>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</si>
  <si>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</si>
  <si>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</si>
  <si>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</si>
  <si>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</si>
  <si>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</si>
  <si>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</si>
  <si>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</si>
  <si>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</si>
  <si>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</si>
  <si>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</si>
  <si>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</si>
  <si>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</si>
  <si>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</si>
  <si>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</si>
  <si>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</si>
  <si>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</si>
  <si>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</si>
  <si>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</si>
  <si>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</si>
  <si>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</si>
  <si>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</si>
  <si>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</si>
  <si>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</si>
  <si>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</si>
  <si>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</si>
  <si>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</si>
  <si>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</si>
  <si>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</si>
  <si>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</si>
  <si>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</si>
  <si>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</si>
  <si>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</si>
  <si>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</si>
  <si>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</si>
  <si>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</si>
  <si>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</si>
  <si>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</si>
  <si>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</si>
  <si>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</si>
  <si>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</si>
  <si>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</si>
  <si>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</si>
  <si>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</si>
  <si>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</si>
  <si>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</si>
  <si>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</si>
  <si>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</si>
  <si>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</si>
  <si>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</si>
  <si>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</si>
  <si>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</si>
  <si>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</si>
  <si>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</si>
  <si>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</si>
  <si>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</si>
  <si>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</si>
  <si>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</si>
  <si>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</si>
  <si>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</si>
  <si>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</si>
  <si>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</si>
  <si>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</si>
  <si>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</si>
  <si>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</si>
  <si>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</si>
  <si>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</si>
  <si>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</si>
  <si>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</si>
  <si>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</si>
  <si>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</si>
  <si>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</si>
  <si>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</si>
  <si>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</si>
  <si>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</si>
  <si>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</si>
  <si>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</si>
  <si>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</si>
  <si>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</si>
  <si>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</si>
  <si>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</si>
  <si>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</si>
  <si>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</si>
  <si>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</si>
  <si>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</si>
  <si>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</si>
  <si>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</si>
  <si>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</si>
  <si>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</si>
  <si>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</si>
  <si>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</si>
  <si>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</si>
  <si>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</si>
  <si>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</si>
  <si>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</si>
  <si>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</si>
  <si>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</si>
  <si>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</si>
  <si>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</si>
  <si>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</si>
  <si>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</si>
  <si>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</si>
  <si>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</si>
  <si>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</si>
  <si>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</si>
  <si>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</si>
  <si>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</si>
  <si>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</si>
  <si>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</si>
  <si>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</si>
  <si>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</si>
  <si>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</si>
  <si>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</si>
  <si>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</si>
  <si>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</si>
  <si>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</si>
  <si>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</si>
  <si>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</si>
  <si>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</si>
  <si>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</si>
  <si>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</si>
  <si>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</si>
  <si>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</si>
  <si>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</si>
  <si>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</si>
  <si>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</si>
  <si>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</si>
  <si>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</si>
  <si>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</si>
  <si>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</si>
  <si>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</si>
  <si>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</si>
  <si>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</si>
  <si>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</si>
  <si>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</si>
  <si>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</si>
  <si>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</si>
  <si>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</si>
  <si>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</si>
  <si>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</si>
  <si>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</si>
  <si>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</si>
  <si>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</si>
  <si>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</si>
  <si>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</si>
  <si>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</si>
  <si>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</si>
  <si>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</si>
  <si>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</si>
  <si>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</si>
  <si>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</si>
  <si>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</si>
  <si>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</si>
  <si>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</si>
  <si>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</si>
  <si>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</si>
  <si>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</si>
  <si>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</si>
  <si>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</si>
  <si>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</si>
  <si>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</si>
  <si>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</si>
  <si>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</si>
  <si>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</si>
  <si>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</si>
  <si>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</si>
  <si>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</si>
  <si>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</si>
  <si>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</si>
  <si>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</si>
  <si>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</si>
  <si>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</si>
  <si>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</si>
  <si>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</si>
  <si>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</si>
  <si>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</si>
  <si>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</si>
  <si>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</si>
  <si>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</si>
  <si>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</si>
  <si>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</si>
  <si>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</si>
  <si>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</si>
  <si>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</si>
  <si>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</si>
  <si>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</si>
  <si>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</si>
  <si>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</si>
  <si>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</si>
  <si>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</si>
  <si>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</si>
  <si>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</si>
  <si>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</si>
  <si>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</si>
  <si>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</si>
  <si>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</si>
  <si>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</si>
  <si>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</si>
  <si>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</si>
  <si>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</si>
  <si>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</si>
  <si>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</si>
  <si>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</si>
  <si>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</si>
  <si>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</si>
  <si>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</si>
  <si>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</si>
  <si>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</si>
  <si>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</si>
  <si>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</si>
  <si>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</si>
  <si>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</si>
  <si>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</si>
  <si>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</si>
  <si>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</si>
  <si>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</si>
  <si>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</si>
  <si>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</si>
  <si>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</si>
  <si>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</si>
  <si>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</si>
  <si>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</si>
  <si>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</si>
  <si>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</si>
  <si>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</si>
  <si>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</si>
  <si>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</si>
  <si>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</si>
  <si>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</si>
  <si>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</si>
  <si>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</si>
  <si>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</si>
  <si>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</si>
  <si>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</si>
  <si>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</si>
  <si>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</si>
  <si>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</si>
  <si>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</si>
  <si>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</si>
  <si>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</si>
  <si>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</si>
  <si>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</si>
  <si>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</si>
  <si>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</si>
  <si>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</si>
  <si>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</si>
  <si>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</si>
  <si>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</si>
  <si>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</si>
  <si>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</si>
  <si>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</si>
  <si>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</si>
  <si>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</si>
  <si>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</si>
  <si>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</si>
  <si>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</si>
  <si>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</si>
  <si>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</si>
  <si>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</si>
  <si>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</si>
  <si>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</si>
  <si>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</si>
  <si>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</si>
  <si>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</si>
  <si>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</si>
  <si>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</si>
  <si>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</si>
  <si>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</si>
  <si>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</si>
  <si>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</si>
  <si>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</si>
  <si>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</si>
  <si>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</si>
  <si>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</si>
  <si>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</si>
  <si>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</si>
  <si>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</si>
  <si>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</si>
  <si>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</si>
  <si>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</si>
  <si>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</si>
  <si>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</si>
  <si>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</si>
  <si>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</si>
  <si>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</si>
  <si>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</si>
  <si>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</si>
  <si>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</si>
  <si>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</si>
  <si>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</si>
  <si>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</si>
  <si>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</si>
  <si>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</si>
  <si>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</si>
  <si>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</si>
  <si>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</si>
  <si>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</si>
  <si>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</si>
  <si>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</si>
  <si>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</si>
  <si>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</si>
  <si>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</si>
  <si>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</si>
  <si>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</si>
  <si>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</si>
  <si>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</si>
  <si>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</si>
  <si>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</si>
  <si>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</si>
  <si>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</si>
  <si>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</si>
  <si>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</si>
  <si>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</si>
  <si>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</si>
  <si>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</si>
  <si>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</si>
  <si>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</si>
  <si>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</si>
  <si>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</si>
  <si>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</si>
  <si>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</si>
  <si>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</si>
  <si>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</si>
  <si>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</si>
  <si>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</si>
  <si>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</si>
  <si>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</si>
  <si>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</si>
  <si>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</si>
  <si>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</si>
  <si>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</si>
  <si>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</si>
  <si>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</si>
  <si>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</si>
  <si>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</si>
  <si>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</si>
  <si>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</si>
  <si>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</si>
  <si>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</si>
  <si>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</si>
  <si>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</si>
  <si>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</si>
  <si>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</si>
  <si>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</si>
  <si>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</si>
  <si>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</si>
  <si>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</si>
  <si>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</si>
  <si>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</si>
  <si>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</si>
  <si>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</si>
  <si>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</si>
  <si>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</si>
  <si>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</si>
  <si>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</si>
  <si>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</si>
  <si>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</si>
  <si>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</si>
  <si>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</si>
  <si>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</si>
  <si>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</si>
  <si>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</si>
  <si>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</si>
  <si>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</si>
  <si>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</si>
  <si>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</si>
  <si>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</si>
  <si>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</si>
  <si>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</si>
  <si>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</si>
  <si>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</si>
  <si>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</si>
  <si>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</si>
  <si>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</si>
  <si>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</si>
  <si>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</si>
  <si>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</si>
  <si>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</si>
  <si>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</si>
  <si>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</si>
  <si>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</si>
  <si>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</si>
  <si>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</si>
  <si>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</si>
  <si>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</si>
  <si>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</si>
  <si>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</si>
  <si>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</si>
  <si>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</si>
  <si>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</si>
  <si>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</si>
  <si>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</si>
  <si>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</si>
  <si>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</si>
  <si>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</si>
  <si>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</si>
  <si>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</si>
  <si>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</si>
  <si>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</si>
  <si>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</si>
  <si>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</si>
  <si>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</si>
  <si>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</si>
  <si>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</si>
  <si>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</si>
  <si>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</si>
  <si>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</si>
  <si>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</si>
  <si>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</si>
  <si>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</si>
  <si>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</si>
  <si>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</si>
  <si>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</si>
  <si>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</si>
  <si>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</si>
  <si>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</si>
  <si>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</si>
  <si>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</si>
  <si>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</si>
  <si>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</si>
  <si>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</si>
  <si>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</si>
  <si>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</si>
  <si>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</si>
  <si>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</si>
  <si>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</si>
  <si>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</si>
  <si>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</si>
  <si>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</si>
  <si>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</si>
  <si>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</si>
  <si>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</si>
  <si>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</si>
  <si>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</si>
  <si>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</si>
  <si>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</si>
  <si>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</si>
  <si>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</si>
  <si>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</si>
  <si>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</si>
  <si>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</si>
  <si>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</si>
  <si>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</si>
  <si>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</si>
  <si>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</si>
  <si>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</si>
  <si>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</si>
  <si>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</si>
  <si>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</si>
  <si>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</si>
  <si>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</si>
  <si>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</si>
  <si>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</si>
  <si>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</si>
  <si>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</si>
  <si>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</si>
  <si>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</si>
  <si>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</si>
  <si>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</si>
  <si>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</si>
  <si>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</si>
  <si>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</si>
  <si>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</si>
  <si>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</si>
  <si>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</si>
  <si>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</si>
  <si>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</si>
  <si>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</si>
  <si>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</si>
  <si>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</si>
  <si>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</si>
  <si>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</si>
  <si>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</si>
  <si>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</si>
  <si>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</si>
  <si>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</si>
  <si>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</si>
  <si>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</si>
  <si>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</si>
  <si>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</si>
  <si>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</si>
  <si>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</si>
  <si>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</si>
  <si>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</si>
  <si>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</si>
  <si>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</si>
  <si>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</si>
  <si>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</si>
  <si>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</si>
  <si>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</si>
  <si>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</si>
  <si>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</si>
  <si>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</si>
  <si>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</si>
  <si>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</si>
  <si>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</si>
  <si>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</si>
  <si>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</si>
  <si>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</si>
  <si>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</si>
  <si>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</si>
  <si>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</si>
  <si>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</si>
  <si>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</si>
  <si>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</si>
  <si>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</si>
  <si>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</si>
  <si>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</si>
  <si>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</si>
  <si>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</si>
  <si>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</si>
  <si>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</si>
  <si>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</si>
  <si>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</si>
  <si>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</si>
  <si>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</si>
  <si>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</si>
  <si>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</si>
  <si>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</si>
  <si>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</si>
  <si>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</si>
  <si>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</si>
  <si>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</si>
  <si>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</si>
  <si>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</si>
  <si>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</si>
  <si>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</si>
  <si>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</si>
  <si>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</si>
  <si>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</si>
  <si>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</si>
  <si>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</si>
  <si>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</si>
  <si>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</si>
  <si>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</si>
  <si>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</si>
  <si>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</si>
  <si>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</si>
  <si>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</si>
  <si>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</si>
  <si>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</si>
  <si>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</si>
  <si>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</si>
  <si>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</si>
  <si>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</si>
  <si>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</si>
  <si>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</si>
  <si>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</si>
  <si>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</si>
  <si>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</si>
  <si>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</si>
  <si>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</si>
  <si>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</si>
  <si>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</si>
  <si>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</si>
  <si>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</si>
  <si>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</si>
  <si>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</si>
  <si>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</si>
  <si>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</si>
  <si>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</si>
  <si>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</si>
  <si>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</si>
  <si>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</si>
  <si>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</si>
  <si>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</si>
  <si>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</si>
  <si>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</si>
  <si>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</si>
  <si>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</si>
  <si>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</si>
  <si>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</si>
  <si>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</si>
  <si>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</si>
  <si>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</si>
  <si>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</si>
  <si>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</si>
  <si>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</si>
  <si>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</si>
  <si>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</si>
  <si>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</si>
  <si>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</si>
  <si>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</si>
  <si>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</si>
  <si>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</si>
  <si>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</si>
  <si>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</si>
  <si>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</si>
  <si>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</si>
  <si>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</si>
  <si>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</si>
  <si>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</si>
  <si>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</si>
  <si>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</si>
  <si>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</si>
  <si>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</si>
  <si>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</si>
  <si>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</si>
  <si>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</si>
  <si>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</si>
  <si>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</si>
  <si>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</si>
  <si>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</si>
  <si>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</si>
  <si>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</si>
  <si>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</si>
  <si>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</si>
  <si>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</si>
  <si>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</si>
  <si>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</si>
  <si>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</si>
  <si>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</si>
  <si>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</si>
  <si>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</si>
  <si>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</si>
  <si>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</si>
  <si>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</si>
  <si>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</si>
  <si>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</si>
  <si>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</si>
  <si>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</si>
  <si>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</si>
  <si>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</si>
  <si>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</si>
  <si>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</si>
  <si>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</si>
  <si>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</si>
  <si>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</si>
  <si>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</si>
  <si>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</si>
  <si>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</si>
  <si>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</si>
  <si>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</si>
  <si>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</si>
  <si>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</si>
  <si>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</si>
  <si>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</si>
  <si>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</si>
  <si>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</si>
  <si>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</si>
  <si>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</si>
  <si>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</si>
  <si>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</si>
  <si>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</si>
  <si>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</si>
  <si>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</si>
  <si>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</si>
  <si>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</si>
  <si>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</si>
  <si>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</si>
  <si>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</si>
  <si>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</si>
  <si>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</si>
  <si>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</si>
  <si>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</si>
  <si>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</si>
  <si>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</si>
  <si>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</si>
  <si>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</si>
  <si>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</si>
  <si>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</si>
  <si>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</si>
  <si>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</si>
  <si>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</si>
  <si>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</si>
  <si>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</si>
  <si>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</si>
  <si>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</si>
  <si>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</si>
  <si>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</si>
  <si>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</si>
  <si>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</si>
  <si>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</si>
  <si>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</si>
  <si>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</si>
  <si>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</si>
  <si>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</si>
  <si>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</si>
  <si>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</si>
  <si>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</si>
  <si>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</si>
  <si>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</si>
  <si>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</si>
  <si>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</si>
  <si>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</si>
  <si>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</si>
  <si>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</si>
  <si>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</si>
  <si>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</si>
  <si>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</si>
  <si>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</si>
  <si>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</si>
  <si>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</si>
  <si>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</si>
  <si>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</si>
  <si>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</si>
  <si>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</si>
  <si>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</si>
  <si>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</si>
  <si>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</si>
  <si>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</si>
  <si>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</si>
  <si>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</si>
  <si>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</si>
  <si>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</si>
  <si>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</si>
  <si>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</si>
  <si>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</si>
  <si>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</si>
  <si>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</si>
  <si>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</si>
  <si>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</si>
  <si>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</si>
  <si>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</si>
  <si>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</si>
  <si>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</si>
  <si>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</si>
  <si>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</si>
  <si>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</si>
  <si>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</si>
  <si>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</si>
  <si>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</si>
  <si>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</si>
  <si>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</si>
  <si>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</si>
  <si>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</si>
  <si>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</si>
  <si>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</si>
  <si>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</si>
  <si>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</si>
  <si>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</si>
  <si>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</si>
  <si>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</si>
  <si>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</si>
  <si>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</si>
  <si>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</si>
  <si>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</si>
  <si>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</si>
  <si>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</si>
  <si>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</si>
  <si>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</si>
  <si>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</si>
  <si>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</si>
  <si>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</si>
  <si>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</si>
  <si>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</si>
  <si>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</si>
  <si>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</si>
  <si>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</si>
  <si>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</si>
  <si>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</si>
  <si>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</si>
  <si>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</si>
  <si>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</si>
  <si>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</si>
  <si>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</si>
  <si>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</si>
  <si>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</si>
  <si>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</si>
  <si>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</si>
  <si>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</si>
  <si>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</si>
  <si>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</si>
  <si>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</si>
  <si>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</si>
  <si>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</si>
  <si>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</si>
  <si>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</si>
  <si>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</si>
  <si>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</si>
  <si>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</si>
  <si>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</si>
  <si>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</si>
  <si>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</si>
  <si>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</si>
  <si>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</si>
  <si>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</si>
  <si>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</si>
  <si>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</si>
  <si>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</si>
  <si>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</si>
  <si>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</si>
  <si>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</si>
  <si>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</si>
  <si>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</si>
  <si>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</si>
  <si>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</si>
  <si>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</si>
  <si>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</si>
  <si>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</si>
  <si>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</si>
  <si>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</si>
  <si>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</si>
  <si>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</si>
  <si>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</si>
  <si>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</si>
  <si>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</si>
  <si>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</si>
  <si>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</si>
  <si>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</si>
  <si>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</si>
  <si>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</si>
  <si>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</si>
  <si>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</si>
  <si>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</si>
  <si>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</si>
  <si>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</si>
  <si>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</si>
  <si>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</si>
  <si>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</si>
  <si>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</si>
  <si>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</si>
  <si>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</si>
  <si>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</si>
  <si>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</si>
  <si>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</si>
  <si>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</si>
  <si>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</si>
  <si>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</si>
  <si>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</si>
  <si>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</si>
  <si>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</si>
  <si>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</si>
  <si>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</si>
  <si>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</si>
  <si>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</si>
  <si>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</si>
  <si>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</si>
  <si>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</si>
  <si>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</si>
  <si>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</si>
  <si>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</si>
  <si>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</si>
  <si>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</si>
  <si>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</si>
  <si>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</si>
  <si>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</si>
  <si>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</si>
  <si>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</si>
  <si>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</si>
  <si>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</si>
  <si>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</si>
  <si>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</si>
  <si>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</si>
  <si>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</si>
  <si>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</si>
  <si>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</si>
  <si>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</si>
  <si>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</si>
  <si>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</si>
  <si>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</si>
  <si>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</si>
  <si>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</si>
  <si>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</si>
  <si>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</si>
  <si>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</si>
  <si>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</si>
  <si>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</si>
  <si>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</si>
  <si>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</si>
  <si>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</si>
  <si>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</si>
  <si>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</si>
  <si>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</si>
  <si>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</si>
  <si>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</si>
  <si>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</si>
  <si>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</si>
  <si>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</si>
  <si>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</si>
  <si>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</si>
  <si>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</si>
  <si>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</si>
  <si>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</si>
  <si>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</si>
  <si>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</si>
  <si>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</si>
  <si>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</si>
  <si>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</si>
  <si>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</si>
  <si>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</si>
  <si>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</si>
  <si>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</si>
  <si>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</si>
  <si>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</si>
  <si>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</si>
  <si>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</si>
  <si>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</si>
  <si>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</si>
  <si>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</si>
  <si>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</si>
  <si>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</si>
  <si>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</si>
  <si>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</si>
  <si>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</si>
  <si>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</si>
  <si>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</si>
  <si>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</si>
  <si>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</si>
  <si>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</si>
  <si>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</si>
  <si>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</si>
  <si>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</si>
  <si>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</si>
  <si>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</si>
  <si>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</si>
  <si>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</si>
  <si>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</si>
  <si>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</si>
  <si>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</si>
  <si>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</si>
  <si>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</si>
  <si>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</si>
  <si>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</si>
  <si>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</si>
  <si>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</si>
  <si>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</si>
  <si>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</si>
  <si>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</si>
  <si>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</si>
  <si>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</si>
  <si>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</si>
  <si>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</si>
  <si>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</si>
  <si>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</si>
  <si>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</si>
  <si>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</si>
  <si>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</si>
  <si>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</si>
  <si>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</si>
  <si>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</si>
  <si>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</si>
  <si>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</si>
  <si>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</si>
  <si>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</si>
  <si>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</si>
  <si>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</si>
  <si>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</si>
  <si>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</si>
  <si>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</si>
  <si>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</si>
  <si>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</si>
  <si>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</si>
  <si>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</si>
  <si>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</si>
  <si>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</si>
  <si>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</si>
  <si>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</si>
  <si>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</si>
  <si>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</si>
  <si>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</si>
  <si>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</si>
  <si>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</si>
  <si>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</si>
  <si>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</si>
  <si>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</si>
  <si>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</si>
  <si>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</si>
  <si>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</si>
  <si>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</si>
  <si>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</si>
  <si>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</si>
  <si>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</si>
  <si>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</si>
  <si>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</si>
  <si>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</si>
  <si>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</si>
  <si>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</si>
  <si>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</si>
  <si>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</si>
  <si>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</si>
  <si>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</si>
  <si>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</si>
  <si>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</si>
  <si>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</si>
  <si>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</si>
  <si>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</si>
  <si>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</si>
  <si>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</si>
  <si>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</si>
  <si>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</si>
  <si>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</si>
  <si>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</si>
  <si>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</si>
  <si>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</si>
  <si>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</si>
  <si>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</si>
  <si>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</si>
  <si>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</si>
  <si>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</si>
  <si>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</si>
  <si>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</si>
  <si>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</si>
  <si>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</si>
  <si>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</si>
  <si>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</si>
  <si>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</si>
  <si>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</si>
  <si>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</si>
  <si>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</si>
  <si>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</si>
  <si>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</si>
  <si>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</si>
  <si>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</si>
  <si>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</si>
  <si>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</si>
  <si>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</si>
  <si>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</si>
  <si>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</si>
  <si>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</si>
  <si>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</si>
  <si>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</si>
  <si>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</si>
  <si>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</si>
  <si>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</si>
  <si>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</si>
  <si>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</si>
  <si>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</si>
  <si>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</si>
  <si>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</si>
  <si>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</si>
  <si>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</si>
  <si>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</si>
  <si>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</si>
  <si>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</si>
  <si>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</si>
  <si>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</si>
  <si>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</si>
  <si>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</si>
  <si>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</si>
  <si>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</si>
  <si>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</si>
  <si>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</si>
  <si>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</si>
  <si>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</si>
  <si>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</si>
  <si>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</si>
  <si>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</si>
  <si>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</si>
  <si>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</si>
  <si>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</si>
  <si>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</si>
  <si>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</si>
  <si>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</si>
  <si>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</si>
  <si>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</si>
  <si>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</si>
  <si>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</si>
  <si>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</si>
  <si>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</si>
  <si>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</si>
  <si>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</si>
  <si>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</si>
  <si>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</si>
  <si>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</si>
  <si>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</si>
  <si>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</si>
  <si>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</si>
  <si>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</si>
  <si>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</si>
  <si>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</si>
  <si>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</si>
  <si>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</si>
  <si>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</si>
  <si>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</si>
  <si>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</si>
  <si>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</si>
  <si>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</si>
  <si>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</si>
  <si>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</si>
  <si>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</si>
  <si>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</si>
  <si>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</si>
  <si>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</si>
  <si>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</si>
  <si>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</si>
  <si>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</si>
  <si>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</si>
  <si>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</si>
  <si>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</si>
  <si>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</si>
  <si>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</si>
  <si>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</si>
  <si>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</si>
  <si>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</si>
  <si>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</si>
  <si>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</si>
  <si>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</si>
  <si>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</si>
  <si>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</si>
  <si>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</si>
  <si>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</si>
  <si>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</si>
  <si>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</si>
  <si>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</si>
  <si>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</si>
  <si>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</si>
  <si>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</si>
  <si>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</si>
  <si>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</si>
  <si>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</si>
  <si>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</si>
  <si>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</si>
  <si>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</si>
  <si>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</si>
  <si>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</si>
  <si>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</si>
  <si>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</si>
  <si>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</si>
  <si>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</si>
  <si>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</si>
  <si>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</si>
  <si>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</si>
  <si>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</si>
  <si>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</si>
  <si>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</si>
  <si>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</si>
  <si>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</si>
  <si>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</si>
  <si>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</si>
  <si>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</si>
  <si>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</si>
  <si>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</si>
  <si>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</si>
  <si>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</si>
  <si>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</si>
  <si>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</si>
  <si>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</si>
  <si>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</si>
  <si>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</si>
  <si>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</si>
  <si>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</si>
  <si>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</si>
  <si>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</si>
  <si>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</si>
  <si>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</si>
  <si>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</si>
  <si>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</si>
  <si>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</si>
  <si>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</si>
  <si>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</si>
  <si>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</si>
  <si>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</si>
  <si>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</si>
  <si>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</si>
  <si>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</si>
  <si>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</si>
  <si>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</si>
  <si>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</si>
  <si>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</si>
  <si>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</si>
  <si>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</si>
  <si>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</si>
  <si>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</si>
  <si>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</si>
  <si>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</si>
  <si>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</si>
  <si>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</si>
  <si>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</si>
  <si>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</si>
  <si>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</si>
  <si>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</si>
  <si>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</si>
  <si>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</si>
  <si>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</si>
  <si>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</si>
  <si>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</si>
  <si>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</si>
  <si>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</si>
  <si>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</si>
  <si>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</si>
  <si>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</si>
  <si>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</si>
  <si>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</si>
  <si>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</si>
  <si>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</si>
  <si>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</si>
  <si>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</si>
  <si>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</si>
  <si>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</si>
  <si>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</si>
  <si>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</si>
  <si>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</si>
  <si>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</si>
  <si>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</si>
  <si>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</si>
  <si>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</si>
  <si>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</si>
  <si>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</si>
  <si>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</si>
  <si>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</si>
  <si>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</si>
  <si>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</si>
  <si>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</si>
  <si>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</si>
  <si>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</si>
  <si>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</si>
  <si>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</si>
  <si>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</si>
  <si>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</si>
  <si>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</si>
  <si>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</si>
  <si>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</si>
  <si>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</si>
  <si>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</si>
  <si>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</si>
  <si>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</si>
  <si>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</si>
  <si>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</si>
  <si>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</si>
  <si>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</si>
  <si>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</si>
  <si>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</si>
  <si>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</si>
  <si>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</si>
  <si>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</si>
  <si>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</si>
  <si>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</si>
  <si>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</si>
  <si>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</si>
  <si>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</si>
  <si>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</si>
  <si>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</si>
  <si>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</si>
  <si>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</si>
  <si>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</si>
  <si>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</si>
  <si>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</si>
  <si>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</si>
  <si>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</si>
  <si>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</si>
  <si>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</si>
  <si>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</si>
  <si>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</si>
  <si>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</si>
  <si>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</si>
  <si>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</si>
  <si>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</si>
  <si>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</si>
  <si>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</si>
  <si>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</si>
  <si>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</si>
  <si>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</si>
  <si>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</si>
  <si>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</si>
  <si>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</si>
  <si>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</si>
  <si>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</si>
  <si>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</si>
  <si>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</si>
  <si>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</si>
  <si>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</si>
  <si>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</si>
  <si>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</si>
  <si>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</si>
  <si>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</si>
  <si>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</si>
  <si>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</si>
  <si>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</si>
  <si>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</si>
  <si>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</si>
  <si>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</si>
  <si>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</si>
  <si>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</si>
  <si>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</si>
  <si>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</si>
  <si>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</si>
  <si>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</si>
  <si>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</si>
  <si>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</si>
  <si>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</si>
  <si>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</si>
  <si>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</si>
  <si>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</si>
  <si>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</si>
  <si>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</si>
  <si>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</si>
  <si>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</si>
  <si>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</si>
  <si>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</si>
  <si>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</si>
  <si>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</si>
  <si>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</si>
  <si>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</si>
  <si>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</si>
  <si>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</si>
  <si>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</si>
  <si>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</si>
  <si>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</si>
  <si>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</si>
  <si>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</si>
  <si>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</si>
  <si>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</si>
  <si>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</si>
  <si>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</si>
  <si>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</si>
  <si>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</si>
  <si>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</si>
  <si>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</si>
  <si>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</si>
  <si>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</si>
  <si>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</si>
  <si>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</si>
  <si>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</si>
  <si>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</si>
  <si>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</si>
  <si>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</si>
  <si>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</si>
  <si>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</si>
  <si>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</si>
  <si>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</si>
  <si>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</si>
  <si>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</si>
  <si>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</si>
  <si>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</si>
  <si>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</si>
  <si>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</si>
  <si>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</si>
  <si>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</si>
  <si>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</si>
  <si>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</si>
  <si>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</si>
  <si>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</si>
  <si>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</si>
  <si>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</si>
  <si>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</si>
  <si>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</si>
  <si>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</si>
  <si>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</si>
  <si>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</si>
  <si>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</si>
  <si>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</si>
  <si>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</si>
  <si>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</si>
  <si>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</si>
  <si>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</si>
  <si>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</si>
  <si>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</si>
  <si>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</si>
  <si>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</si>
  <si>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</si>
  <si>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</si>
  <si>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</si>
  <si>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</si>
  <si>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</si>
  <si>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</si>
  <si>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</si>
  <si>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</si>
  <si>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</si>
  <si>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</si>
  <si>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</si>
  <si>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</si>
  <si>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</si>
  <si>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</si>
  <si>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</si>
  <si>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</si>
  <si>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</si>
  <si>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</si>
  <si>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</si>
  <si>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</si>
  <si>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</si>
  <si>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</si>
  <si>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</si>
  <si>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</si>
  <si>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</si>
  <si>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</si>
  <si>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</si>
  <si>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</si>
  <si>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</si>
  <si>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</si>
  <si>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</si>
  <si>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</si>
  <si>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</si>
  <si>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</si>
  <si>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</si>
  <si>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</si>
  <si>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</si>
  <si>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</si>
  <si>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</si>
  <si>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</si>
  <si>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</si>
  <si>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</si>
  <si>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</si>
  <si>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</si>
  <si>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</si>
  <si>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</si>
  <si>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</si>
  <si>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</si>
  <si>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</si>
  <si>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</si>
  <si>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</si>
  <si>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</si>
  <si>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</si>
  <si>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</si>
  <si>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</si>
  <si>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</si>
  <si>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</si>
  <si>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</si>
  <si>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</si>
  <si>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</si>
  <si>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</si>
  <si>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</si>
  <si>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</si>
  <si>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</si>
  <si>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</si>
  <si>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</si>
  <si>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</si>
  <si>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</si>
  <si>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</si>
  <si>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</si>
  <si>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</si>
  <si>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</si>
  <si>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</si>
  <si>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</si>
  <si>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</si>
  <si>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</si>
  <si>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</si>
  <si>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</si>
  <si>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</si>
  <si>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</si>
  <si>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</si>
  <si>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</si>
  <si>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</si>
  <si>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</si>
  <si>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</si>
  <si>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</si>
  <si>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</si>
  <si>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</si>
  <si>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</si>
  <si>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</si>
  <si>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</si>
  <si>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</si>
  <si>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</si>
  <si>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</si>
  <si>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</si>
  <si>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</si>
  <si>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</si>
  <si>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</si>
  <si>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</si>
  <si>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</si>
  <si>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</si>
  <si>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</si>
  <si>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</si>
  <si>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</si>
  <si>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</si>
  <si>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</si>
  <si>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</si>
  <si>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</si>
  <si>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</si>
  <si>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</si>
  <si>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</si>
  <si>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</si>
  <si>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</si>
  <si>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</si>
  <si>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</si>
  <si>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</si>
  <si>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</si>
  <si>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</si>
  <si>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</si>
  <si>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</si>
  <si>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</si>
  <si>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</si>
  <si>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</si>
  <si>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</si>
  <si>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</si>
  <si>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</si>
  <si>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</si>
  <si>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</si>
  <si>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</si>
  <si>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</si>
  <si>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</si>
  <si>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</si>
  <si>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</si>
  <si>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</si>
  <si>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</si>
  <si>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</si>
  <si>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</si>
  <si>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</si>
  <si>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</si>
  <si>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</si>
  <si>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</si>
  <si>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</si>
  <si>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</si>
  <si>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</si>
  <si>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</si>
  <si>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</si>
  <si>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</si>
  <si>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</si>
  <si>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</si>
  <si>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</si>
  <si>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</si>
  <si>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</si>
  <si>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</si>
  <si>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</si>
  <si>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</si>
  <si>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</si>
  <si>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</si>
  <si>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</si>
  <si>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</si>
  <si>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</si>
  <si>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</si>
  <si>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</si>
  <si>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</si>
  <si>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</si>
  <si>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</si>
  <si>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</si>
  <si>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</si>
  <si>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</si>
  <si>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</si>
  <si>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</si>
  <si>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</si>
  <si>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</si>
  <si>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</si>
  <si>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</si>
  <si>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</si>
  <si>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</si>
  <si>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</si>
  <si>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</si>
  <si>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</si>
  <si>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</si>
  <si>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</si>
  <si>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</si>
  <si>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</si>
  <si>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</si>
  <si>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</si>
  <si>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</si>
  <si>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</si>
  <si>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</si>
  <si>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</si>
  <si>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</si>
  <si>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</si>
  <si>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</si>
  <si>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</si>
  <si>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</si>
  <si>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</si>
  <si>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</si>
  <si>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</si>
  <si>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</si>
  <si>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</si>
  <si>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</si>
  <si>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</si>
  <si>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</si>
  <si>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</si>
  <si>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</si>
  <si>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</si>
  <si>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</si>
  <si>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</si>
  <si>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</si>
  <si>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</si>
  <si>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</si>
  <si>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</si>
  <si>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</si>
  <si>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</si>
  <si>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</si>
  <si>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</si>
  <si>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</si>
  <si>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</si>
  <si>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</si>
  <si>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</si>
  <si>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</si>
  <si>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</si>
  <si>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</si>
  <si>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</si>
  <si>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</si>
  <si>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</si>
  <si>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</si>
  <si>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</si>
  <si>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</si>
  <si>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</si>
  <si>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</si>
  <si>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</si>
  <si>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</si>
  <si>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</si>
  <si>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</si>
  <si>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</si>
  <si>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</si>
  <si>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</si>
  <si>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</si>
  <si>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</si>
  <si>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</si>
  <si>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</si>
  <si>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</si>
  <si>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</si>
  <si>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</si>
  <si>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</si>
  <si>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</si>
  <si>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</si>
  <si>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</si>
  <si>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</si>
  <si>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</si>
  <si>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</si>
  <si>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</si>
  <si>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</si>
  <si>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</si>
  <si>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</si>
  <si>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</si>
  <si>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</si>
  <si>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</si>
  <si>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</si>
  <si>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</si>
  <si>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</si>
  <si>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</si>
  <si>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</si>
  <si>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</si>
  <si>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</si>
  <si>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</si>
  <si>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</si>
  <si>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</si>
  <si>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</si>
  <si>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</si>
  <si>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</si>
  <si>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</si>
  <si>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</si>
  <si>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</si>
  <si>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</si>
  <si>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</si>
  <si>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</si>
  <si>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</si>
  <si>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</si>
  <si>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</si>
  <si>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</si>
  <si>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</si>
  <si>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</si>
  <si>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</si>
  <si>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</si>
  <si>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</si>
  <si>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</si>
  <si>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</si>
  <si>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</si>
  <si>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</si>
  <si>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</si>
  <si>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</si>
  <si>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</si>
  <si>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</si>
  <si>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</si>
  <si>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</si>
  <si>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</si>
  <si>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</si>
  <si>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</si>
  <si>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</si>
  <si>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</si>
  <si>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</si>
  <si>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</si>
  <si>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</si>
  <si>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</si>
  <si>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</si>
  <si>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</si>
  <si>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</si>
  <si>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</si>
  <si>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</si>
  <si>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</si>
  <si>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</si>
  <si>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</si>
  <si>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</si>
  <si>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</si>
  <si>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</si>
  <si>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</si>
  <si>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</si>
  <si>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</si>
  <si>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</si>
  <si>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</si>
  <si>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</si>
  <si>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</si>
  <si>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</si>
  <si>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</si>
  <si>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</si>
  <si>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</si>
  <si>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</si>
  <si>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</si>
  <si>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</si>
  <si>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</si>
  <si>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</si>
  <si>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</si>
  <si>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</si>
  <si>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</si>
  <si>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</si>
  <si>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</si>
  <si>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</si>
  <si>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</si>
  <si>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</si>
  <si>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</si>
  <si>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</si>
  <si>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</si>
  <si>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</si>
  <si>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</si>
  <si>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</si>
  <si>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</si>
  <si>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</si>
  <si>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</si>
  <si>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</si>
  <si>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</si>
  <si>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</si>
  <si>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</si>
  <si>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</si>
  <si>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</si>
  <si>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</si>
  <si>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</si>
  <si>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</si>
  <si>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</si>
  <si>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</si>
  <si>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</si>
  <si>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</si>
  <si>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</si>
  <si>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</si>
  <si>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</si>
  <si>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</si>
  <si>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</si>
  <si>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</si>
  <si>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</si>
  <si>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</si>
  <si>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</si>
  <si>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</si>
  <si>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</si>
  <si>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</si>
  <si>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</si>
  <si>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</si>
  <si>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</si>
  <si>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</si>
  <si>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</si>
  <si>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</si>
  <si>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</si>
  <si>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</si>
  <si>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</si>
  <si>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</si>
  <si>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</si>
  <si>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</si>
  <si>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</si>
  <si>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</si>
  <si>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</si>
  <si>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</si>
  <si>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</si>
  <si>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</si>
  <si>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</si>
  <si>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</si>
  <si>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</si>
  <si>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</si>
  <si>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</si>
  <si>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</si>
  <si>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</si>
  <si>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</si>
  <si>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</si>
  <si>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</si>
  <si>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</si>
  <si>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</si>
  <si>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</si>
  <si>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</si>
  <si>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</si>
  <si>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</si>
  <si>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</si>
  <si>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</si>
  <si>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</si>
  <si>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</si>
  <si>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</si>
  <si>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</si>
  <si>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</si>
  <si>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</si>
  <si>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</si>
  <si>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</si>
  <si>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</si>
  <si>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</si>
  <si>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</si>
  <si>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</si>
  <si>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</si>
  <si>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</si>
  <si>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</si>
  <si>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</si>
  <si>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</si>
  <si>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</si>
  <si>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</si>
  <si>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</si>
  <si>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</si>
  <si>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</si>
  <si>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</si>
  <si>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</si>
  <si>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</si>
  <si>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</si>
  <si>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</si>
  <si>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</si>
  <si>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</si>
  <si>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</si>
  <si>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</si>
  <si>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</si>
  <si>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</si>
  <si>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</si>
  <si>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</si>
  <si>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</si>
  <si>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</si>
  <si>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</si>
  <si>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</si>
  <si>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</si>
  <si>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</si>
  <si>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</si>
  <si>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</si>
  <si>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</si>
  <si>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</si>
  <si>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</si>
  <si>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</si>
  <si>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</si>
  <si>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</si>
  <si>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</si>
  <si>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</si>
  <si>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</si>
  <si>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</si>
  <si>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</si>
  <si>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</si>
  <si>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</si>
  <si>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</si>
  <si>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</si>
  <si>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</si>
  <si>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</si>
  <si>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</si>
  <si>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</si>
  <si>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</si>
  <si>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</si>
  <si>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</si>
  <si>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</si>
  <si>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</si>
  <si>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</si>
  <si>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</si>
  <si>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</si>
  <si>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</si>
  <si>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</si>
  <si>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</si>
  <si>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</si>
  <si>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</si>
  <si>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</si>
  <si>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</si>
  <si>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</si>
  <si>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</si>
  <si>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</si>
  <si>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</si>
  <si>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</si>
  <si>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</si>
  <si>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</si>
  <si>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</si>
  <si>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</si>
  <si>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</si>
  <si>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</si>
  <si>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</si>
  <si>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</si>
  <si>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</si>
  <si>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</si>
  <si>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</si>
  <si>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</si>
  <si>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</si>
  <si>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</si>
  <si>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</si>
  <si>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</si>
  <si>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</si>
  <si>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</si>
  <si>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</si>
  <si>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</si>
  <si>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</si>
  <si>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</si>
  <si>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</si>
  <si>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</si>
  <si>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</si>
  <si>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</si>
  <si>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</si>
  <si>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</si>
  <si>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</si>
  <si>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</si>
  <si>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</si>
  <si>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</si>
  <si>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</si>
  <si>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</si>
  <si>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</si>
  <si>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</si>
  <si>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</si>
  <si>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</si>
  <si>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</si>
  <si>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</si>
  <si>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</si>
  <si>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</si>
  <si>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</si>
  <si>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</si>
  <si>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</si>
  <si>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</si>
  <si>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</si>
  <si>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</si>
  <si>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</si>
  <si>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</si>
  <si>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</si>
  <si>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</si>
  <si>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</si>
  <si>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</si>
  <si>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</si>
  <si>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</si>
  <si>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</si>
  <si>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</si>
  <si>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</si>
  <si>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</si>
  <si>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</si>
  <si>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</si>
  <si>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</si>
  <si>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</si>
  <si>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</si>
  <si>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</si>
  <si>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</si>
  <si>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</si>
  <si>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</si>
  <si>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</si>
  <si>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</si>
  <si>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</si>
  <si>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</si>
  <si>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</si>
  <si>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</si>
  <si>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</si>
  <si>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</si>
  <si>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</si>
  <si>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</si>
  <si>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</si>
  <si>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</si>
  <si>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</si>
  <si>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</si>
  <si>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</si>
  <si>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</si>
  <si>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</si>
  <si>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</si>
  <si>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</si>
  <si>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</si>
  <si>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</si>
  <si>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</si>
  <si>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</si>
  <si>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</si>
  <si>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</si>
  <si>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</si>
  <si>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</si>
  <si>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</si>
  <si>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</si>
  <si>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</si>
  <si>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</si>
  <si>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</si>
  <si>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</si>
  <si>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</si>
  <si>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</si>
  <si>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</si>
  <si>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</si>
  <si>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海淀区白家疃尚水园4号楼1层119</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</si>
  <si>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</si>
  <si>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</si>
  <si>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</si>
  <si>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</si>
  <si>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</si>
  <si>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</si>
  <si>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</si>
  <si>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</si>
  <si>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</si>
  <si>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</si>
  <si>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40-50（含）</t>
  </si>
  <si>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</si>
  <si>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</si>
  <si>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</si>
  <si>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</si>
  <si>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</si>
  <si>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</si>
  <si>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</si>
  <si>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</si>
  <si>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</si>
  <si>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</si>
  <si>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</si>
  <si>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</si>
  <si>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</si>
  <si>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</si>
  <si>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毛坯</t>
  </si>
  <si>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</si>
  <si>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</si>
  <si>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</si>
  <si>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</si>
  <si>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</si>
  <si>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</si>
  <si>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</si>
  <si>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</si>
  <si>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</si>
  <si>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</si>
  <si>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</si>
  <si>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</si>
  <si>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地下室</t>
    <phoneticPr fontId="32" type="noConversion"/>
  </si>
  <si>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</si>
  <si>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</si>
  <si>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</si>
  <si>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</si>
  <si>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</si>
  <si>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</si>
  <si>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</si>
  <si>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</si>
  <si>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</si>
  <si>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</si>
  <si>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</si>
  <si>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</si>
  <si>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</si>
  <si>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</si>
  <si>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</si>
  <si>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</si>
  <si>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</si>
  <si>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</si>
  <si>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</si>
  <si>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</si>
  <si>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</si>
  <si>
    <t>普装</t>
    <phoneticPr fontId="32" type="noConversion"/>
  </si>
  <si>
    <t>毛坯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</si>
</sst>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估价对象为北京市北京市海淀区白家疃尚峰园3号楼101号等17套房地产，为北京世纪正源房地产开发有限公司所有。根据，估价对象（分摊）出让国有建设用地使用权面积为0平方米，建筑面积为2634.21平方米。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7974</v>
      </c>
    </row>
    <row r="21" spans="1:2" s="1597" customFormat="1">
      <c r="A21" s="1595" t="s">
        <v>1236</v>
      </c>
      <c r="B21" s="1596">
        <f ca="1">'预评函-2'!D7</f>
        <v>30271</v>
      </c>
    </row>
    <row r="22" spans="1:2" s="1597" customFormat="1">
      <c r="A22" s="1595" t="s">
        <v>1237</v>
      </c>
      <c r="B22" s="1596" t="str">
        <f ca="1">'预评函-2'!D6</f>
        <v>柒仟玖佰柒拾肆万元整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7974</v>
      </c>
    </row>
    <row r="31" spans="1:2" s="1597" customFormat="1">
      <c r="A31" s="1595" t="s">
        <v>1275</v>
      </c>
      <c r="B31" s="1596">
        <f ca="1">'预评函-2'!D15</f>
        <v>30271</v>
      </c>
    </row>
    <row r="32" spans="1:2" s="1597" customFormat="1">
      <c r="A32" s="1595" t="s">
        <v>1242</v>
      </c>
      <c r="B32" s="1596" t="str">
        <f ca="1">'预评函-2'!D14</f>
        <v>柒仟玖佰柒拾肆万元整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2634.21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3095</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5"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5"/>
      <c r="B54" s="2026" t="s">
        <v>864</v>
      </c>
      <c r="C54" s="2023" t="s">
        <v>1282</v>
      </c>
    </row>
    <row r="55" spans="1:4">
      <c r="A55" s="2985"/>
      <c r="B55" s="2026" t="s">
        <v>865</v>
      </c>
      <c r="C55" s="2023" t="s">
        <v>1283</v>
      </c>
    </row>
    <row r="56" spans="1:4">
      <c r="A56" s="2985"/>
      <c r="B56" s="2026" t="s">
        <v>866</v>
      </c>
      <c r="C56" s="2023" t="s">
        <v>1287</v>
      </c>
    </row>
    <row r="57" spans="1:4">
      <c r="A57" s="2985"/>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86"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87"/>
      <c r="D1" s="2987"/>
      <c r="E1" s="2987"/>
      <c r="F1" s="2987"/>
      <c r="G1" s="2987"/>
      <c r="H1" s="2987"/>
      <c r="I1" s="2988"/>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3098</v>
      </c>
      <c r="C4" s="1040">
        <f ca="1">SUMIF(注册房地产估价师,B4,估价师及机构信息!B3:B24)</f>
        <v>1120140022</v>
      </c>
      <c r="D4" s="2043" t="s">
        <v>3099</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2939" t="s">
        <v>3100</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40" t="s">
        <v>3101</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3062</v>
      </c>
      <c r="C8" s="2058"/>
      <c r="D8" s="2989" t="s">
        <v>1787</v>
      </c>
      <c r="E8" s="2059" t="s">
        <v>3063</v>
      </c>
      <c r="F8" s="2060"/>
      <c r="G8" s="2030"/>
      <c r="H8" s="2030"/>
      <c r="I8" s="2030"/>
      <c r="J8" s="2046"/>
      <c r="K8" s="2047"/>
      <c r="L8" s="2032"/>
      <c r="M8" s="2032"/>
      <c r="N8" s="2033"/>
      <c r="O8" s="2034"/>
      <c r="P8" s="2033"/>
      <c r="Q8" s="2033"/>
      <c r="R8" s="2033"/>
    </row>
    <row r="9" spans="1:19" ht="18" customHeight="1" thickBot="1">
      <c r="A9" s="2044" t="s">
        <v>1788</v>
      </c>
      <c r="B9" s="2061" t="s">
        <v>3063</v>
      </c>
      <c r="C9" s="2062"/>
      <c r="D9" s="2990"/>
      <c r="E9" s="2061" t="s">
        <v>70</v>
      </c>
      <c r="F9" s="2063"/>
      <c r="G9" s="2064"/>
      <c r="H9" s="2064"/>
      <c r="I9" s="2064"/>
      <c r="J9" s="2046"/>
      <c r="K9" s="2056"/>
      <c r="L9" s="2032"/>
      <c r="M9" s="2032"/>
      <c r="N9" s="2033"/>
      <c r="O9" s="2034"/>
      <c r="P9" s="2033"/>
      <c r="Q9" s="2033"/>
      <c r="R9" s="2033"/>
    </row>
    <row r="10" spans="1:19" ht="18" customHeight="1" thickTop="1">
      <c r="A10" s="2065" t="s">
        <v>1789</v>
      </c>
      <c r="B10" s="2066" t="s">
        <v>3102</v>
      </c>
      <c r="C10" s="2067"/>
      <c r="D10" s="2050"/>
      <c r="E10" s="2068" t="s">
        <v>1790</v>
      </c>
      <c r="F10" s="2941" t="s">
        <v>3103</v>
      </c>
      <c r="G10" s="2069"/>
      <c r="H10" s="2070"/>
      <c r="I10" s="2050"/>
      <c r="J10" s="2046"/>
      <c r="K10" s="2056"/>
      <c r="L10" s="2032"/>
      <c r="M10" s="2032"/>
      <c r="N10" s="2033"/>
      <c r="O10" s="2034"/>
      <c r="P10" s="2033"/>
      <c r="Q10" s="2033"/>
      <c r="R10" s="2033"/>
    </row>
    <row r="11" spans="1:19" ht="18" customHeight="1">
      <c r="A11" s="2071" t="s">
        <v>1791</v>
      </c>
      <c r="B11" s="2072" t="s">
        <v>3104</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3061</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2996" t="s">
        <v>3105</v>
      </c>
      <c r="C16" s="2997"/>
      <c r="D16" s="2998"/>
      <c r="E16" s="2087" t="s">
        <v>1804</v>
      </c>
      <c r="F16" s="2999" t="s">
        <v>3106</v>
      </c>
      <c r="G16" s="3000"/>
      <c r="H16" s="3000"/>
      <c r="I16" s="3001"/>
      <c r="J16" s="2033"/>
      <c r="K16" s="2084"/>
      <c r="L16" s="2085"/>
      <c r="M16" s="2085"/>
      <c r="N16" s="2086"/>
      <c r="O16" s="2085"/>
      <c r="P16" s="2086"/>
      <c r="Q16" s="2033"/>
      <c r="R16" s="2033"/>
    </row>
    <row r="17" spans="1:22" ht="18" customHeight="1">
      <c r="A17" s="2088" t="s">
        <v>1805</v>
      </c>
      <c r="B17" s="2039" t="s">
        <v>1806</v>
      </c>
      <c r="C17" s="1057">
        <f>'数据-汇总表'!E3</f>
        <v>2634.21</v>
      </c>
      <c r="D17" s="2089" t="s">
        <v>1807</v>
      </c>
      <c r="E17" s="3002" t="s">
        <v>3117</v>
      </c>
      <c r="F17" s="3003"/>
      <c r="G17" s="3003"/>
      <c r="H17" s="3003"/>
      <c r="I17" s="3004"/>
      <c r="J17" s="2033"/>
      <c r="K17" s="2090"/>
      <c r="L17" s="2085"/>
      <c r="M17" s="2085"/>
      <c r="N17" s="2086"/>
      <c r="O17" s="2085"/>
      <c r="P17" s="2086"/>
      <c r="Q17" s="2033"/>
      <c r="R17" s="2033"/>
      <c r="S17" s="2033"/>
      <c r="T17" s="2033"/>
      <c r="U17" s="2033"/>
      <c r="V17" s="2033"/>
    </row>
    <row r="18" spans="1:22" ht="36" customHeight="1" thickBot="1">
      <c r="A18" s="2091" t="s">
        <v>3064</v>
      </c>
      <c r="B18" s="2042" t="s">
        <v>1808</v>
      </c>
      <c r="C18" s="1447">
        <f>'数据-汇总表'!D3</f>
        <v>0</v>
      </c>
      <c r="D18" s="2092" t="s">
        <v>1807</v>
      </c>
      <c r="E18" s="3005"/>
      <c r="F18" s="3006"/>
      <c r="G18" s="3006"/>
      <c r="H18" s="3006"/>
      <c r="I18" s="3007"/>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3092</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2992" t="s">
        <v>1813</v>
      </c>
      <c r="C20" s="2993"/>
      <c r="D20" s="2994" t="s">
        <v>1814</v>
      </c>
      <c r="E20" s="2995"/>
      <c r="F20" s="2099" t="s">
        <v>1815</v>
      </c>
      <c r="G20" s="2046"/>
      <c r="H20" s="2046"/>
      <c r="I20" s="2046"/>
      <c r="J20" s="2046"/>
      <c r="K20" s="2991"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3107</v>
      </c>
      <c r="D21" s="2102"/>
      <c r="E21" s="2103" t="s">
        <v>70</v>
      </c>
      <c r="F21" s="2104"/>
      <c r="G21" s="2046"/>
      <c r="H21" s="2046"/>
      <c r="I21" s="2046"/>
      <c r="J21" s="2046"/>
      <c r="K21" s="299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299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009" t="s">
        <v>1824</v>
      </c>
      <c r="B27" s="2065" t="s">
        <v>1825</v>
      </c>
      <c r="C27" s="2121" t="s">
        <v>3108</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009"/>
      <c r="B28" s="2039" t="s">
        <v>1826</v>
      </c>
      <c r="C28" s="2123" t="s">
        <v>3109</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009"/>
      <c r="B29" s="2039" t="s">
        <v>1827</v>
      </c>
      <c r="C29" s="2126" t="s">
        <v>3092</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010"/>
      <c r="B30" s="2039" t="s">
        <v>1828</v>
      </c>
      <c r="C30" s="3011"/>
      <c r="D30" s="3012"/>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013" t="s">
        <v>1829</v>
      </c>
      <c r="B31" s="2128" t="s">
        <v>3094</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014"/>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014"/>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3110</v>
      </c>
      <c r="C34" s="2135" t="s">
        <v>3111</v>
      </c>
      <c r="D34" s="2135" t="s">
        <v>3112</v>
      </c>
      <c r="E34" s="2135" t="s">
        <v>3113</v>
      </c>
      <c r="F34" s="2135" t="s">
        <v>3114</v>
      </c>
      <c r="G34" s="2135" t="s">
        <v>3115</v>
      </c>
      <c r="H34" s="2135" t="s">
        <v>3116</v>
      </c>
      <c r="I34" s="2046"/>
      <c r="J34" s="2046"/>
      <c r="K34" s="1799">
        <f>COUNTIF(B34:H34,"——")</f>
        <v>0</v>
      </c>
      <c r="L34" s="2076" t="s">
        <v>1831</v>
      </c>
      <c r="M34" s="2076" t="s">
        <v>1832</v>
      </c>
      <c r="N34" s="2076" t="s">
        <v>1833</v>
      </c>
      <c r="O34" s="2076" t="s">
        <v>1834</v>
      </c>
      <c r="P34" s="2076" t="s">
        <v>1835</v>
      </c>
      <c r="Q34" s="2076" t="s">
        <v>1836</v>
      </c>
      <c r="R34" s="2076" t="s">
        <v>1837</v>
      </c>
      <c r="S34" s="3008" t="s">
        <v>1838</v>
      </c>
      <c r="T34" s="2136" t="str">
        <f>NUMBERSTRING(7-K34,1)&amp;"通"</f>
        <v>七通</v>
      </c>
      <c r="U34" s="2033"/>
      <c r="V34" s="2033"/>
    </row>
    <row r="35" spans="1:22" ht="18" customHeight="1">
      <c r="A35" s="2137"/>
      <c r="B35" s="3015" t="s">
        <v>1839</v>
      </c>
      <c r="C35" s="3015"/>
      <c r="D35" s="3015"/>
      <c r="E35" s="3015"/>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8"/>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2634.21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2634.21</v>
      </c>
      <c r="H5" s="16">
        <f t="shared" ref="H5:AT5" si="0">SUM(H13:H656)</f>
        <v>2634.21</v>
      </c>
      <c r="I5" s="16">
        <f t="shared" si="0"/>
        <v>2634.21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2634.21</v>
      </c>
      <c r="BA5" s="18">
        <f t="shared" si="1"/>
        <v>2634.21</v>
      </c>
      <c r="BB5" s="18">
        <f t="shared" si="1"/>
        <v>2634.21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3059</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3041</v>
      </c>
      <c r="D13" s="2215" t="s">
        <v>3058</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3042</v>
      </c>
      <c r="D14" s="2215" t="s">
        <v>3058</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3043</v>
      </c>
      <c r="D15" s="2215" t="s">
        <v>3058</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3044</v>
      </c>
      <c r="D16" s="2215" t="s">
        <v>3058</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3045</v>
      </c>
      <c r="D17" s="2215" t="s">
        <v>3058</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3046</v>
      </c>
      <c r="D18" s="2215" t="s">
        <v>3058</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3047</v>
      </c>
      <c r="D19" s="2215" t="s">
        <v>3058</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3048</v>
      </c>
      <c r="D20" s="2215" t="s">
        <v>3058</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3049</v>
      </c>
      <c r="D21" s="2215" t="s">
        <v>3058</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3050</v>
      </c>
      <c r="D22" s="2215" t="s">
        <v>3058</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3051</v>
      </c>
      <c r="D23" s="2215" t="s">
        <v>3058</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3052</v>
      </c>
      <c r="D24" s="2215" t="s">
        <v>3058</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3053</v>
      </c>
      <c r="D25" s="2215" t="s">
        <v>3058</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3054</v>
      </c>
      <c r="D26" s="2215" t="s">
        <v>3058</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3055</v>
      </c>
      <c r="D27" s="2215" t="s">
        <v>3058</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3056</v>
      </c>
      <c r="D28" s="2215" t="s">
        <v>3058</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4" t="s">
        <v>3057</v>
      </c>
      <c r="D29" s="2215" t="s">
        <v>3058</v>
      </c>
      <c r="E29" s="35">
        <f t="shared" si="7"/>
        <v>0</v>
      </c>
      <c r="F29" s="36"/>
      <c r="G29" s="37">
        <f t="shared" si="8"/>
        <v>333.23</v>
      </c>
      <c r="H29" s="38">
        <f t="shared" si="9"/>
        <v>333.23</v>
      </c>
      <c r="I29" s="39">
        <v>333.23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t="str">
        <f t="shared" si="13"/>
        <v>海淀区白家疃尚水园4号楼1层119</v>
      </c>
      <c r="AY29" s="42">
        <f t="shared" si="14"/>
        <v>0</v>
      </c>
      <c r="AZ29" s="35">
        <f t="shared" si="15"/>
        <v>333.23</v>
      </c>
      <c r="BA29" s="35">
        <f t="shared" si="16"/>
        <v>333.23</v>
      </c>
      <c r="BB29" s="35">
        <f t="shared" si="17"/>
        <v>333.23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3058</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6" t="s">
        <v>0</v>
      </c>
      <c r="B1" s="3016" t="s">
        <v>4</v>
      </c>
      <c r="C1" s="3016" t="s">
        <v>5</v>
      </c>
      <c r="D1" s="3017" t="s">
        <v>53</v>
      </c>
      <c r="E1" s="3017" t="s">
        <v>54</v>
      </c>
      <c r="F1" s="3017"/>
      <c r="G1" s="3017"/>
      <c r="H1" s="3017"/>
      <c r="I1" s="3017"/>
      <c r="J1" s="3017"/>
      <c r="K1" s="3017"/>
      <c r="L1" s="3017"/>
      <c r="M1" s="3017"/>
    </row>
    <row r="2" spans="1:13" ht="27" customHeight="1">
      <c r="A2" s="3016"/>
      <c r="B2" s="3016"/>
      <c r="C2" s="3016"/>
      <c r="D2" s="3017"/>
      <c r="E2" s="3017" t="s">
        <v>37</v>
      </c>
      <c r="F2" s="3017" t="s">
        <v>38</v>
      </c>
      <c r="G2" s="3017"/>
      <c r="H2" s="3017"/>
      <c r="I2" s="3017"/>
      <c r="J2" s="3017" t="s">
        <v>39</v>
      </c>
      <c r="K2" s="3017"/>
      <c r="L2" s="3017"/>
      <c r="M2" s="3017"/>
    </row>
    <row r="3" spans="1:13" ht="28.5">
      <c r="A3" s="3016"/>
      <c r="B3" s="3016"/>
      <c r="C3" s="3016"/>
      <c r="D3" s="3017"/>
      <c r="E3" s="30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7" t="s">
        <v>55</v>
      </c>
      <c r="B9" s="3017"/>
      <c r="C9" s="30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27" t="s">
        <v>1935</v>
      </c>
      <c r="B2" s="3027"/>
      <c r="C2" s="3027"/>
      <c r="D2" s="970" t="s">
        <v>1911</v>
      </c>
      <c r="E2" s="2229" t="s">
        <v>1912</v>
      </c>
      <c r="F2" s="1395"/>
      <c r="G2" s="2230"/>
      <c r="H2" s="2231"/>
      <c r="I2" s="2232" t="s">
        <v>1936</v>
      </c>
      <c r="J2" s="1395"/>
      <c r="K2" s="1395"/>
      <c r="L2" s="1395"/>
      <c r="M2" s="1395"/>
      <c r="N2" s="1430"/>
      <c r="O2" s="1395"/>
      <c r="P2" s="1395"/>
    </row>
    <row r="3" spans="1:16" ht="15.75" thickBot="1">
      <c r="A3" s="3028" t="s">
        <v>1909</v>
      </c>
      <c r="B3" s="3028"/>
      <c r="C3" s="3028"/>
      <c r="D3" s="46">
        <f>'数据-基础表'!AY6</f>
        <v>0</v>
      </c>
      <c r="E3" s="46">
        <f>'数据-基础表'!AZ5</f>
        <v>2634.21</v>
      </c>
      <c r="F3" s="1395"/>
      <c r="G3" s="1402"/>
      <c r="H3" s="1250" t="s">
        <v>1910</v>
      </c>
      <c r="I3" s="55" t="e">
        <f>ROUND('数据-基础表'!B3/'数据-基础表'!A3,2)</f>
        <v>#DIV/0!</v>
      </c>
      <c r="J3" s="1395"/>
      <c r="K3" s="1395"/>
      <c r="L3" s="1395"/>
      <c r="M3" s="1395"/>
      <c r="N3" s="1430"/>
      <c r="O3" s="1395"/>
      <c r="P3" s="1395"/>
    </row>
    <row r="4" spans="1:16" ht="15">
      <c r="A4" s="3029"/>
      <c r="B4" s="3030"/>
      <c r="C4" s="3031"/>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32" t="s">
        <v>1914</v>
      </c>
      <c r="C5" s="3032"/>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32" t="s">
        <v>1915</v>
      </c>
      <c r="C6" s="3032"/>
      <c r="D6" s="48">
        <f>ROUND($D$3*E6/$E$3,2)</f>
        <v>0</v>
      </c>
      <c r="E6" s="49">
        <f>E3-E5</f>
        <v>2634.21</v>
      </c>
      <c r="F6" s="1395"/>
      <c r="G6" s="2237" t="s">
        <v>1916</v>
      </c>
      <c r="H6" s="1402" t="s">
        <v>1917</v>
      </c>
      <c r="I6" s="942" t="e">
        <f>ROUND(F31/D31,2)</f>
        <v>#DIV/0!</v>
      </c>
      <c r="J6" s="1395"/>
      <c r="K6" s="1395"/>
      <c r="L6" s="1395"/>
      <c r="M6" s="1395"/>
      <c r="N6" s="1395"/>
      <c r="O6" s="1395"/>
      <c r="P6" s="1395"/>
    </row>
    <row r="7" spans="1:16" ht="15">
      <c r="A7" s="3024"/>
      <c r="B7" s="3025"/>
      <c r="C7" s="3026"/>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2634.21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2634.21</v>
      </c>
      <c r="F16" s="1395"/>
      <c r="G16" s="2239"/>
      <c r="H16" s="2242" t="s">
        <v>1939</v>
      </c>
      <c r="I16" s="2243"/>
      <c r="J16" s="1395"/>
      <c r="K16" s="3021" t="s">
        <v>1939</v>
      </c>
      <c r="L16" s="3022"/>
      <c r="M16" s="3022"/>
      <c r="N16" s="3022"/>
      <c r="O16" s="3022"/>
      <c r="P16" s="3023"/>
    </row>
    <row r="17" spans="1:19" ht="15">
      <c r="A17" s="2244" t="s">
        <v>1940</v>
      </c>
      <c r="B17" s="2245" t="s">
        <v>1941</v>
      </c>
      <c r="C17" s="2246" t="s">
        <v>1942</v>
      </c>
      <c r="D17" s="2247" t="s">
        <v>1930</v>
      </c>
      <c r="E17" s="2248" t="s">
        <v>1931</v>
      </c>
      <c r="F17" s="2249"/>
      <c r="G17" s="2250"/>
      <c r="H17" s="2251" t="s">
        <v>1943</v>
      </c>
      <c r="I17" s="2252" t="s">
        <v>1928</v>
      </c>
      <c r="J17" s="1395"/>
      <c r="K17" s="3018" t="s">
        <v>1944</v>
      </c>
      <c r="L17" s="3019"/>
      <c r="M17" s="3020"/>
      <c r="N17" s="3018" t="s">
        <v>1945</v>
      </c>
      <c r="O17" s="3019"/>
      <c r="P17" s="3020"/>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3060</v>
      </c>
      <c r="D19" s="48">
        <f>ROUND($D$3*E19/$E$3,2)</f>
        <v>0</v>
      </c>
      <c r="E19" s="56">
        <f t="shared" ref="E19:E26" si="1">SUM(F19:G19)</f>
        <v>2634.21</v>
      </c>
      <c r="F19" s="57">
        <f>'数据-基础表'!I5</f>
        <v>2634.21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2634.21</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2634.21</v>
      </c>
      <c r="F27" s="1396">
        <f>IF(SUM(F19:F26)=E8,SUM(F19:F26),"地上面积有误")</f>
        <v>2634.21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2634.21</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2634.21</v>
      </c>
      <c r="F31" s="730">
        <f>F27+F30</f>
        <v>2634.21</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33" activePane="bottomRight" state="frozen"/>
      <selection activeCell="C50" sqref="C50"/>
      <selection pane="topRight" activeCell="C50" sqref="C50"/>
      <selection pane="bottomLeft" activeCell="C50" sqref="C50"/>
      <selection pane="bottomRight" activeCell="AF67" sqref="AF6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3065</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2634.21</v>
      </c>
      <c r="L6" s="803">
        <v>2000</v>
      </c>
      <c r="M6" s="75">
        <f t="shared" ref="M6:M14" si="0">ROUND(K6*L6/10000,0)</f>
        <v>527</v>
      </c>
      <c r="N6" s="801">
        <v>0.96699999999999997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2.8</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1.5E-3</v>
      </c>
      <c r="AM6" s="89">
        <v>0.01</v>
      </c>
      <c r="AN6" s="2311" t="s">
        <v>3093</v>
      </c>
      <c r="AO6" s="55">
        <f ca="1">SUMIF(INDIRECT("'"&amp;AN6&amp;"'"&amp;"!A:A"),"总价",INDIRECT("'"&amp;AN6&amp;"'"&amp;"!B:B"))</f>
        <v>6325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2634.21</v>
      </c>
      <c r="L16" s="102">
        <f>ROUND(M16*10000/SUM(K6:K14),0)</f>
        <v>2001</v>
      </c>
      <c r="M16" s="102">
        <f>SUM(M6:M14)</f>
        <v>527</v>
      </c>
      <c r="N16" s="103">
        <f>ROUND(SUMPRODUCT(M6:M14,N6:N14)/M16,3)</f>
        <v>0.96699999999999997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2</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0.02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0.02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6.2719999999999998E-2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5.6000000000000001E-2</v>
      </c>
      <c r="C42" s="2333">
        <f>IF(B2&lt;DATE(2016,5,1),0,B42)</f>
        <v>5.6000000000000001E-2</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6.7200000000000003E-3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3" t="s">
        <v>2080</v>
      </c>
      <c r="B1" s="3034"/>
      <c r="C1" s="3034"/>
      <c r="D1" s="3034"/>
      <c r="E1" s="3034"/>
      <c r="F1" s="3034"/>
      <c r="G1" s="303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6" t="s">
        <v>2083</v>
      </c>
      <c r="B3" s="1271" t="s">
        <v>2084</v>
      </c>
      <c r="C3" s="2372" t="s">
        <v>2085</v>
      </c>
      <c r="D3" s="2373"/>
      <c r="E3" s="432" t="s">
        <v>2083</v>
      </c>
      <c r="F3" s="2374" t="s">
        <v>2086</v>
      </c>
      <c r="G3" s="2375" t="s">
        <v>2087</v>
      </c>
      <c r="H3" s="2370"/>
      <c r="I3" s="2370"/>
      <c r="J3" s="2370"/>
      <c r="K3" s="2370"/>
      <c r="L3" s="2370"/>
      <c r="M3" s="2370"/>
      <c r="N3" s="2370"/>
      <c r="O3" s="2370"/>
      <c r="P3" s="2370"/>
      <c r="Q3" s="2370"/>
      <c r="R3" s="2370"/>
    </row>
    <row r="4" spans="1:29" ht="41.25">
      <c r="A4" s="432"/>
      <c r="B4" s="1799" t="s">
        <v>2088</v>
      </c>
      <c r="C4" s="2376" t="s">
        <v>2089</v>
      </c>
      <c r="D4" s="2373"/>
      <c r="E4" s="2377"/>
      <c r="F4" s="42" t="s">
        <v>2090</v>
      </c>
      <c r="G4" s="2378" t="s">
        <v>2091</v>
      </c>
      <c r="H4" s="2370"/>
      <c r="I4" s="2370"/>
      <c r="J4" s="2370"/>
      <c r="K4" s="2370"/>
      <c r="L4" s="2370"/>
      <c r="M4" s="2370"/>
      <c r="N4" s="2370"/>
      <c r="O4" s="2370"/>
      <c r="P4" s="2370"/>
      <c r="Q4" s="2370"/>
      <c r="R4" s="2370"/>
    </row>
    <row r="5" spans="1:29" ht="41.25">
      <c r="A5" s="432"/>
      <c r="B5" s="1799" t="s">
        <v>2092</v>
      </c>
      <c r="C5" s="2376" t="s">
        <v>2093</v>
      </c>
      <c r="D5" s="2373"/>
      <c r="E5" s="2377"/>
      <c r="F5" s="1799" t="s">
        <v>2094</v>
      </c>
      <c r="G5" s="2378" t="s">
        <v>2095</v>
      </c>
      <c r="H5" s="2370"/>
      <c r="I5" s="2370"/>
      <c r="J5" s="2370"/>
      <c r="K5" s="2370"/>
      <c r="L5" s="2370"/>
      <c r="M5" s="2370"/>
      <c r="N5" s="2370"/>
      <c r="O5" s="2370"/>
      <c r="P5" s="2370"/>
      <c r="Q5" s="2370"/>
      <c r="R5" s="2370"/>
    </row>
    <row r="6" spans="1:29" ht="54">
      <c r="A6" s="432"/>
      <c r="B6" s="1799" t="s">
        <v>2096</v>
      </c>
      <c r="C6" s="2378" t="s">
        <v>2091</v>
      </c>
      <c r="D6" s="2373"/>
      <c r="E6" s="2377"/>
      <c r="F6" s="1799" t="s">
        <v>2097</v>
      </c>
      <c r="G6" s="2378" t="s">
        <v>2098</v>
      </c>
      <c r="H6" s="2370"/>
      <c r="I6" s="2370"/>
      <c r="J6" s="2370"/>
      <c r="K6" s="2370"/>
      <c r="L6" s="2370"/>
      <c r="M6" s="2370"/>
      <c r="N6" s="2370"/>
      <c r="O6" s="2370"/>
      <c r="P6" s="2370"/>
      <c r="Q6" s="2370"/>
      <c r="R6" s="2370"/>
    </row>
    <row r="7" spans="1:29" ht="41.25" thickBot="1">
      <c r="A7" s="432"/>
      <c r="B7" s="1799" t="s">
        <v>2094</v>
      </c>
      <c r="C7" s="2378" t="s">
        <v>2095</v>
      </c>
      <c r="D7" s="2379"/>
      <c r="E7" s="2380"/>
      <c r="F7" s="2381" t="s">
        <v>2099</v>
      </c>
      <c r="G7" s="2382" t="s">
        <v>2100</v>
      </c>
      <c r="H7" s="2370"/>
      <c r="I7" s="2370"/>
      <c r="J7" s="2370"/>
      <c r="K7" s="2370"/>
      <c r="L7" s="2370"/>
      <c r="M7" s="2370"/>
      <c r="N7" s="2370"/>
      <c r="O7" s="2370"/>
      <c r="P7" s="2370"/>
      <c r="Q7" s="2370"/>
      <c r="R7" s="2370"/>
    </row>
    <row r="8" spans="1:29" ht="27">
      <c r="A8" s="432"/>
      <c r="B8" s="1799" t="s">
        <v>2097</v>
      </c>
      <c r="C8" s="2378" t="s">
        <v>2098</v>
      </c>
      <c r="D8" s="2379"/>
      <c r="E8" s="2379"/>
      <c r="F8" s="1136"/>
      <c r="G8" s="1136"/>
      <c r="H8" s="2370"/>
      <c r="I8" s="2370"/>
      <c r="J8" s="2370"/>
      <c r="K8" s="2370"/>
      <c r="L8" s="2370"/>
      <c r="M8" s="2370"/>
      <c r="N8" s="2370"/>
      <c r="O8" s="2370"/>
      <c r="P8" s="2370"/>
      <c r="Q8" s="2370"/>
      <c r="R8" s="2370"/>
    </row>
    <row r="9" spans="1:29" ht="27">
      <c r="A9" s="432"/>
      <c r="B9" s="1799"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6"/>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6"/>
      <c r="B17" s="2407" t="s">
        <v>2092</v>
      </c>
      <c r="C17" s="2408" t="str">
        <f>C5</f>
        <v>估价对象位于XX商圈，周边办公楼项目较多，入驻率高，办公集聚程度较好</v>
      </c>
      <c r="D17" s="2379"/>
      <c r="E17" s="2409"/>
      <c r="F17" s="2410" t="s">
        <v>2110</v>
      </c>
      <c r="G17" s="1573"/>
    </row>
    <row r="18" spans="1:18" ht="57">
      <c r="A18" s="646"/>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6"/>
      <c r="B19" s="2410" t="s">
        <v>2111</v>
      </c>
      <c r="C19" s="1573"/>
      <c r="D19" s="2373"/>
      <c r="E19" s="2409"/>
      <c r="F19" s="1799" t="s">
        <v>2094</v>
      </c>
      <c r="G19" s="136" t="str">
        <f>G5</f>
        <v>估价对象所在区域公共配套设施齐备情况</v>
      </c>
    </row>
    <row r="20" spans="1:18" ht="28.5">
      <c r="A20" s="646"/>
      <c r="B20" s="2410" t="s">
        <v>2112</v>
      </c>
      <c r="C20" s="2408" t="str">
        <f>C9</f>
        <v>区域自然环境：；人文环境；综合评价环境状况一般</v>
      </c>
      <c r="D20" s="2379"/>
      <c r="E20" s="2409"/>
      <c r="F20" s="1799" t="s">
        <v>2113</v>
      </c>
      <c r="G20" s="136" t="str">
        <f>G6</f>
        <v>估价对象所在区域基础设施水平</v>
      </c>
    </row>
    <row r="21" spans="1:18" ht="28.5">
      <c r="A21" s="646"/>
      <c r="B21" s="1799" t="s">
        <v>2094</v>
      </c>
      <c r="C21" s="136" t="str">
        <f>C7</f>
        <v>估价对象所在区域公共配套设施齐备情况</v>
      </c>
      <c r="D21" s="2373"/>
      <c r="E21" s="2409"/>
      <c r="F21" s="2410" t="s">
        <v>2114</v>
      </c>
      <c r="G21" s="2411"/>
    </row>
    <row r="22" spans="1:18" ht="13.5" customHeight="1">
      <c r="A22" s="646"/>
      <c r="B22" s="1799" t="s">
        <v>2097</v>
      </c>
      <c r="C22" s="136" t="str">
        <f>C8</f>
        <v>估价对象所在区域基础设施水平</v>
      </c>
      <c r="D22" s="2373"/>
      <c r="E22" s="2409"/>
      <c r="F22" s="2410" t="s">
        <v>2103</v>
      </c>
      <c r="G22" s="1573"/>
    </row>
    <row r="23" spans="1:18" s="2370" customFormat="1" ht="15.75" thickBot="1">
      <c r="A23" s="646"/>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2634.21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7974</v>
      </c>
      <c r="C5" s="1747">
        <f ca="1">ROUND(B5*10000/$B$1,0)</f>
        <v>30271</v>
      </c>
      <c r="D5" s="1747" t="e">
        <f ca="1">ROUND(B5*10000/$B$2,0)</f>
        <v>#DIV/0!</v>
      </c>
      <c r="E5" s="1746"/>
      <c r="F5" s="1744"/>
      <c r="G5" s="1744"/>
    </row>
    <row r="6" spans="1:10" ht="16.5">
      <c r="A6" s="1747" t="s">
        <v>1357</v>
      </c>
      <c r="B6" s="1747">
        <f ca="1">SUM(G14:G23)</f>
        <v>7974</v>
      </c>
      <c r="C6" s="1747">
        <f ca="1">ROUND(B6*10000/$B$1,0)</f>
        <v>30271</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2634.21</v>
      </c>
      <c r="C14" s="1745">
        <f>'数据-汇总表'!D3</f>
        <v>0</v>
      </c>
      <c r="D14" s="1745">
        <f ca="1">结果表!H118</f>
        <v>7974</v>
      </c>
      <c r="E14" s="1745">
        <f ca="1">ROUND(D14*10000/B14,0)</f>
        <v>30271</v>
      </c>
      <c r="F14" s="1745" t="e">
        <f ca="1">ROUND(D14*10000/C14,0)</f>
        <v>#DIV/0!</v>
      </c>
      <c r="G14" s="1745">
        <f ca="1">结果表!D122</f>
        <v>7974</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2" t="s">
        <v>3094</v>
      </c>
      <c r="H1" s="2424" t="str">
        <f>IF(G1="现房","——","估价对象范围")</f>
        <v>——</v>
      </c>
      <c r="I1" s="2425"/>
    </row>
    <row r="2" spans="1:12" ht="21.75" customHeight="1" thickBot="1">
      <c r="A2" s="3107" t="str">
        <f>项目基本情况!S2</f>
        <v>北京市北京市海淀区白家疃尚峰园3号楼101号等17套房地产</v>
      </c>
      <c r="B2" s="3108"/>
      <c r="C2" s="3108"/>
      <c r="D2" s="3108"/>
      <c r="E2" s="3108"/>
      <c r="F2" s="3108"/>
      <c r="G2" s="3108"/>
      <c r="H2" s="3108"/>
      <c r="I2" s="3109"/>
    </row>
    <row r="3" spans="1:12" ht="12.75">
      <c r="A3" s="3110" t="s">
        <v>2119</v>
      </c>
      <c r="B3" s="3111"/>
      <c r="C3" s="3111"/>
      <c r="D3" s="3111"/>
      <c r="E3" s="3111"/>
      <c r="F3" s="3111"/>
      <c r="G3" s="3111"/>
      <c r="H3" s="3111"/>
      <c r="I3" s="3111"/>
    </row>
    <row r="4" spans="1:12" ht="14.25">
      <c r="A4" s="2428" t="s">
        <v>2120</v>
      </c>
      <c r="B4" s="2429" t="s">
        <v>2121</v>
      </c>
      <c r="C4" s="2430" t="s">
        <v>3095</v>
      </c>
      <c r="D4" s="2430" t="s">
        <v>3093</v>
      </c>
      <c r="E4" s="3091" t="s">
        <v>2122</v>
      </c>
      <c r="F4" s="3104"/>
      <c r="G4" s="3104"/>
      <c r="H4" s="3104"/>
      <c r="I4" s="3092"/>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2123</v>
      </c>
      <c r="B5" s="3008">
        <v>25</v>
      </c>
      <c r="C5" s="3112"/>
      <c r="D5" s="3100"/>
      <c r="E5" s="140" t="s">
        <v>2124</v>
      </c>
      <c r="F5" s="2432"/>
      <c r="G5" s="2432"/>
      <c r="H5" s="2432"/>
      <c r="I5" s="1835"/>
    </row>
    <row r="6" spans="1:12" ht="12.75">
      <c r="A6" s="3082"/>
      <c r="B6" s="3008"/>
      <c r="C6" s="3114"/>
      <c r="D6" s="3100"/>
      <c r="E6" s="140" t="s">
        <v>2125</v>
      </c>
      <c r="F6" s="2432"/>
      <c r="G6" s="2432"/>
      <c r="H6" s="2432"/>
      <c r="I6" s="1835"/>
    </row>
    <row r="7" spans="1:12" ht="12.75">
      <c r="A7" s="3082"/>
      <c r="B7" s="3008"/>
      <c r="C7" s="3113"/>
      <c r="D7" s="3100"/>
      <c r="E7" s="140" t="s">
        <v>2126</v>
      </c>
      <c r="F7" s="2432"/>
      <c r="G7" s="2432"/>
      <c r="H7" s="2432"/>
      <c r="I7" s="1835"/>
    </row>
    <row r="8" spans="1:12" ht="12.75">
      <c r="A8" s="3082" t="s">
        <v>2127</v>
      </c>
      <c r="B8" s="3008">
        <v>15</v>
      </c>
      <c r="C8" s="3112"/>
      <c r="D8" s="3100"/>
      <c r="E8" s="140" t="s">
        <v>2128</v>
      </c>
      <c r="F8" s="2432"/>
      <c r="G8" s="2432"/>
      <c r="H8" s="2432"/>
      <c r="I8" s="1835"/>
    </row>
    <row r="9" spans="1:12" ht="12.75">
      <c r="A9" s="3082"/>
      <c r="B9" s="3008"/>
      <c r="C9" s="3113"/>
      <c r="D9" s="3100"/>
      <c r="E9" s="140" t="s">
        <v>2129</v>
      </c>
      <c r="F9" s="2432"/>
      <c r="G9" s="2432"/>
      <c r="H9" s="2432"/>
      <c r="I9" s="1835"/>
    </row>
    <row r="10" spans="1:12" ht="12.75">
      <c r="A10" s="3082" t="s">
        <v>2130</v>
      </c>
      <c r="B10" s="3008">
        <v>15</v>
      </c>
      <c r="C10" s="3112"/>
      <c r="D10" s="3100"/>
      <c r="E10" s="140" t="s">
        <v>2131</v>
      </c>
      <c r="F10" s="2432"/>
      <c r="G10" s="2432"/>
      <c r="H10" s="2432"/>
      <c r="I10" s="1835"/>
    </row>
    <row r="11" spans="1:12" ht="12.75">
      <c r="A11" s="3082"/>
      <c r="B11" s="3008"/>
      <c r="C11" s="3113"/>
      <c r="D11" s="3100"/>
      <c r="E11" s="140" t="s">
        <v>2132</v>
      </c>
      <c r="F11" s="2432"/>
      <c r="G11" s="2432"/>
      <c r="H11" s="2432"/>
      <c r="I11" s="1835"/>
    </row>
    <row r="12" spans="1:12" ht="12.75">
      <c r="A12" s="3082" t="s">
        <v>2133</v>
      </c>
      <c r="B12" s="3008">
        <v>15</v>
      </c>
      <c r="C12" s="3112"/>
      <c r="D12" s="3100"/>
      <c r="E12" s="140" t="s">
        <v>2134</v>
      </c>
      <c r="F12" s="2432"/>
      <c r="G12" s="2432"/>
      <c r="H12" s="2432"/>
      <c r="I12" s="1835"/>
    </row>
    <row r="13" spans="1:12" ht="12.75">
      <c r="A13" s="3082"/>
      <c r="B13" s="3008"/>
      <c r="C13" s="3113"/>
      <c r="D13" s="3100"/>
      <c r="E13" s="140" t="s">
        <v>2135</v>
      </c>
      <c r="F13" s="2432"/>
      <c r="G13" s="2432"/>
      <c r="H13" s="2432"/>
      <c r="I13" s="1835"/>
    </row>
    <row r="14" spans="1:12" ht="12.75">
      <c r="A14" s="3082" t="s">
        <v>2136</v>
      </c>
      <c r="B14" s="3008">
        <v>30</v>
      </c>
      <c r="C14" s="3112">
        <v>7</v>
      </c>
      <c r="D14" s="3100">
        <f>10-C14</f>
        <v>3</v>
      </c>
      <c r="E14" s="140" t="s">
        <v>2137</v>
      </c>
      <c r="F14" s="2432"/>
      <c r="G14" s="2432"/>
      <c r="H14" s="2432"/>
      <c r="I14" s="1835"/>
    </row>
    <row r="15" spans="1:12" ht="12.75">
      <c r="A15" s="3082"/>
      <c r="B15" s="3008"/>
      <c r="C15" s="3114"/>
      <c r="D15" s="3100"/>
      <c r="E15" s="140" t="s">
        <v>2138</v>
      </c>
      <c r="F15" s="2432"/>
      <c r="G15" s="2432"/>
      <c r="H15" s="2432"/>
      <c r="I15" s="1835"/>
    </row>
    <row r="16" spans="1:12" ht="12.75">
      <c r="A16" s="3082"/>
      <c r="B16" s="3008"/>
      <c r="C16" s="3113"/>
      <c r="D16" s="3100"/>
      <c r="E16" s="140" t="s">
        <v>2139</v>
      </c>
      <c r="F16" s="2432"/>
      <c r="G16" s="2432"/>
      <c r="H16" s="2432"/>
      <c r="I16" s="1835"/>
    </row>
    <row r="17" spans="1:35" ht="15">
      <c r="A17" s="2433" t="s">
        <v>2140</v>
      </c>
      <c r="B17" s="64"/>
      <c r="C17" s="141">
        <f>SUM(C5:C16)</f>
        <v>7</v>
      </c>
      <c r="D17" s="141">
        <f>SUM(D5:D16)</f>
        <v>3</v>
      </c>
      <c r="E17" s="138"/>
      <c r="F17" s="138"/>
      <c r="G17" s="138"/>
      <c r="H17" s="138"/>
      <c r="I17" s="138"/>
      <c r="K17" s="2431"/>
      <c r="L17" s="2434" t="s">
        <v>2141</v>
      </c>
      <c r="M17" s="2434" t="s">
        <v>2142</v>
      </c>
    </row>
    <row r="18" spans="1:35" ht="15.75" thickBot="1">
      <c r="A18" s="2435" t="s">
        <v>2143</v>
      </c>
      <c r="B18" s="2436"/>
      <c r="C18" s="142">
        <f>ROUND(C17/SUM(C17:D17),2)</f>
        <v>0.7</v>
      </c>
      <c r="D18" s="142">
        <f>1-C18</f>
        <v>0.30000000000000004</v>
      </c>
      <c r="E18" s="138"/>
      <c r="F18" s="138"/>
      <c r="G18" s="138"/>
      <c r="H18" s="138"/>
      <c r="I18" s="138"/>
      <c r="K18" s="2431" t="s">
        <v>2144</v>
      </c>
      <c r="L18" s="2431">
        <f>IF(C1="",'数据-汇总表'!E3,SUMIF(项目类型,C1,'数据-汇总表'!E17:E26)+SUMIF(项目类型,C1,'数据-汇总表'!I17:I26))</f>
        <v>2634.21</v>
      </c>
      <c r="M18" s="2431">
        <f>IF(C1="",'数据-汇总表'!E3,SUMIF(项目类型,C1,'数据-汇总表'!E17:E26))</f>
        <v>2634.21</v>
      </c>
    </row>
    <row r="19" spans="1:35" ht="15">
      <c r="A19" s="2437" t="s">
        <v>2145</v>
      </c>
      <c r="B19" s="2438" t="s">
        <v>2146</v>
      </c>
      <c r="C19" s="143">
        <f ca="1">SUMIF(INDIRECT("'"&amp;C4&amp;"'"&amp;"!A:A"),结果表!B19,INDIRECT("'"&amp;C4&amp;"'"&amp;"!B:B"))</f>
        <v>8681</v>
      </c>
      <c r="D19" s="144">
        <f ca="1">SUMIF(INDIRECT("'"&amp;D4&amp;"'"&amp;"!A:A"),结果表!B19,INDIRECT("'"&amp;D4&amp;"'"&amp;"!B:B"))</f>
        <v>6325</v>
      </c>
      <c r="E19" s="2437" t="s">
        <v>2147</v>
      </c>
      <c r="F19" s="2438" t="s">
        <v>2146</v>
      </c>
      <c r="G19" s="145">
        <f ca="1">ROUND(C19*$C$18+D19*$D$18,0)</f>
        <v>7974</v>
      </c>
      <c r="H19" s="2439" t="s">
        <v>2148</v>
      </c>
      <c r="I19" s="138"/>
      <c r="K19" s="2431" t="s">
        <v>2149</v>
      </c>
      <c r="L19" s="2431">
        <f>IF(C1="",'数据-汇总表'!D3,SUMIF(项目类型,C1,'数据-汇总表'!D17:D26)+SUMIF(项目类型,C1,'数据-汇总表'!H17:H27))</f>
        <v>0</v>
      </c>
      <c r="M19" s="2431">
        <f>IF(C1="",'数据-汇总表'!D3,SUMIF(项目类型,C1,'数据-汇总表'!D17:D26))</f>
        <v>0</v>
      </c>
    </row>
    <row r="20" spans="1:35" ht="15">
      <c r="A20" s="2440"/>
      <c r="B20" s="1250" t="s">
        <v>2150</v>
      </c>
      <c r="C20" s="146">
        <f ca="1">SUMIF(INDIRECT("'"&amp;C4&amp;"'"&amp;"!A:A"),结果表!B20,INDIRECT("'"&amp;C4&amp;"'"&amp;"!B:B"))</f>
        <v>32955</v>
      </c>
      <c r="D20" s="147">
        <f ca="1">SUMIF(INDIRECT("'"&amp;D4&amp;"'"&amp;"!A:A"),结果表!B20,INDIRECT("'"&amp;D4&amp;"'"&amp;"!B:B"))</f>
        <v>24011</v>
      </c>
      <c r="E20" s="2440"/>
      <c r="F20" s="1250" t="s">
        <v>2150</v>
      </c>
      <c r="G20" s="148">
        <f ca="1">ROUND(C20*$C$18+D20*$D$18,0)</f>
        <v>30272</v>
      </c>
      <c r="H20" s="983" t="s">
        <v>2151</v>
      </c>
      <c r="I20" s="138"/>
    </row>
    <row r="21" spans="1:35" ht="15" customHeight="1" thickBot="1">
      <c r="A21" s="1003"/>
      <c r="B21" s="2441" t="s">
        <v>2152</v>
      </c>
      <c r="C21" s="789" t="e">
        <f ca="1">ROUND(C19*10000/L19,0)</f>
        <v>#DIV/0!</v>
      </c>
      <c r="D21" s="790" t="e">
        <f ca="1">ROUND(D19*10000/L19,0)</f>
        <v>#DIV/0!</v>
      </c>
      <c r="E21" s="1003"/>
      <c r="F21" s="2441" t="s">
        <v>2152</v>
      </c>
      <c r="G21" s="149" t="e">
        <f ca="1">ROUND(G19*10000/L19,0)</f>
        <v>#DIV/0!</v>
      </c>
      <c r="H21" s="2442" t="s">
        <v>2151</v>
      </c>
      <c r="I21" s="138"/>
    </row>
    <row r="22" spans="1:35" ht="15" thickBot="1">
      <c r="A22" s="2283" t="s">
        <v>2153</v>
      </c>
      <c r="B22" s="2443"/>
      <c r="C22" s="2444"/>
      <c r="D22" s="791">
        <f ca="1">IF(C19&lt;D19,D19/C19-1,C19/D19-1)</f>
        <v>0.37249011857707504</v>
      </c>
      <c r="E22" s="138"/>
      <c r="F22" s="138"/>
      <c r="G22" s="138"/>
      <c r="H22" s="138"/>
      <c r="I22" s="138"/>
    </row>
    <row r="23" spans="1:35" ht="13.5" thickBot="1">
      <c r="A23" s="2421"/>
      <c r="B23" s="2421"/>
      <c r="C23" s="2421"/>
      <c r="D23" s="2421"/>
      <c r="E23" s="138"/>
      <c r="F23" s="138"/>
      <c r="G23" s="138"/>
      <c r="H23" s="138"/>
      <c r="I23" s="138"/>
    </row>
    <row r="24" spans="1:35" ht="14.25">
      <c r="A24" s="3121" t="s">
        <v>2154</v>
      </c>
      <c r="B24" s="2438" t="s">
        <v>2146</v>
      </c>
      <c r="C24" s="145">
        <f>IF(B30=0,0,D30)</f>
        <v>0</v>
      </c>
      <c r="D24" s="2445"/>
      <c r="E24" s="138"/>
      <c r="F24" s="138"/>
      <c r="G24" s="138"/>
      <c r="H24" s="138"/>
      <c r="I24" s="138"/>
    </row>
    <row r="25" spans="1:35" ht="14.25">
      <c r="A25" s="3122"/>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2159</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4">
        <f ca="1">IF(D32="总价",G19-C24,G20-C25)</f>
        <v>7974</v>
      </c>
      <c r="D32" s="2452" t="s">
        <v>2161</v>
      </c>
      <c r="E32" s="138"/>
      <c r="F32" s="138"/>
      <c r="G32" s="138"/>
      <c r="H32" s="138"/>
      <c r="I32" s="138"/>
    </row>
    <row r="33" spans="1:15" ht="15">
      <c r="A33" s="960" t="s">
        <v>2162</v>
      </c>
      <c r="B33" s="2453"/>
      <c r="C33" s="2454"/>
      <c r="D33" s="2455"/>
      <c r="E33" s="2456" t="s">
        <v>2163</v>
      </c>
      <c r="F33" s="2457" t="str">
        <f>IF(D32="楼面单价","取值（单价）","取值（总价）")</f>
        <v>取值（总价）</v>
      </c>
      <c r="G33" s="138"/>
      <c r="H33" s="138"/>
      <c r="I33" s="138"/>
    </row>
    <row r="34" spans="1:15" ht="15">
      <c r="A34" s="2458"/>
      <c r="B34" s="2459" t="s">
        <v>2164</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2165</v>
      </c>
      <c r="F34" s="1740"/>
      <c r="G34" s="138"/>
      <c r="H34" s="138"/>
      <c r="I34" s="138"/>
    </row>
    <row r="35" spans="1:15" ht="15.75" thickBot="1">
      <c r="A35" s="2461"/>
      <c r="B35" s="2462"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2167</v>
      </c>
      <c r="F35" s="164"/>
      <c r="G35" s="138"/>
      <c r="H35" s="138"/>
      <c r="I35" s="138"/>
    </row>
    <row r="36" spans="1:15" ht="15.75" thickBot="1">
      <c r="A36" s="3101" t="s">
        <v>2168</v>
      </c>
      <c r="B36" s="2464" t="s">
        <v>2169</v>
      </c>
      <c r="C36" s="155"/>
      <c r="D36" s="2465"/>
      <c r="E36" s="2466"/>
      <c r="F36" s="2467"/>
      <c r="G36" s="138"/>
      <c r="H36" s="138"/>
      <c r="I36" s="138"/>
    </row>
    <row r="37" spans="1:15" ht="15.75" thickBot="1">
      <c r="A37" s="3102"/>
      <c r="B37" s="2269" t="s">
        <v>2170</v>
      </c>
      <c r="C37" s="157"/>
      <c r="D37" s="1395"/>
      <c r="E37" s="1395"/>
      <c r="F37" s="2467"/>
      <c r="G37" s="138"/>
      <c r="H37" s="138"/>
      <c r="I37" s="138"/>
    </row>
    <row r="38" spans="1:15" ht="15.75" thickBot="1">
      <c r="A38" s="3103"/>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9"/>
      <c r="C40" s="160"/>
      <c r="D40" s="160"/>
      <c r="E40" s="161"/>
      <c r="F40" s="2467"/>
      <c r="G40" s="138"/>
      <c r="H40" s="138"/>
      <c r="I40" s="138"/>
    </row>
    <row r="41" spans="1:15" ht="14.25">
      <c r="A41" s="2473" t="s">
        <v>2179</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18" t="s">
        <v>2182</v>
      </c>
      <c r="B45" s="3119"/>
      <c r="C45" s="3120"/>
      <c r="D45" s="165">
        <f ca="1">ROUND(H101*F45,0)</f>
        <v>7974</v>
      </c>
      <c r="E45" s="166" t="s">
        <v>2183</v>
      </c>
      <c r="F45" s="167">
        <v>1</v>
      </c>
      <c r="G45" s="168" t="s">
        <v>2184</v>
      </c>
      <c r="H45" s="138"/>
      <c r="I45" s="138"/>
      <c r="J45" s="3037" t="s">
        <v>2185</v>
      </c>
      <c r="K45" s="3037"/>
      <c r="L45" s="3037"/>
      <c r="M45" s="3037"/>
      <c r="N45" s="3037"/>
      <c r="O45" s="3037"/>
    </row>
    <row r="46" spans="1:15" ht="14.25" customHeight="1">
      <c r="A46" s="3115" t="s">
        <v>2186</v>
      </c>
      <c r="B46" s="3116"/>
      <c r="C46" s="3116"/>
      <c r="D46" s="3116"/>
      <c r="E46" s="3116"/>
      <c r="F46" s="3116"/>
      <c r="G46" s="3117"/>
      <c r="H46" s="2483"/>
      <c r="I46" s="169"/>
      <c r="J46" s="1813">
        <v>1</v>
      </c>
      <c r="K46" s="3037" t="s">
        <v>2187</v>
      </c>
      <c r="L46" s="3037"/>
      <c r="M46" s="3038"/>
      <c r="N46" s="3038"/>
      <c r="O46" s="3038"/>
    </row>
    <row r="47" spans="1:15" ht="12" customHeight="1">
      <c r="A47" s="170" t="s">
        <v>2188</v>
      </c>
      <c r="B47" s="171"/>
      <c r="C47" s="172"/>
      <c r="D47" s="173" t="s">
        <v>2189</v>
      </c>
      <c r="E47" s="24" t="s">
        <v>2190</v>
      </c>
      <c r="F47" s="174" t="s">
        <v>2191</v>
      </c>
      <c r="G47" s="175" t="s">
        <v>2192</v>
      </c>
      <c r="H47" s="2483"/>
      <c r="I47" s="169"/>
      <c r="J47" s="1813">
        <v>2</v>
      </c>
      <c r="K47" s="3037" t="s">
        <v>2193</v>
      </c>
      <c r="L47" s="3037"/>
      <c r="M47" s="3039">
        <f>'数据-取费表'!B2</f>
        <v>43040</v>
      </c>
      <c r="N47" s="3039"/>
      <c r="O47" s="3039"/>
    </row>
    <row r="48" spans="1:15" ht="25.5">
      <c r="A48" s="3105" t="s">
        <v>2194</v>
      </c>
      <c r="B48" s="3106"/>
      <c r="C48" s="3106"/>
      <c r="D48" s="140">
        <f>IF(H48="情况1",0,IF(H48="情况2",D52,IF(H48="情况3",D53,IF(H48="情况4",D54))))</f>
        <v>0</v>
      </c>
      <c r="E48" s="1802" t="str">
        <f>IF(H48="情况4","(销售额-原购置价)×税（费）率","销售额×税（费）率")</f>
        <v>销售额×税（费）率</v>
      </c>
      <c r="F48" s="176" t="str">
        <f>IF(H48="情况1","免征",'数据-取费表'!B41)</f>
        <v>免征</v>
      </c>
      <c r="G48" s="2484" t="s">
        <v>2195</v>
      </c>
      <c r="H48" s="2485" t="s">
        <v>2196</v>
      </c>
      <c r="I48" s="2483"/>
      <c r="J48" s="1813">
        <v>3</v>
      </c>
      <c r="K48" s="3037" t="s">
        <v>2197</v>
      </c>
      <c r="L48" s="3037"/>
      <c r="M48" s="3040">
        <f ca="1">H101</f>
        <v>7974</v>
      </c>
      <c r="N48" s="3040"/>
      <c r="O48" s="3040"/>
    </row>
    <row r="49" spans="1:35" ht="25.5" customHeight="1">
      <c r="A49" s="177" t="s">
        <v>2198</v>
      </c>
      <c r="B49" s="3085" t="s">
        <v>2199</v>
      </c>
      <c r="C49" s="3085"/>
      <c r="D49" s="178">
        <v>0</v>
      </c>
      <c r="E49" s="23" t="s">
        <v>2200</v>
      </c>
      <c r="F49" s="28" t="s">
        <v>34</v>
      </c>
      <c r="G49" s="3066"/>
      <c r="H49" s="138"/>
      <c r="I49" s="2486"/>
      <c r="J49" s="1813">
        <v>4</v>
      </c>
      <c r="K49" s="3037" t="str">
        <f>IF(项目基本情况!E8="房地产抵押价值","房地产抵押价值","抵押担保权已注销时的房地产抵押价值")</f>
        <v>房地产抵押价值</v>
      </c>
      <c r="L49" s="3037"/>
      <c r="M49" s="3040">
        <f ca="1">IF(项目基本情况!E8="房地产抵押价值",H107,H109)</f>
        <v>7974</v>
      </c>
      <c r="N49" s="3040"/>
      <c r="O49" s="3040"/>
    </row>
    <row r="50" spans="1:35" ht="25.5" customHeight="1">
      <c r="A50" s="179"/>
      <c r="B50" s="3085" t="s">
        <v>2201</v>
      </c>
      <c r="C50" s="3085"/>
      <c r="D50" s="180"/>
      <c r="E50" s="31"/>
      <c r="F50" s="181"/>
      <c r="G50" s="3067"/>
      <c r="H50" s="138"/>
      <c r="I50" s="2486"/>
      <c r="J50" s="3037" t="s">
        <v>2202</v>
      </c>
      <c r="K50" s="3037"/>
      <c r="L50" s="3037"/>
      <c r="M50" s="3037"/>
      <c r="N50" s="3037"/>
      <c r="O50" s="3037"/>
    </row>
    <row r="51" spans="1:35" ht="12" customHeight="1">
      <c r="A51" s="182"/>
      <c r="B51" s="3085" t="s">
        <v>2203</v>
      </c>
      <c r="C51" s="3085"/>
      <c r="D51" s="183"/>
      <c r="E51" s="30"/>
      <c r="F51" s="181"/>
      <c r="G51" s="3068"/>
      <c r="H51" s="138"/>
      <c r="I51" s="2486"/>
      <c r="J51" s="2487" t="s">
        <v>2204</v>
      </c>
      <c r="K51" s="3037" t="s">
        <v>2205</v>
      </c>
      <c r="L51" s="3037"/>
      <c r="M51" s="2487" t="s">
        <v>2206</v>
      </c>
      <c r="N51" s="2487" t="s">
        <v>2207</v>
      </c>
      <c r="O51" s="2487" t="s">
        <v>2208</v>
      </c>
    </row>
    <row r="52" spans="1:35" ht="24" customHeight="1">
      <c r="A52" s="184" t="s">
        <v>2209</v>
      </c>
      <c r="B52" s="3085" t="s">
        <v>2210</v>
      </c>
      <c r="C52" s="3085"/>
      <c r="D52" s="183">
        <f ca="1">ROUND(D45*'数据-取费表'!B41/(1+'数据-取费表'!C42),0)</f>
        <v>474</v>
      </c>
      <c r="E52" s="11" t="s">
        <v>2211</v>
      </c>
      <c r="F52" s="185">
        <f>'数据-取费表'!B41</f>
        <v>6.2719999999999998E-2</v>
      </c>
      <c r="G52" s="2488"/>
      <c r="H52" s="138"/>
      <c r="I52" s="2486"/>
      <c r="J52" s="1813">
        <v>1</v>
      </c>
      <c r="K52" s="3060" t="s">
        <v>2212</v>
      </c>
      <c r="L52" s="3060"/>
      <c r="M52" s="1755">
        <f>D48</f>
        <v>0</v>
      </c>
      <c r="N52" s="1813" t="str">
        <f>E48</f>
        <v>销售额×税（费）率</v>
      </c>
      <c r="O52" s="1756" t="str">
        <f>F48</f>
        <v>免征</v>
      </c>
    </row>
    <row r="53" spans="1:35" ht="12" customHeight="1">
      <c r="A53" s="184" t="s">
        <v>2213</v>
      </c>
      <c r="B53" s="3086" t="s">
        <v>2214</v>
      </c>
      <c r="C53" s="3087"/>
      <c r="D53" s="183">
        <f ca="1">ROUND(D45*'数据-取费表'!B41/(1+'数据-取费表'!C42),0)</f>
        <v>474</v>
      </c>
      <c r="E53" s="11" t="s">
        <v>2211</v>
      </c>
      <c r="F53" s="185">
        <f>'数据-取费表'!B41</f>
        <v>6.2719999999999998E-2</v>
      </c>
      <c r="G53" s="2488"/>
      <c r="H53" s="138"/>
      <c r="I53" s="2486"/>
      <c r="J53" s="1813">
        <v>2</v>
      </c>
      <c r="K53" s="3060" t="s">
        <v>2215</v>
      </c>
      <c r="L53" s="3060"/>
      <c r="M53" s="1755">
        <f t="shared" ref="M53:O54" ca="1" si="0">D55</f>
        <v>4</v>
      </c>
      <c r="N53" s="1813" t="str">
        <f t="shared" si="0"/>
        <v>销售额×税（费）率</v>
      </c>
      <c r="O53" s="1756">
        <f t="shared" si="0"/>
        <v>5.0000000000000001E-4</v>
      </c>
    </row>
    <row r="54" spans="1:35" ht="12" customHeight="1">
      <c r="A54" s="184" t="s">
        <v>2216</v>
      </c>
      <c r="B54" s="3086" t="s">
        <v>2217</v>
      </c>
      <c r="C54" s="3087"/>
      <c r="D54" s="183">
        <f ca="1">C68</f>
        <v>474</v>
      </c>
      <c r="E54" s="30" t="s">
        <v>2218</v>
      </c>
      <c r="F54" s="185">
        <f>'数据-取费表'!B41</f>
        <v>6.2719999999999998E-2</v>
      </c>
      <c r="G54" s="2488"/>
      <c r="H54" s="2489"/>
      <c r="I54" s="2486"/>
      <c r="J54" s="1813">
        <v>3</v>
      </c>
      <c r="K54" s="3060" t="s">
        <v>2219</v>
      </c>
      <c r="L54" s="3060"/>
      <c r="M54" s="1755">
        <f t="shared" ca="1" si="0"/>
        <v>4482</v>
      </c>
      <c r="N54" s="1813" t="str">
        <f t="shared" si="0"/>
        <v>增值额×税（费）率</v>
      </c>
      <c r="O54" s="1757" t="str">
        <f t="shared" si="0"/>
        <v>——</v>
      </c>
    </row>
    <row r="55" spans="1:35" ht="24" customHeight="1">
      <c r="A55" s="3124" t="s">
        <v>2220</v>
      </c>
      <c r="B55" s="3106"/>
      <c r="C55" s="3106"/>
      <c r="D55" s="186">
        <f ca="1">IF(H55="个人住宅",0,ROUND(D45*I55,0))</f>
        <v>4</v>
      </c>
      <c r="E55" s="11" t="s">
        <v>2221</v>
      </c>
      <c r="F55" s="185">
        <f>IF(H55="正常",I55,"免征")</f>
        <v>5.0000000000000001E-4</v>
      </c>
      <c r="G55" s="2488"/>
      <c r="H55" s="2485" t="s">
        <v>2222</v>
      </c>
      <c r="I55" s="187">
        <f>'数据-取费表'!B49</f>
        <v>5.0000000000000001E-4</v>
      </c>
      <c r="J55" s="1813" t="str">
        <f>IF(H59="非个人房产","",4)</f>
        <v/>
      </c>
      <c r="K55" s="3060" t="str">
        <f>IF(H59="非个人房产","——","个人所得税")</f>
        <v>——</v>
      </c>
      <c r="L55" s="3060"/>
      <c r="M55" s="1758" t="str">
        <f>D59</f>
        <v>——</v>
      </c>
      <c r="N55" s="1811" t="str">
        <f>E59</f>
        <v>——</v>
      </c>
      <c r="O55" s="1759" t="str">
        <f>F59</f>
        <v>——</v>
      </c>
    </row>
    <row r="56" spans="1:35" ht="24.75">
      <c r="A56" s="3124" t="s">
        <v>2223</v>
      </c>
      <c r="B56" s="3106"/>
      <c r="C56" s="3106"/>
      <c r="D56" s="186">
        <f ca="1">IF(H56="个人住宅",D57,D58)</f>
        <v>4482</v>
      </c>
      <c r="E56" s="11" t="s">
        <v>2224</v>
      </c>
      <c r="F56" s="185" t="str">
        <f>IF(H56="正常",F58,"免征")</f>
        <v>——</v>
      </c>
      <c r="G56" s="2490" t="s">
        <v>2225</v>
      </c>
      <c r="H56" s="2491" t="s">
        <v>2222</v>
      </c>
      <c r="I56" s="2492"/>
      <c r="J56" s="1813" t="str">
        <f>IF(项目基本情况!K6="上海银行",IF(J55="",4,J55+1),"")</f>
        <v/>
      </c>
      <c r="K56" s="3043" t="str">
        <f>IF(项目基本情况!K6="上海银行","其他处置费用","")</f>
        <v/>
      </c>
      <c r="L56" s="3044"/>
      <c r="M56" s="1755" t="str">
        <f>IF(项目基本情况!K6="上海银行",M69,"")</f>
        <v/>
      </c>
      <c r="N56" s="3046" t="str">
        <f>IF(项目基本情况!K6="上海银行","包含处置中涉及的律师、诉讼、拍卖、评估等费用","")</f>
        <v/>
      </c>
      <c r="O56" s="3047"/>
    </row>
    <row r="57" spans="1:35" ht="12.75">
      <c r="A57" s="184" t="s">
        <v>2198</v>
      </c>
      <c r="B57" s="3091" t="s">
        <v>2226</v>
      </c>
      <c r="C57" s="3092"/>
      <c r="D57" s="188">
        <v>0</v>
      </c>
      <c r="E57" s="23" t="s">
        <v>2200</v>
      </c>
      <c r="F57" s="156"/>
      <c r="G57" s="2488"/>
      <c r="H57" s="2492"/>
      <c r="I57" s="2492"/>
      <c r="J57" s="3060">
        <f>IF(AND(J55="",J56=""),4,IF(项目基本情况!K6="上海银行",结果表!J56+1,结果表!J55+1))</f>
        <v>4</v>
      </c>
      <c r="K57" s="3060" t="s">
        <v>2227</v>
      </c>
      <c r="L57" s="2493" t="s">
        <v>2228</v>
      </c>
      <c r="M57" s="1760"/>
      <c r="N57" s="1761">
        <f ca="1">SUMIF(M52:M56,"&lt;9e307")</f>
        <v>4486</v>
      </c>
      <c r="O57" s="2494"/>
      <c r="P57" s="1754">
        <f ca="1">N57/M49</f>
        <v>0.56257837973413594</v>
      </c>
    </row>
    <row r="58" spans="1:35" ht="24.75">
      <c r="A58" s="184" t="s">
        <v>2209</v>
      </c>
      <c r="B58" s="3091" t="s">
        <v>2229</v>
      </c>
      <c r="C58" s="3104"/>
      <c r="D58" s="186">
        <f ca="1">IF(H58="转让取得",C81,C97)</f>
        <v>4482</v>
      </c>
      <c r="E58" s="11" t="s">
        <v>2224</v>
      </c>
      <c r="F58" s="24" t="s">
        <v>34</v>
      </c>
      <c r="G58" s="2488"/>
      <c r="H58" s="2491" t="s">
        <v>2230</v>
      </c>
      <c r="I58" s="2492"/>
      <c r="J58" s="3060"/>
      <c r="K58" s="3060"/>
      <c r="L58" s="2493" t="s">
        <v>2231</v>
      </c>
      <c r="M58" s="1762"/>
      <c r="N58" s="2495" t="str">
        <f ca="1">NUMBERSTRING(INT(N57*10000),2)&amp;"元整"</f>
        <v>肆仟肆佰捌拾陆万元整</v>
      </c>
      <c r="O58" s="2496"/>
    </row>
    <row r="59" spans="1:35" ht="24.75" thickBot="1">
      <c r="A59" s="3064" t="s">
        <v>2232</v>
      </c>
      <c r="B59" s="3065"/>
      <c r="C59" s="3065"/>
      <c r="D59" s="189" t="str">
        <f>IF(H59="非个人房产","——",IF(H59="个人住宅",0,ROUND(D45*I59,0)))</f>
        <v>——</v>
      </c>
      <c r="E59" s="190" t="str">
        <f>IF(H59="非个人房产","——","销售额×税（费）率")</f>
        <v>——</v>
      </c>
      <c r="F59" s="191" t="str">
        <f>IF(H59="非个人房产","——",IF(H59="个人住宅","免征",I59))</f>
        <v>——</v>
      </c>
      <c r="G59" s="2497" t="s">
        <v>2225</v>
      </c>
      <c r="H59" s="2491" t="s">
        <v>2233</v>
      </c>
      <c r="I59" s="192">
        <v>0.01</v>
      </c>
      <c r="J59" s="3062">
        <f>J57+1</f>
        <v>5</v>
      </c>
      <c r="K59" s="3060" t="s">
        <v>2234</v>
      </c>
      <c r="L59" s="1813" t="s">
        <v>2228</v>
      </c>
      <c r="M59" s="1763"/>
      <c r="N59" s="1764">
        <f ca="1">M49-N57</f>
        <v>3488</v>
      </c>
      <c r="O59" s="2498"/>
    </row>
    <row r="60" spans="1:35" ht="12" customHeight="1">
      <c r="A60" s="2499"/>
      <c r="B60" s="2421"/>
      <c r="C60" s="2421"/>
      <c r="D60" s="2421"/>
      <c r="E60" s="2168"/>
      <c r="F60" s="2492"/>
      <c r="G60" s="2492"/>
      <c r="H60" s="2500"/>
      <c r="I60" s="138"/>
      <c r="J60" s="3063"/>
      <c r="K60" s="3060"/>
      <c r="L60" s="2493" t="s">
        <v>2231</v>
      </c>
      <c r="M60" s="1762"/>
      <c r="N60" s="2495" t="str">
        <f ca="1">NUMBERSTRING(INT(N59*10000),2)&amp;"元整"</f>
        <v>叁仟肆佰捌拾捌万元整</v>
      </c>
      <c r="O60" s="2496"/>
    </row>
    <row r="61" spans="1:35" ht="13.5" thickBot="1">
      <c r="A61" s="3123" t="s">
        <v>2235</v>
      </c>
      <c r="B61" s="3123"/>
      <c r="C61" s="3123"/>
      <c r="D61" s="3123"/>
      <c r="E61" s="3123"/>
      <c r="F61" s="2492"/>
      <c r="G61" s="2492"/>
      <c r="H61" s="2500"/>
      <c r="I61" s="138"/>
      <c r="J61" s="1813">
        <f>J59+1</f>
        <v>6</v>
      </c>
      <c r="K61" s="3060" t="s">
        <v>2236</v>
      </c>
      <c r="L61" s="3060"/>
      <c r="M61" s="1765"/>
      <c r="N61" s="1766">
        <f ca="1">ROUND(N59*10000/'数据-汇总表'!E3,0)</f>
        <v>13241</v>
      </c>
      <c r="O61" s="2501"/>
    </row>
    <row r="62" spans="1:35" ht="12.75">
      <c r="A62" s="3080" t="s">
        <v>2237</v>
      </c>
      <c r="B62" s="3081"/>
      <c r="C62" s="1805"/>
      <c r="D62" s="1805" t="s">
        <v>2238</v>
      </c>
      <c r="E62" s="193" t="s">
        <v>2239</v>
      </c>
      <c r="F62" s="2492"/>
      <c r="G62" s="2492"/>
      <c r="H62" s="2500"/>
      <c r="I62" s="138"/>
    </row>
    <row r="63" spans="1:35" ht="12.75">
      <c r="A63" s="204" t="s">
        <v>775</v>
      </c>
      <c r="B63" s="194" t="s">
        <v>2240</v>
      </c>
      <c r="C63" s="195">
        <f ca="1">ROUND((C64+C65)/(1+'数据-取费表'!C42),0)</f>
        <v>7551</v>
      </c>
      <c r="D63" s="196"/>
      <c r="E63" s="197"/>
      <c r="F63" s="2492"/>
      <c r="G63" s="2492"/>
      <c r="H63" s="2500"/>
      <c r="I63" s="138"/>
      <c r="J63" s="3045" t="s">
        <v>2241</v>
      </c>
      <c r="K63" s="2502" t="s">
        <v>2242</v>
      </c>
      <c r="L63" s="1753">
        <f ca="1">IF(M49&gt;10000,M49*0.5%,IF(AND(M49&gt;1000,M49&lt;=10000),M49*1%,IF(AND(M49&gt;100,M49&lt;=1000),M49*3%,IF(AND(M49&gt;10,M49&lt;=100),M49*5%,M49*8%))))</f>
        <v>79.739999999999995</v>
      </c>
      <c r="M63" s="24">
        <f ca="1">ROUND(L63,1)</f>
        <v>79.7</v>
      </c>
      <c r="Z63" s="2426"/>
      <c r="AI63" s="2427"/>
    </row>
    <row r="64" spans="1:35" ht="14.25" customHeight="1">
      <c r="A64" s="198" t="s">
        <v>770</v>
      </c>
      <c r="B64" s="199" t="s">
        <v>2243</v>
      </c>
      <c r="C64" s="200">
        <f ca="1">D45</f>
        <v>7974</v>
      </c>
      <c r="D64" s="201" t="s">
        <v>32</v>
      </c>
      <c r="E64" s="202"/>
      <c r="F64" s="2492"/>
      <c r="G64" s="2492"/>
      <c r="H64" s="2500"/>
      <c r="I64" s="138"/>
      <c r="J64" s="3045"/>
      <c r="K64" s="2502" t="s">
        <v>2244</v>
      </c>
      <c r="L64" s="1753">
        <f ca="1">IF(M49&gt;2000,M49*0.5%,IF(AND(M49&gt;1000,M49&lt;=2000),M49*0.6%,IF(AND(M49&gt;500,M49&lt;=1000),M49*0.7%,IF(AND(M49&gt;200,M49&lt;=500),M49*0.8%,IF(AND(M49&gt;100,M49&lt;=200),M49*0.9%,IF(AND(M49&gt;50,M49&lt;=100),M49*1%,IF(AND(M49&gt;20,M49&lt;=50),M49*1.5%,IF(AND(M49&gt;10,M49&lt;=20),M49*2%,IF(AND(M49&gt;1,M49&lt;=10),M49*2.5%)))))))))</f>
        <v>39.869999999999997</v>
      </c>
      <c r="M64" s="24">
        <f t="shared" ref="M64:M65" ca="1" si="1">ROUND(L64,1)</f>
        <v>39.9</v>
      </c>
      <c r="N64" s="138" t="s">
        <v>2245</v>
      </c>
      <c r="Z64" s="2426"/>
      <c r="AI64" s="2427"/>
    </row>
    <row r="65" spans="1:35" ht="14.25" customHeight="1">
      <c r="A65" s="198" t="s">
        <v>771</v>
      </c>
      <c r="B65" s="199" t="s">
        <v>2246</v>
      </c>
      <c r="C65" s="203"/>
      <c r="D65" s="201"/>
      <c r="E65" s="202"/>
      <c r="F65" s="2492"/>
      <c r="G65" s="2492"/>
      <c r="H65" s="2500"/>
      <c r="I65" s="138"/>
      <c r="J65" s="3045"/>
      <c r="K65" s="2502" t="s">
        <v>2247</v>
      </c>
      <c r="L65" s="1753">
        <f ca="1">IF(M49&gt;1000,M49*0.1%,IF(AND(M49&gt;500,M49&lt;=1000),M49*0.5%,IF(AND(M49&gt;50,M49&lt;=500),M49*1%,IF(AND(M49&gt;1,M49&lt;=50),M49*1.5%))))</f>
        <v>7.9740000000000002</v>
      </c>
      <c r="M65" s="24">
        <f t="shared" ca="1" si="1"/>
        <v>8</v>
      </c>
      <c r="N65" s="138" t="s">
        <v>2245</v>
      </c>
      <c r="Z65" s="2426"/>
      <c r="AI65" s="2427"/>
    </row>
    <row r="66" spans="1:35" ht="14.25" customHeight="1">
      <c r="A66" s="204" t="s">
        <v>772</v>
      </c>
      <c r="B66" s="205" t="s">
        <v>2248</v>
      </c>
      <c r="C66" s="206"/>
      <c r="D66" s="207" t="s">
        <v>32</v>
      </c>
      <c r="E66" s="1777" t="s">
        <v>1372</v>
      </c>
      <c r="F66" s="2492"/>
      <c r="G66" s="2492"/>
      <c r="H66" s="2500"/>
      <c r="I66" s="138"/>
      <c r="J66" s="3045"/>
      <c r="K66" s="2502" t="s">
        <v>2249</v>
      </c>
      <c r="L66" s="1753">
        <f ca="1">M49*0.5%</f>
        <v>39.869999999999997</v>
      </c>
      <c r="M66" s="24">
        <f ca="1">IF(L66&gt;0.5,0.5,ROUND(L66,0))</f>
        <v>0.5</v>
      </c>
      <c r="N66" s="138" t="s">
        <v>2250</v>
      </c>
      <c r="Z66" s="2426"/>
      <c r="AI66" s="2427"/>
    </row>
    <row r="67" spans="1:35" ht="14.25" customHeight="1">
      <c r="A67" s="204" t="s">
        <v>773</v>
      </c>
      <c r="B67" s="205" t="s">
        <v>2251</v>
      </c>
      <c r="C67" s="208">
        <f ca="1">C63-C66</f>
        <v>7551</v>
      </c>
      <c r="D67" s="201" t="s">
        <v>32</v>
      </c>
      <c r="E67" s="202"/>
      <c r="F67" s="2492"/>
      <c r="G67" s="2492"/>
      <c r="H67" s="2500"/>
      <c r="I67" s="138"/>
      <c r="J67" s="3045"/>
      <c r="K67" s="2502" t="s">
        <v>2252</v>
      </c>
      <c r="L67" s="1753">
        <f ca="1">IF(M49&gt;=10000,(8.25+(M49-10000)*0.01%),IF(AND(M49&gt;=8000,M49&lt;10000),(7.85+(M49-8000)*0.02%),IF(AND(M49&gt;=5000,M49&lt;8000),(6.65+(M49-5000)*0.04%),IF(AND(M49&gt;=2000,M49&lt;5000),(4.25+(PM49-2000)*0.08%),IF(AND(M49&gt;=1000,M49&lt;2000),(2.75+(M49-1000)*0.15%),IF(AND(M49&gt;=100,M49&lt;1000),(0.5+(M49-100)*0.25%),IF(AND(M49&gt;0,M49&lt;100),M49*0.5%)))))))</f>
        <v>7.8396000000000008</v>
      </c>
      <c r="M67" s="24">
        <f ca="1">ROUND(L67*0.9,1)</f>
        <v>7.1</v>
      </c>
      <c r="Z67" s="2426"/>
      <c r="AI67" s="2427"/>
    </row>
    <row r="68" spans="1:35" ht="14.25" customHeight="1" thickBot="1">
      <c r="A68" s="209" t="s">
        <v>774</v>
      </c>
      <c r="B68" s="210" t="s">
        <v>2253</v>
      </c>
      <c r="C68" s="211">
        <f ca="1">IF(C67&lt;=0,0,ROUND(C67*D68,0))</f>
        <v>474</v>
      </c>
      <c r="D68" s="212">
        <f>'数据-取费表'!B41</f>
        <v>6.2719999999999998E-2</v>
      </c>
      <c r="E68" s="213"/>
      <c r="F68" s="2492"/>
      <c r="G68" s="2492"/>
      <c r="H68" s="2500"/>
      <c r="I68" s="138"/>
      <c r="J68" s="3045"/>
      <c r="K68" s="2502" t="s">
        <v>2254</v>
      </c>
      <c r="L68" s="1753">
        <f ca="1">IF(M49&gt;10000,M49*0.5%,IF(AND(M49&gt;5000,M49&lt;=10000),M49*1%,IF(AND(M49&gt;1000,M49&lt;=5000),M49*2%,IF(AND(M49&gt;200,M49&lt;=1000),M49*3%,M49*5%))))</f>
        <v>79.739999999999995</v>
      </c>
      <c r="M68" s="24">
        <f ca="1">ROUND(L68,1)</f>
        <v>79.7</v>
      </c>
      <c r="Z68" s="2426"/>
      <c r="AI68" s="2427"/>
    </row>
    <row r="69" spans="1:35" s="2449" customFormat="1" ht="16.5" customHeight="1">
      <c r="A69" s="2503"/>
      <c r="B69" s="2504"/>
      <c r="C69" s="2505"/>
      <c r="D69" s="2506"/>
      <c r="E69" s="2507"/>
      <c r="F69" s="2168"/>
      <c r="G69" s="2168"/>
      <c r="H69" s="2167"/>
      <c r="I69" s="2421"/>
      <c r="J69" s="3045"/>
      <c r="K69" s="2502" t="s">
        <v>2255</v>
      </c>
      <c r="L69" s="2508"/>
      <c r="M69" s="24">
        <f ca="1">ROUND(SUM(M63:M68),0)</f>
        <v>215</v>
      </c>
      <c r="N69" s="1754">
        <f ca="1">M69/M49</f>
        <v>2.6962628542763982E-2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89" t="s">
        <v>2256</v>
      </c>
      <c r="B70" s="3090"/>
      <c r="C70" s="3090"/>
      <c r="D70" s="3090"/>
      <c r="E70" s="3090"/>
      <c r="F70" s="3090"/>
      <c r="G70" s="3090"/>
      <c r="H70" s="309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0" t="s">
        <v>2237</v>
      </c>
      <c r="B71" s="3081"/>
      <c r="C71" s="1805"/>
      <c r="D71" s="1805" t="s">
        <v>2238</v>
      </c>
      <c r="E71" s="214" t="s">
        <v>2239</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4" t="s">
        <v>775</v>
      </c>
      <c r="B72" s="205" t="s">
        <v>2257</v>
      </c>
      <c r="C72" s="208">
        <f ca="1">ROUND(D45/(1+'数据-取费表'!C42),0)</f>
        <v>7551</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4" t="s">
        <v>772</v>
      </c>
      <c r="B73" s="174" t="s">
        <v>2258</v>
      </c>
      <c r="C73" s="208">
        <f ca="1">C74+C78</f>
        <v>51</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8" t="s">
        <v>770</v>
      </c>
      <c r="B74" s="199" t="s">
        <v>2259</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8" t="s">
        <v>776</v>
      </c>
      <c r="B75" s="199" t="s">
        <v>2260</v>
      </c>
      <c r="C75" s="219"/>
      <c r="D75" s="201" t="s">
        <v>32</v>
      </c>
      <c r="E75" s="220" t="s">
        <v>2261</v>
      </c>
      <c r="F75" s="2514" t="s">
        <v>2262</v>
      </c>
      <c r="G75" s="220" t="s">
        <v>2263</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8" t="s">
        <v>777</v>
      </c>
      <c r="B76" s="222" t="s">
        <v>2264</v>
      </c>
      <c r="C76" s="201">
        <f>IF(F75="购房发票",ROUND(C75*H75*D76,0),0)</f>
        <v>0</v>
      </c>
      <c r="D76" s="223">
        <v>0.05</v>
      </c>
      <c r="E76" s="3086" t="s">
        <v>2265</v>
      </c>
      <c r="F76" s="3085"/>
      <c r="G76" s="3085"/>
      <c r="H76" s="308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8" t="s">
        <v>778</v>
      </c>
      <c r="B77" s="199" t="s">
        <v>2266</v>
      </c>
      <c r="C77" s="201">
        <f>ROUND(IF(G77="个人住宅",0,IF(G77="2016年5月1日前购买",C75*D77,C75*D77/(1+'数据-取费表'!C42))),0)</f>
        <v>0</v>
      </c>
      <c r="D77" s="224">
        <f>'数据-取费表'!B48+'数据-取费表'!B49</f>
        <v>3.0499999999999999E-2</v>
      </c>
      <c r="E77" s="15" t="s">
        <v>2267</v>
      </c>
      <c r="F77" s="225"/>
      <c r="G77" s="2516" t="s">
        <v>2268</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8" t="s">
        <v>771</v>
      </c>
      <c r="B78" s="199" t="s">
        <v>2269</v>
      </c>
      <c r="C78" s="226">
        <f ca="1">ROUND(D45*D78/(1+'数据-取费表'!C42),0)</f>
        <v>51</v>
      </c>
      <c r="D78" s="227">
        <f>'数据-取费表'!B43</f>
        <v>6.7200000000000003E-3</v>
      </c>
      <c r="E78" s="3077" t="s">
        <v>2270</v>
      </c>
      <c r="F78" s="3078"/>
      <c r="G78" s="3078"/>
      <c r="H78" s="307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5" t="s">
        <v>2271</v>
      </c>
      <c r="C79" s="208">
        <f ca="1">C72-C73</f>
        <v>7500</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5" t="s">
        <v>2272</v>
      </c>
      <c r="C80" s="228">
        <f ca="1">IF(C79&lt;=0,0,C79/C73)</f>
        <v>147.05882352941177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10" t="s">
        <v>2273</v>
      </c>
      <c r="C81" s="229">
        <f ca="1">ROUND(IF(C79&lt;=0,0,IF(C80&gt;=200%,C79*60%-C73*35%,IF(C80&gt;=100%,C79*50%-C73*15%,IF(C80&gt;=50%,C79*40%-C73*5%,IF(C80&lt;50%,C79*30%,0))))),0)</f>
        <v>4482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89" t="s">
        <v>2274</v>
      </c>
      <c r="B83" s="3090"/>
      <c r="C83" s="3090"/>
      <c r="D83" s="3090"/>
      <c r="E83" s="3090"/>
      <c r="F83" s="3090"/>
      <c r="G83" s="3090"/>
      <c r="H83" s="309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0" t="s">
        <v>2237</v>
      </c>
      <c r="B84" s="3081"/>
      <c r="C84" s="1805"/>
      <c r="D84" s="1805" t="s">
        <v>2238</v>
      </c>
      <c r="E84" s="214" t="s">
        <v>2239</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4" t="s">
        <v>775</v>
      </c>
      <c r="B85" s="205" t="s">
        <v>2257</v>
      </c>
      <c r="C85" s="208">
        <f ca="1">ROUND(D45/(1+'数据-取费表'!C42),0)</f>
        <v>7551</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4" t="s">
        <v>772</v>
      </c>
      <c r="B86" s="174" t="s">
        <v>2258</v>
      </c>
      <c r="C86" s="208">
        <f ca="1">IF(H88="仅含出让金",C87+C90+C91+C92+C93+C94,C87+C91+C92+C93+C94)</f>
        <v>51</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8" t="s">
        <v>770</v>
      </c>
      <c r="B87" s="199" t="s">
        <v>2275</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8" t="s">
        <v>776</v>
      </c>
      <c r="B88" s="199" t="s">
        <v>2276</v>
      </c>
      <c r="C88" s="237"/>
      <c r="D88" s="227"/>
      <c r="E88" s="238" t="s">
        <v>2277</v>
      </c>
      <c r="F88" s="1801"/>
      <c r="G88" s="239"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8" t="s">
        <v>777</v>
      </c>
      <c r="B89" s="199" t="s">
        <v>2266</v>
      </c>
      <c r="C89" s="226">
        <f>ROUND(C88*D89,0)</f>
        <v>0</v>
      </c>
      <c r="D89" s="227">
        <f>'数据-取费表'!B48+'数据-取费表'!B49</f>
        <v>3.0499999999999999E-2</v>
      </c>
      <c r="E89" s="238" t="s">
        <v>2279</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8" t="s">
        <v>771</v>
      </c>
      <c r="B90" s="199" t="s">
        <v>2280</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8" t="s">
        <v>2281</v>
      </c>
      <c r="B91" s="199" t="s">
        <v>2282</v>
      </c>
      <c r="C91" s="226">
        <f>IF(H91="——",成本法!C33,I91)</f>
        <v>0</v>
      </c>
      <c r="D91" s="227"/>
      <c r="E91" s="3077" t="s">
        <v>2283</v>
      </c>
      <c r="F91" s="3078"/>
      <c r="G91" s="3078"/>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8" t="s">
        <v>2285</v>
      </c>
      <c r="B92" s="199" t="s">
        <v>2286</v>
      </c>
      <c r="C92" s="226">
        <f>ROUND((C87+C90+C91)*D92,0)</f>
        <v>0</v>
      </c>
      <c r="D92" s="227">
        <v>0.1</v>
      </c>
      <c r="E92" s="3077" t="s">
        <v>2287</v>
      </c>
      <c r="F92" s="3078"/>
      <c r="G92" s="3078"/>
      <c r="H92" s="307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8" t="s">
        <v>2288</v>
      </c>
      <c r="B93" s="199" t="s">
        <v>2269</v>
      </c>
      <c r="C93" s="226">
        <f ca="1">ROUND(D45*D93/(1+'数据-取费表'!C42),0)</f>
        <v>51</v>
      </c>
      <c r="D93" s="227">
        <f>'数据-取费表'!B43</f>
        <v>6.7200000000000003E-3</v>
      </c>
      <c r="E93" s="3077" t="s">
        <v>2270</v>
      </c>
      <c r="F93" s="3078"/>
      <c r="G93" s="3078"/>
      <c r="H93" s="307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8" t="s">
        <v>2289</v>
      </c>
      <c r="B94" s="199" t="s">
        <v>2290</v>
      </c>
      <c r="C94" s="237">
        <f>ROUND((C87+C90+C91)*D94,0)</f>
        <v>0</v>
      </c>
      <c r="D94" s="227">
        <v>0.2</v>
      </c>
      <c r="E94" s="3125" t="s">
        <v>2291</v>
      </c>
      <c r="F94" s="3126"/>
      <c r="G94" s="3126"/>
      <c r="H94" s="312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5" t="s">
        <v>2271</v>
      </c>
      <c r="C95" s="208">
        <f ca="1">ROUND(C85-C86,0)</f>
        <v>7500</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5" t="s">
        <v>2272</v>
      </c>
      <c r="C96" s="228">
        <f ca="1">IF(C95&lt;=0,0,C95/C86)</f>
        <v>147.05882352941177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10" t="s">
        <v>2273</v>
      </c>
      <c r="C97" s="229">
        <f ca="1">ROUND(IF(C95&lt;=0,0,IF(C96&gt;=200%,C95*60%-C86*35%,IF(C96&gt;=100%,C95*50%-C86*15%,IF(C96&gt;=50%,C95*40%-C86*5%,IF(C96&lt;50%,C95*30%,0))))),0)</f>
        <v>4482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29" t="s">
        <v>2293</v>
      </c>
      <c r="B100" s="3030"/>
      <c r="C100" s="3030"/>
      <c r="D100" s="3061"/>
      <c r="E100" s="3030" t="s">
        <v>2294</v>
      </c>
      <c r="F100" s="3030"/>
      <c r="G100" s="3030"/>
      <c r="H100" s="3061"/>
      <c r="I100" s="138"/>
    </row>
    <row r="101" spans="1:35" ht="18.75" customHeight="1">
      <c r="A101" s="3069" t="s">
        <v>2295</v>
      </c>
      <c r="B101" s="3070"/>
      <c r="C101" s="736" t="str">
        <f>C4</f>
        <v>典型户型修正</v>
      </c>
      <c r="D101" s="737" t="str">
        <f>D4</f>
        <v>收益法</v>
      </c>
      <c r="E101" s="3041" t="s">
        <v>2296</v>
      </c>
      <c r="F101" s="3042"/>
      <c r="G101" s="2523" t="s">
        <v>2297</v>
      </c>
      <c r="H101" s="1048">
        <f ca="1">H118</f>
        <v>7974</v>
      </c>
      <c r="I101" s="138"/>
    </row>
    <row r="102" spans="1:35" ht="18.75" customHeight="1">
      <c r="A102" s="3071" t="s">
        <v>2298</v>
      </c>
      <c r="B102" s="2523" t="s">
        <v>2297</v>
      </c>
      <c r="C102" s="736">
        <f ca="1">C19</f>
        <v>8681</v>
      </c>
      <c r="D102" s="737">
        <f ca="1">D19</f>
        <v>6325</v>
      </c>
      <c r="E102" s="3041"/>
      <c r="F102" s="3042"/>
      <c r="G102" s="2523" t="s">
        <v>2299</v>
      </c>
      <c r="H102" s="372">
        <f ca="1">I118</f>
        <v>30271</v>
      </c>
      <c r="I102" s="138"/>
    </row>
    <row r="103" spans="1:35" ht="42.75" customHeight="1">
      <c r="A103" s="3071"/>
      <c r="B103" s="2523" t="s">
        <v>2299</v>
      </c>
      <c r="C103" s="738">
        <f ca="1">C20</f>
        <v>32955</v>
      </c>
      <c r="D103" s="739">
        <f ca="1">D20</f>
        <v>24011</v>
      </c>
      <c r="E103" s="3035" t="s">
        <v>2300</v>
      </c>
      <c r="F103" s="3036"/>
      <c r="G103" s="2524" t="s">
        <v>2301</v>
      </c>
      <c r="H103" s="1048">
        <f>IF(D36="正常操作",H104+H105+H106,H105+H106)</f>
        <v>0</v>
      </c>
      <c r="I103" s="138"/>
    </row>
    <row r="104" spans="1:35" ht="18.75" customHeight="1">
      <c r="A104" s="3071" t="s">
        <v>2302</v>
      </c>
      <c r="B104" s="2525" t="s">
        <v>2297</v>
      </c>
      <c r="C104" s="740">
        <f ca="1">H118</f>
        <v>7974</v>
      </c>
      <c r="D104" s="741"/>
      <c r="E104" s="2269" t="s">
        <v>2303</v>
      </c>
      <c r="F104" s="2260"/>
      <c r="G104" s="2524" t="s">
        <v>2301</v>
      </c>
      <c r="H104" s="1049">
        <f>IF(D36="同一抵押权人同一抵押物续贷",C36&amp;"（未扣减，详见特别提示）",C36)</f>
        <v>0</v>
      </c>
      <c r="I104" s="138"/>
    </row>
    <row r="105" spans="1:35" ht="18.75" customHeight="1" thickBot="1">
      <c r="A105" s="3083"/>
      <c r="B105" s="2526" t="s">
        <v>2299</v>
      </c>
      <c r="C105" s="742">
        <f ca="1">I118</f>
        <v>30271</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072" t="str">
        <f>IF(项目基本情况!E8="已注销","——","3.房地产抵押价值")</f>
        <v>3.房地产抵押价值</v>
      </c>
      <c r="F107" s="3042"/>
      <c r="G107" s="2523" t="s">
        <v>2297</v>
      </c>
      <c r="H107" s="1048">
        <f ca="1">IF(E107="——","——",H101-H103)</f>
        <v>7974</v>
      </c>
      <c r="I107" s="138"/>
    </row>
    <row r="108" spans="1:35" ht="18.75" customHeight="1">
      <c r="A108" s="138"/>
      <c r="B108" s="138"/>
      <c r="C108" s="138"/>
      <c r="D108" s="138"/>
      <c r="E108" s="3072"/>
      <c r="F108" s="3042"/>
      <c r="G108" s="2523" t="s">
        <v>2299</v>
      </c>
      <c r="H108" s="372">
        <f ca="1">ROUND(H107*10000/'数据-汇总表'!E3,0)</f>
        <v>30271</v>
      </c>
      <c r="I108" s="138"/>
    </row>
    <row r="109" spans="1:35" ht="18.75" customHeight="1">
      <c r="A109" s="138"/>
      <c r="B109" s="138"/>
      <c r="C109" s="138"/>
      <c r="D109" s="138"/>
      <c r="E109" s="3072" t="str">
        <f>IF(项目基本情况!E8="已注销及未注销","4.抵押担保权已注销时的房地产抵押价值",IF(项目基本情况!E8="已注销","3.抵押担保权已注销时的房地产抵押价值","——"))</f>
        <v>——</v>
      </c>
      <c r="F109" s="3042"/>
      <c r="G109" s="2523" t="s">
        <v>2297</v>
      </c>
      <c r="H109" s="349" t="str">
        <f>IF(E109="——","——",H101-H105-H106)</f>
        <v>——</v>
      </c>
      <c r="I109" s="138"/>
    </row>
    <row r="110" spans="1:35" ht="18.75" customHeight="1">
      <c r="A110" s="138"/>
      <c r="B110" s="138"/>
      <c r="C110" s="138"/>
      <c r="D110" s="138"/>
      <c r="E110" s="3072"/>
      <c r="F110" s="3042"/>
      <c r="G110" s="2523" t="s">
        <v>2299</v>
      </c>
      <c r="H110" s="372" t="str">
        <f>IF(H109="——","——",ROUND(H109*10000/'数据-汇总表'!E3,0))</f>
        <v>——</v>
      </c>
      <c r="I110" s="138"/>
    </row>
    <row r="111" spans="1:35" ht="18.75" customHeight="1">
      <c r="A111" s="138"/>
      <c r="B111" s="138"/>
      <c r="C111" s="138"/>
      <c r="D111" s="138"/>
      <c r="E111" s="3073" t="str">
        <f>IF(项目基本情况!E9="抵押净值",IF(OR(项目基本情况!E8="已注销",项目基本情况!E8="房地产抵押价值"),"4.抵押净值","5.抵押净值"),"——")</f>
        <v>——</v>
      </c>
      <c r="F111" s="3074"/>
      <c r="G111" s="2523" t="s">
        <v>2297</v>
      </c>
      <c r="H111" s="1048" t="str">
        <f>IF(E111="——","——",N59)</f>
        <v>——</v>
      </c>
      <c r="I111" s="138"/>
    </row>
    <row r="112" spans="1:35" ht="18.75" customHeight="1" thickBot="1">
      <c r="A112" s="138"/>
      <c r="B112" s="138"/>
      <c r="C112" s="138"/>
      <c r="D112" s="138"/>
      <c r="E112" s="3075"/>
      <c r="F112" s="3076"/>
      <c r="G112" s="2528" t="s">
        <v>2299</v>
      </c>
      <c r="H112" s="790" t="str">
        <f>IF(E111="——","——",N61)</f>
        <v>——</v>
      </c>
      <c r="I112" s="138"/>
    </row>
    <row r="113" spans="1:11" ht="18.75" customHeight="1">
      <c r="A113" s="138"/>
      <c r="B113" s="138"/>
      <c r="C113" s="138"/>
      <c r="D113" s="138"/>
      <c r="E113" s="3084" t="s">
        <v>2305</v>
      </c>
      <c r="F113" s="3084"/>
      <c r="G113" s="3084"/>
      <c r="H113" s="3084"/>
      <c r="I113" s="138"/>
    </row>
    <row r="114" spans="1:11" ht="3.75" customHeight="1">
      <c r="A114" s="2421"/>
      <c r="B114" s="2421"/>
      <c r="C114" s="2421"/>
      <c r="D114" s="2421"/>
      <c r="E114" s="2499"/>
      <c r="F114" s="2499"/>
      <c r="G114" s="2499"/>
      <c r="H114" s="2499"/>
      <c r="I114" s="2421"/>
    </row>
    <row r="115" spans="1:11" ht="18.75" customHeight="1">
      <c r="A115" s="3097" t="s">
        <v>2307</v>
      </c>
      <c r="B115" s="3098"/>
      <c r="C115" s="3098"/>
      <c r="D115" s="3098"/>
      <c r="E115" s="3098"/>
      <c r="F115" s="3098"/>
      <c r="G115" s="3098"/>
      <c r="H115" s="3098"/>
      <c r="I115" s="3099"/>
    </row>
    <row r="116" spans="1:11" ht="27" customHeight="1">
      <c r="A116" s="3008" t="s">
        <v>2308</v>
      </c>
      <c r="B116" s="3051" t="s">
        <v>2309</v>
      </c>
      <c r="C116" s="3051" t="s">
        <v>2310</v>
      </c>
      <c r="D116" s="3057" t="s">
        <v>2311</v>
      </c>
      <c r="E116" s="3058"/>
      <c r="F116" s="3093" t="s">
        <v>2312</v>
      </c>
      <c r="G116" s="3093"/>
      <c r="H116" s="3008" t="s">
        <v>2313</v>
      </c>
      <c r="I116" s="3008"/>
    </row>
    <row r="117" spans="1:11" ht="18.75" customHeight="1">
      <c r="A117" s="3008"/>
      <c r="B117" s="3052"/>
      <c r="C117" s="3052"/>
      <c r="D117" s="1799" t="s">
        <v>2314</v>
      </c>
      <c r="E117" s="1799" t="s">
        <v>2315</v>
      </c>
      <c r="F117" s="1799" t="s">
        <v>2314</v>
      </c>
      <c r="G117" s="1799" t="s">
        <v>2316</v>
      </c>
      <c r="H117" s="1799" t="s">
        <v>2314</v>
      </c>
      <c r="I117" s="1799" t="s">
        <v>2316</v>
      </c>
    </row>
    <row r="118" spans="1:11" ht="24.75" customHeight="1">
      <c r="A118" s="2529" t="str">
        <f>项目基本情况!S2</f>
        <v>北京市北京市海淀区白家疃尚峰园3号楼101号等17套房地产</v>
      </c>
      <c r="B118" s="1799">
        <f>M18</f>
        <v>2634.21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7974</v>
      </c>
      <c r="I118" s="1799">
        <f ca="1">ROUND(IF(D32="楼面单价",C32,H118*10000/B118),0)</f>
        <v>30271</v>
      </c>
    </row>
    <row r="119" spans="1:11" ht="18.75" customHeight="1">
      <c r="A119" s="3008" t="s">
        <v>2317</v>
      </c>
      <c r="B119" s="3008"/>
      <c r="C119" s="3008"/>
      <c r="D119" s="3053" t="e">
        <f ca="1">NUMBERSTRING(INT(D118*10000),2)&amp;"元整"</f>
        <v>#REF!</v>
      </c>
      <c r="E119" s="3054"/>
      <c r="F119" s="3053" t="e">
        <f ca="1">NUMBERSTRING(INT(F118*10000),2)&amp;"元整"</f>
        <v>#REF!</v>
      </c>
      <c r="G119" s="3054"/>
      <c r="H119" s="3053" t="str">
        <f ca="1">NUMBERSTRING(INT(H118*10000),2)&amp;"元整"</f>
        <v>柒仟玖佰柒拾肆万元整</v>
      </c>
      <c r="I119" s="3054"/>
    </row>
    <row r="120" spans="1:11" ht="18.75" customHeight="1">
      <c r="A120" s="3048" t="str">
        <f>IF(项目基本情况!B9="房地产市场价值","",MID(E103,3,LEN(E103)-2))</f>
        <v>估价师知悉的法定优先受偿款</v>
      </c>
      <c r="B120" s="3049"/>
      <c r="C120" s="3050"/>
      <c r="D120" s="3048">
        <f>H103</f>
        <v>0</v>
      </c>
      <c r="E120" s="3049"/>
      <c r="F120" s="3049"/>
      <c r="G120" s="3049"/>
      <c r="H120" s="3049"/>
      <c r="I120" s="3050"/>
      <c r="K120" s="2426" t="str">
        <f>IF(D120=0,"故，本次评估不存在"&amp;A120,"故，本次评估"&amp;A120&amp;"为人民币"&amp;D120&amp;"万元整。")</f>
        <v>故，本次评估不存在估价师知悉的法定优先受偿款</v>
      </c>
    </row>
    <row r="121" spans="1:11" ht="18.75" customHeight="1">
      <c r="A121" s="3094" t="s">
        <v>2317</v>
      </c>
      <c r="B121" s="3095"/>
      <c r="C121" s="3096"/>
      <c r="D121" s="3053" t="str">
        <f>IF(D120=0,"零元整",NUMBERSTRING(INT(D120*10000),2)&amp;"元整")</f>
        <v>零元整</v>
      </c>
      <c r="E121" s="3055"/>
      <c r="F121" s="3055"/>
      <c r="G121" s="3055"/>
      <c r="H121" s="3055"/>
      <c r="I121" s="3054"/>
    </row>
    <row r="122" spans="1:11" ht="18.75" customHeight="1">
      <c r="A122" s="3059" t="str">
        <f>IF(项目基本情况!B9="房地产市场价值","",MID(E107,3,LEN(E107)-2))</f>
        <v>房地产抵押价值</v>
      </c>
      <c r="B122" s="3059"/>
      <c r="C122" s="3059"/>
      <c r="D122" s="3048">
        <f ca="1">H107</f>
        <v>7974</v>
      </c>
      <c r="E122" s="3049"/>
      <c r="F122" s="3049"/>
      <c r="G122" s="3049"/>
      <c r="H122" s="3049"/>
      <c r="I122" s="3050"/>
    </row>
    <row r="123" spans="1:11" ht="18.75" customHeight="1">
      <c r="A123" s="3008" t="s">
        <v>2317</v>
      </c>
      <c r="B123" s="3008"/>
      <c r="C123" s="3008"/>
      <c r="D123" s="3053" t="str">
        <f ca="1">NUMBERSTRING(INT(D122*10000),2)&amp;"元整"</f>
        <v>柒仟玖佰柒拾肆万元整</v>
      </c>
      <c r="E123" s="3055"/>
      <c r="F123" s="3055"/>
      <c r="G123" s="3055"/>
      <c r="H123" s="3055"/>
      <c r="I123" s="3054"/>
    </row>
    <row r="124" spans="1:11" ht="18.75" customHeight="1">
      <c r="A124" s="3059" t="str">
        <f>IF(项目基本情况!B9="房地产市场价值","",MID(E109,3,LEN(E109)-2))</f>
        <v/>
      </c>
      <c r="B124" s="3059"/>
      <c r="C124" s="3059"/>
      <c r="D124" s="3048" t="str">
        <f>H109</f>
        <v>——</v>
      </c>
      <c r="E124" s="3049"/>
      <c r="F124" s="3049"/>
      <c r="G124" s="3049"/>
      <c r="H124" s="3049"/>
      <c r="I124" s="3050"/>
    </row>
    <row r="125" spans="1:11" ht="18.75" customHeight="1">
      <c r="A125" s="3008" t="s">
        <v>2317</v>
      </c>
      <c r="B125" s="3008"/>
      <c r="C125" s="3008"/>
      <c r="D125" s="3053" t="e">
        <f>NUMBERSTRING(INT(D124*10000),2)&amp;"元整"</f>
        <v>#VALUE!</v>
      </c>
      <c r="E125" s="3055"/>
      <c r="F125" s="3055"/>
      <c r="G125" s="3055"/>
      <c r="H125" s="3055"/>
      <c r="I125" s="3054"/>
    </row>
    <row r="126" spans="1:11" ht="18.75" customHeight="1">
      <c r="A126" s="3059" t="str">
        <f>IF(项目基本情况!B9="房地产市场价值","",MID(E111,3,LEN(E111)-2))</f>
        <v/>
      </c>
      <c r="B126" s="3059"/>
      <c r="C126" s="3059"/>
      <c r="D126" s="3048" t="str">
        <f>H111</f>
        <v>——</v>
      </c>
      <c r="E126" s="3049"/>
      <c r="F126" s="3049"/>
      <c r="G126" s="3049"/>
      <c r="H126" s="3049"/>
      <c r="I126" s="3050"/>
    </row>
    <row r="127" spans="1:11" ht="18.75" customHeight="1">
      <c r="A127" s="3008" t="s">
        <v>2317</v>
      </c>
      <c r="B127" s="3008"/>
      <c r="C127" s="3008"/>
      <c r="D127" s="3053" t="e">
        <f>NUMBERSTRING(INT(D126*10000),2)&amp;"元整"</f>
        <v>#VALUE!</v>
      </c>
      <c r="E127" s="3055"/>
      <c r="F127" s="3055"/>
      <c r="G127" s="3055"/>
      <c r="H127" s="3055"/>
      <c r="I127" s="3054"/>
    </row>
    <row r="128" spans="1:11" ht="21.75" customHeight="1">
      <c r="A128" s="3056" t="s">
        <v>2318</v>
      </c>
      <c r="B128" s="3056"/>
      <c r="C128" s="3056"/>
      <c r="D128" s="3056"/>
      <c r="E128" s="3056"/>
      <c r="F128" s="3056"/>
      <c r="G128" s="3056"/>
      <c r="H128" s="3056"/>
      <c r="I128" s="3056"/>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2321</v>
      </c>
      <c r="G135" s="2547"/>
      <c r="H135" s="2547"/>
      <c r="I135" s="2548" t="s">
        <v>2322</v>
      </c>
    </row>
    <row r="136" spans="1:35" ht="21.75" customHeight="1">
      <c r="A136" s="795"/>
      <c r="B136" s="254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2324</v>
      </c>
    </row>
    <row r="139" spans="1:35" ht="21.75" customHeight="1">
      <c r="A139" s="795"/>
      <c r="B139" s="2549" t="s">
        <v>2325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2324</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2326</v>
      </c>
      <c r="B1" s="1941"/>
      <c r="C1" s="243"/>
      <c r="D1" s="243"/>
      <c r="E1" s="243"/>
      <c r="F1" s="243"/>
      <c r="G1" s="1382">
        <f>MATCH(B1,'数据-取费表'!A6:A16,0)+5</f>
        <v>7</v>
      </c>
    </row>
    <row r="2" spans="1:9" s="245" customFormat="1" ht="18" customHeight="1">
      <c r="A2" s="246" t="s">
        <v>2327</v>
      </c>
      <c r="B2" s="247">
        <f ca="1">IF(D2="——",C52,C52-E2)</f>
        <v>888</v>
      </c>
      <c r="C2" s="244" t="s">
        <v>2328</v>
      </c>
      <c r="D2" s="2552" t="s">
        <v>70</v>
      </c>
      <c r="E2" s="1443" t="e">
        <f ca="1">SUMIF(INDIRECT("'"&amp;G2&amp;"'"&amp;"!A:A"),"承租人权益价值",INDIRECT("'"&amp;G2&amp;"'"&amp;"!c:c"))</f>
        <v>#REF!</v>
      </c>
      <c r="F2" s="2553" t="s">
        <v>2328</v>
      </c>
      <c r="G2" s="2554"/>
    </row>
    <row r="3" spans="1:9" s="245" customFormat="1" ht="18" customHeight="1" thickBot="1">
      <c r="A3" s="248" t="s">
        <v>2329</v>
      </c>
      <c r="B3" s="249">
        <f ca="1">ROUND(B2*10000/(IF(B1="",'数据-汇总表'!E3,INDIRECT("'数据-取费表'!k"&amp;$G$1))),0)</f>
        <v>3371</v>
      </c>
      <c r="C3" s="244" t="s">
        <v>2330</v>
      </c>
      <c r="D3" s="244"/>
      <c r="E3" s="244"/>
      <c r="F3" s="244"/>
      <c r="G3" s="244"/>
    </row>
    <row r="4" spans="1:9" s="253" customFormat="1" ht="15.75">
      <c r="A4" s="250" t="s">
        <v>2331</v>
      </c>
      <c r="B4" s="251"/>
      <c r="C4" s="251"/>
      <c r="D4" s="251"/>
      <c r="E4" s="251"/>
      <c r="F4" s="251"/>
      <c r="G4" s="252"/>
    </row>
    <row r="5" spans="1:9" s="259" customFormat="1" ht="13.5" customHeight="1">
      <c r="A5" s="300" t="s">
        <v>2332</v>
      </c>
      <c r="B5" s="255" t="s">
        <v>2333</v>
      </c>
      <c r="C5" s="256">
        <f>C6+C7+C8</f>
        <v>0</v>
      </c>
      <c r="D5" s="256" t="s">
        <v>2334</v>
      </c>
      <c r="E5" s="257" t="s">
        <v>2335</v>
      </c>
      <c r="F5" s="257" t="s">
        <v>2336</v>
      </c>
      <c r="G5" s="258"/>
    </row>
    <row r="6" spans="1:9" s="259" customFormat="1" ht="13.5" customHeight="1">
      <c r="A6" s="952" t="s">
        <v>2337</v>
      </c>
      <c r="B6" s="260" t="s">
        <v>2338</v>
      </c>
      <c r="C6" s="261"/>
      <c r="D6" s="262"/>
      <c r="E6" s="263"/>
      <c r="F6" s="263"/>
      <c r="G6" s="264"/>
    </row>
    <row r="7" spans="1:9" s="259" customFormat="1" ht="13.5" customHeight="1">
      <c r="A7" s="952" t="s">
        <v>2339</v>
      </c>
      <c r="B7" s="260" t="s">
        <v>2340</v>
      </c>
      <c r="C7" s="265">
        <f>ROUND(C6*F7,0)</f>
        <v>0</v>
      </c>
      <c r="D7" s="265"/>
      <c r="E7" s="263"/>
      <c r="F7" s="266">
        <f>'数据-取费表'!B48+'数据-取费表'!B49</f>
        <v>3.0499999999999999E-2</v>
      </c>
      <c r="G7" s="264"/>
    </row>
    <row r="8" spans="1:9" s="268" customFormat="1">
      <c r="A8" s="952" t="s">
        <v>2341</v>
      </c>
      <c r="B8" s="260" t="s">
        <v>2342</v>
      </c>
      <c r="C8" s="265">
        <f>IF(G8="已包含在土地购买价格中","0",IF(B1="",'数据-取费表'!B29,IF(G9="全部缴纳",C9+C10,H9)))</f>
        <v>0</v>
      </c>
      <c r="D8" s="267"/>
      <c r="E8" s="265"/>
      <c r="F8" s="266"/>
      <c r="G8" s="2555"/>
    </row>
    <row r="9" spans="1:9" s="259" customFormat="1" ht="13.5" customHeight="1">
      <c r="A9" s="953" t="s">
        <v>800</v>
      </c>
      <c r="B9" s="269" t="s">
        <v>2343</v>
      </c>
      <c r="C9" s="270">
        <f ca="1">ROUND(D9*E9/10000,0)</f>
        <v>0</v>
      </c>
      <c r="D9" s="1035">
        <f ca="1">IF(B1="",'数据-汇总表'!E5,IF(INDIRECT("'数据-取费表'!c"&amp;$G$1)="住宅",INDIRECT("'数据-取费表'!k"&amp;$G$1),0))</f>
        <v>0</v>
      </c>
      <c r="E9" s="270">
        <f>'数据-取费表'!B27</f>
        <v>0</v>
      </c>
      <c r="F9" s="266"/>
      <c r="G9" s="2556"/>
      <c r="H9" s="1393"/>
      <c r="I9" s="2557" t="s">
        <v>2344</v>
      </c>
    </row>
    <row r="10" spans="1:9" s="259" customFormat="1" ht="13.5" customHeight="1">
      <c r="A10" s="953" t="s">
        <v>801</v>
      </c>
      <c r="B10" s="269" t="s">
        <v>2345</v>
      </c>
      <c r="C10" s="270">
        <f ca="1">ROUND(D10*E10/10000,0)</f>
        <v>53</v>
      </c>
      <c r="D10" s="1035">
        <f ca="1">IF(B1="",'数据-汇总表'!E6,IF(INDIRECT("'数据-取费表'!c"&amp;$G$1)="住宅",INDIRECT("'数据-取费表'!s"&amp;$G$1),INDIRECT("'数据-取费表'!k"&amp;$G$1)+INDIRECT("'数据-取费表'!s"&amp;$G$1)))</f>
        <v>2634.21</v>
      </c>
      <c r="E10" s="270">
        <f>'数据-取费表'!B28</f>
        <v>200</v>
      </c>
      <c r="F10" s="266"/>
      <c r="G10" s="271"/>
    </row>
    <row r="11" spans="1:9" s="259" customFormat="1" ht="13.5" hidden="1" customHeight="1">
      <c r="A11" s="272" t="s">
        <v>7</v>
      </c>
      <c r="B11" s="260" t="s">
        <v>2346</v>
      </c>
      <c r="C11" s="256"/>
      <c r="D11" s="1037"/>
      <c r="E11" s="263"/>
      <c r="F11" s="263"/>
      <c r="G11" s="264"/>
    </row>
    <row r="12" spans="1:9" s="259" customFormat="1" ht="13.5" hidden="1" customHeight="1">
      <c r="A12" s="272" t="s">
        <v>8</v>
      </c>
      <c r="B12" s="260" t="s">
        <v>2347</v>
      </c>
      <c r="C12" s="256">
        <v>0</v>
      </c>
      <c r="D12" s="1037"/>
      <c r="E12" s="273"/>
      <c r="F12" s="266">
        <v>3.0499999999999999E-2</v>
      </c>
      <c r="G12" s="264"/>
    </row>
    <row r="13" spans="1:9" s="259" customFormat="1" ht="13.5" hidden="1" customHeight="1">
      <c r="A13" s="272" t="s">
        <v>9</v>
      </c>
      <c r="B13" s="260" t="s">
        <v>2348</v>
      </c>
      <c r="C13" s="256"/>
      <c r="D13" s="1037"/>
      <c r="E13" s="263"/>
      <c r="F13" s="263"/>
      <c r="G13" s="264"/>
    </row>
    <row r="14" spans="1:9" s="259" customFormat="1" ht="13.5" hidden="1" customHeight="1">
      <c r="A14" s="272" t="s">
        <v>10</v>
      </c>
      <c r="B14" s="260" t="s">
        <v>2349</v>
      </c>
      <c r="C14" s="256"/>
      <c r="D14" s="1037"/>
      <c r="E14" s="263"/>
      <c r="F14" s="263"/>
      <c r="G14" s="264" t="s">
        <v>2350</v>
      </c>
    </row>
    <row r="15" spans="1:9" s="259" customFormat="1" ht="13.5" hidden="1" customHeight="1">
      <c r="A15" s="272" t="s">
        <v>11</v>
      </c>
      <c r="B15" s="260" t="s">
        <v>2351</v>
      </c>
      <c r="C15" s="265"/>
      <c r="D15" s="1037"/>
      <c r="E15" s="263"/>
      <c r="F15" s="263"/>
      <c r="G15" s="264" t="s">
        <v>2352</v>
      </c>
    </row>
    <row r="16" spans="1:9" s="259" customFormat="1" ht="13.5" hidden="1" customHeight="1">
      <c r="A16" s="272" t="s">
        <v>12</v>
      </c>
      <c r="B16" s="260" t="s">
        <v>2349</v>
      </c>
      <c r="C16" s="265"/>
      <c r="D16" s="1037"/>
      <c r="E16" s="263"/>
      <c r="F16" s="263"/>
      <c r="G16" s="264"/>
    </row>
    <row r="17" spans="1:7" s="259" customFormat="1" ht="13.5" hidden="1" customHeight="1">
      <c r="A17" s="272" t="s">
        <v>13</v>
      </c>
      <c r="B17" s="260" t="s">
        <v>2353</v>
      </c>
      <c r="C17" s="274"/>
      <c r="D17" s="1038"/>
      <c r="E17" s="274"/>
      <c r="F17" s="274"/>
      <c r="G17" s="264" t="s">
        <v>2352</v>
      </c>
    </row>
    <row r="18" spans="1:7" s="259" customFormat="1" ht="13.5" hidden="1" customHeight="1">
      <c r="A18" s="272" t="s">
        <v>14</v>
      </c>
      <c r="B18" s="260" t="s">
        <v>2354</v>
      </c>
      <c r="C18" s="265">
        <v>0</v>
      </c>
      <c r="D18" s="1037"/>
      <c r="E18" s="263"/>
      <c r="F18" s="266">
        <v>3.0499999999999999E-2</v>
      </c>
      <c r="G18" s="264" t="s">
        <v>2355</v>
      </c>
    </row>
    <row r="19" spans="1:7" s="268" customFormat="1" ht="13.5" customHeight="1">
      <c r="A19" s="300" t="s">
        <v>2356</v>
      </c>
      <c r="B19" s="255" t="s">
        <v>2357</v>
      </c>
      <c r="C19" s="256">
        <f ca="1">IF(G19="已包含在土地取得成本中","0",ROUND(D19*E19/10000,0))</f>
        <v>53</v>
      </c>
      <c r="D19" s="1039">
        <f ca="1">D9+D10</f>
        <v>2634.21</v>
      </c>
      <c r="E19" s="256">
        <f>'数据-取费表'!B31</f>
        <v>200</v>
      </c>
      <c r="F19" s="276"/>
      <c r="G19" s="2555"/>
    </row>
    <row r="20" spans="1:7" s="259" customFormat="1" ht="13.5" customHeight="1">
      <c r="A20" s="300" t="s">
        <v>2358</v>
      </c>
      <c r="B20" s="255" t="s">
        <v>2359</v>
      </c>
      <c r="C20" s="277">
        <f ca="1">ROUND((C5+C19)*F20,0)</f>
        <v>1</v>
      </c>
      <c r="D20" s="277"/>
      <c r="E20" s="277"/>
      <c r="F20" s="278">
        <f>'数据-取费表'!B37</f>
        <v>0.02</v>
      </c>
      <c r="G20" s="279" t="s">
        <v>2360</v>
      </c>
    </row>
    <row r="21" spans="1:7" s="259" customFormat="1" ht="13.5" customHeight="1">
      <c r="A21" s="300" t="s">
        <v>2361</v>
      </c>
      <c r="B21" s="255" t="s">
        <v>2362</v>
      </c>
      <c r="C21" s="280">
        <f>F21</f>
        <v>0.02</v>
      </c>
      <c r="D21" s="281" t="s">
        <v>2363</v>
      </c>
      <c r="E21" s="277"/>
      <c r="F21" s="278">
        <f>'数据-取费表'!B38</f>
        <v>0.02</v>
      </c>
      <c r="G21" s="279" t="s">
        <v>2364</v>
      </c>
    </row>
    <row r="22" spans="1:7" s="259" customFormat="1" ht="13.5" customHeight="1">
      <c r="A22" s="300" t="s">
        <v>2365</v>
      </c>
      <c r="B22" s="255" t="s">
        <v>2366</v>
      </c>
      <c r="C22" s="1357">
        <f ca="1">ROUND(SUM(C23:C25),0)</f>
        <v>5</v>
      </c>
      <c r="D22" s="280">
        <f ca="1">C26</f>
        <v>1E-3</v>
      </c>
      <c r="E22" s="281" t="s">
        <v>2363</v>
      </c>
      <c r="F22" s="282">
        <f ca="1">'数据-取费表'!B40</f>
        <v>4.7500000000000001E-2</v>
      </c>
      <c r="G22" s="279" t="str">
        <f>IF('数据-取费表'!B22&lt;=1,"单利计息","复利计息")</f>
        <v>复利计息</v>
      </c>
    </row>
    <row r="23" spans="1:7" s="259" customFormat="1" ht="13.5" customHeight="1">
      <c r="A23" s="954" t="s">
        <v>2367</v>
      </c>
      <c r="B23" s="260" t="s">
        <v>2368</v>
      </c>
      <c r="C23" s="1358">
        <f ca="1">ROUND(IF('数据-取费表'!B22&lt;=1,C5*F22*'数据-取费表'!B23,C5*(POWER((1+F22),'数据-取费表'!B23)-1)),0)</f>
        <v>0</v>
      </c>
      <c r="D23" s="283"/>
      <c r="E23" s="283"/>
      <c r="F23" s="284"/>
      <c r="G23" s="285" t="s">
        <v>2369</v>
      </c>
    </row>
    <row r="24" spans="1:7" s="259" customFormat="1" ht="13.5" customHeight="1">
      <c r="A24" s="954" t="s">
        <v>2370</v>
      </c>
      <c r="B24" s="260" t="s">
        <v>2371</v>
      </c>
      <c r="C24" s="1358">
        <f ca="1">ROUND(IF('数据-取费表'!B22&lt;=1,C19*F22*('数据-取费表'!B19/2+'数据-取费表'!B21),C19*(POWER((1+F22),('数据-取费表'!B19/2+'数据-取费表'!B21))-1)),0)</f>
        <v>5</v>
      </c>
      <c r="D24" s="283"/>
      <c r="E24" s="283"/>
      <c r="F24" s="284"/>
      <c r="G24" s="285" t="s">
        <v>2372</v>
      </c>
    </row>
    <row r="25" spans="1:7" s="259" customFormat="1" ht="24">
      <c r="A25" s="954" t="s">
        <v>2373</v>
      </c>
      <c r="B25" s="260" t="s">
        <v>2374</v>
      </c>
      <c r="C25" s="1358">
        <f ca="1">ROUND(IF('数据-取费表'!B22&lt;=1,C20*F22*'数据-取费表'!B23/2,C20*(POWER((1+F22),'数据-取费表'!B23/2)-1)),0)</f>
        <v>0</v>
      </c>
      <c r="D25" s="283"/>
      <c r="E25" s="286"/>
      <c r="F25" s="284"/>
      <c r="G25" s="287" t="s">
        <v>2375</v>
      </c>
    </row>
    <row r="26" spans="1:7" s="259" customFormat="1">
      <c r="A26" s="954" t="s">
        <v>795</v>
      </c>
      <c r="B26" s="260" t="s">
        <v>2376</v>
      </c>
      <c r="C26" s="283">
        <f ca="1">ROUND(IF('数据-取费表'!B22&lt;=1,F21*F22*'数据-取费表'!B23/2,F21*(POWER((1+F22),'数据-取费表'!B23/2)-1)),4)</f>
        <v>1E-3</v>
      </c>
      <c r="D26" s="283"/>
      <c r="E26" s="286"/>
      <c r="F26" s="284"/>
      <c r="G26" s="288"/>
    </row>
    <row r="27" spans="1:7" s="259" customFormat="1" ht="24.75">
      <c r="A27" s="300" t="s">
        <v>2377</v>
      </c>
      <c r="B27" s="289" t="s">
        <v>2378</v>
      </c>
      <c r="C27" s="290">
        <f ca="1">C28</f>
        <v>11</v>
      </c>
      <c r="D27" s="280">
        <f ca="1">C29</f>
        <v>4.0000000000000001E-3</v>
      </c>
      <c r="E27" s="281" t="s">
        <v>2379</v>
      </c>
      <c r="F27" s="291">
        <f ca="1">IF(B1="",'数据-取费表'!Q16,INDIRECT("'数据-取费表'!q"&amp;$G$1))</f>
        <v>0.2</v>
      </c>
      <c r="G27" s="292" t="s">
        <v>2380</v>
      </c>
    </row>
    <row r="28" spans="1:7" s="259" customFormat="1" ht="13.5" customHeight="1">
      <c r="A28" s="954" t="s">
        <v>791</v>
      </c>
      <c r="B28" s="293" t="s">
        <v>2381</v>
      </c>
      <c r="C28" s="294">
        <f ca="1">ROUND((C5+C19+C20)*F27*'数据-取费表'!B21/'数据-取费表'!B20,0)</f>
        <v>11</v>
      </c>
      <c r="D28" s="280"/>
      <c r="E28" s="281"/>
      <c r="F28" s="291"/>
      <c r="G28" s="292"/>
    </row>
    <row r="29" spans="1:7" s="259" customFormat="1" ht="13.5" customHeight="1">
      <c r="A29" s="954" t="s">
        <v>792</v>
      </c>
      <c r="B29" s="293" t="s">
        <v>2382</v>
      </c>
      <c r="C29" s="283">
        <f ca="1">ROUND(C21*F27*'数据-取费表'!B21/'数据-取费表'!B20,4)</f>
        <v>4.0000000000000001E-3</v>
      </c>
      <c r="D29" s="280"/>
      <c r="E29" s="281"/>
      <c r="F29" s="291"/>
      <c r="G29" s="292"/>
    </row>
    <row r="30" spans="1:7" s="259" customFormat="1" ht="13.5" customHeight="1">
      <c r="A30" s="300" t="s">
        <v>2383</v>
      </c>
      <c r="B30" s="255" t="s">
        <v>2384</v>
      </c>
      <c r="C30" s="280">
        <f>ROUND(F30/(1+'数据-取费表'!C42),4)</f>
        <v>5.9400000000000001E-2</v>
      </c>
      <c r="D30" s="281" t="s">
        <v>2379</v>
      </c>
      <c r="E30" s="286"/>
      <c r="F30" s="282">
        <f>'数据-取费表'!B41</f>
        <v>6.2719999999999998E-2</v>
      </c>
      <c r="G30" s="279" t="s">
        <v>2385</v>
      </c>
    </row>
    <row r="31" spans="1:7" ht="16.5" customHeight="1">
      <c r="A31" s="254">
        <v>1</v>
      </c>
      <c r="B31" s="255" t="s">
        <v>2386</v>
      </c>
      <c r="C31" s="256">
        <f ca="1">ROUND((C5+C19+C20+C22+C27)/(1-C21-D22-D27-C30),0)</f>
        <v>76</v>
      </c>
      <c r="D31" s="275"/>
      <c r="E31" s="256"/>
      <c r="F31" s="295"/>
      <c r="G31" s="279" t="s">
        <v>2387</v>
      </c>
    </row>
    <row r="32" spans="1:7" s="253" customFormat="1" ht="15.75">
      <c r="A32" s="297" t="s">
        <v>2388</v>
      </c>
      <c r="B32" s="298"/>
      <c r="C32" s="298"/>
      <c r="D32" s="298"/>
      <c r="E32" s="298"/>
      <c r="F32" s="298"/>
      <c r="G32" s="299"/>
    </row>
    <row r="33" spans="1:7" s="259" customFormat="1" ht="13.5" customHeight="1">
      <c r="A33" s="300" t="s">
        <v>782</v>
      </c>
      <c r="B33" s="255" t="s">
        <v>2389</v>
      </c>
      <c r="C33" s="301">
        <f ca="1">SUM(C34:C38)</f>
        <v>604</v>
      </c>
      <c r="D33" s="277"/>
      <c r="E33" s="257"/>
      <c r="F33" s="286"/>
      <c r="G33" s="279"/>
    </row>
    <row r="34" spans="1:7" s="303" customFormat="1" ht="13.5" customHeight="1">
      <c r="A34" s="954" t="s">
        <v>791</v>
      </c>
      <c r="B34" s="260" t="s">
        <v>2390</v>
      </c>
      <c r="C34" s="265">
        <f ca="1">IF(B1="",IF(F34=100%,'数据-取费表'!M16,'数据-取费表'!O16),IF(F34=100%,INDIRECT("'数据-取费表'!m"&amp;$G$1)+INDIRECT("'数据-取费表'!t"&amp;$G$1),INDIRECT("'数据-取费表'!o"&amp;$G$1)+INDIRECT("'数据-取费表'!aq"&amp;$G$1)))</f>
        <v>527</v>
      </c>
      <c r="D34" s="262"/>
      <c r="E34" s="265"/>
      <c r="F34" s="302">
        <f ca="1">IF('数据-取费表'!B24=0,1,IF(B1="",'数据-取费表'!N16,INDIRECT("'数据-取费表'!n"&amp;$G$1)))</f>
        <v>1</v>
      </c>
      <c r="G34" s="264" t="s">
        <v>2391</v>
      </c>
    </row>
    <row r="35" spans="1:7" ht="13.5" customHeight="1">
      <c r="A35" s="954" t="s">
        <v>796</v>
      </c>
      <c r="B35" s="260" t="s">
        <v>2392</v>
      </c>
      <c r="C35" s="265">
        <f ca="1">ROUND(C34*F35,0)</f>
        <v>16</v>
      </c>
      <c r="D35" s="265"/>
      <c r="E35" s="265"/>
      <c r="F35" s="304">
        <f>'数据-取费表'!B33</f>
        <v>0.03</v>
      </c>
      <c r="G35" s="264" t="s">
        <v>2393</v>
      </c>
    </row>
    <row r="36" spans="1:7" ht="24">
      <c r="A36" s="954" t="s">
        <v>797</v>
      </c>
      <c r="B36" s="260" t="s">
        <v>2394</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2395</v>
      </c>
    </row>
    <row r="37" spans="1:7" s="303" customFormat="1" ht="13.5" customHeight="1">
      <c r="A37" s="954" t="s">
        <v>798</v>
      </c>
      <c r="B37" s="260" t="s">
        <v>2396</v>
      </c>
      <c r="C37" s="294">
        <f ca="1">ROUND(E37*D37*F34/10000,0)</f>
        <v>53</v>
      </c>
      <c r="D37" s="262">
        <f ca="1">D19</f>
        <v>2634.21</v>
      </c>
      <c r="E37" s="294">
        <f>'数据-取费表'!B35</f>
        <v>200</v>
      </c>
      <c r="F37" s="304"/>
      <c r="G37" s="306" t="s">
        <v>2397</v>
      </c>
    </row>
    <row r="38" spans="1:7" ht="13.5" customHeight="1">
      <c r="A38" s="954" t="s">
        <v>799</v>
      </c>
      <c r="B38" s="260" t="s">
        <v>2398</v>
      </c>
      <c r="C38" s="265">
        <f ca="1">ROUND(C34*F38,0)</f>
        <v>8</v>
      </c>
      <c r="D38" s="265"/>
      <c r="E38" s="265"/>
      <c r="F38" s="304">
        <f>'数据-取费表'!B36</f>
        <v>1.4999999999999999E-2</v>
      </c>
      <c r="G38" s="264" t="s">
        <v>2393</v>
      </c>
    </row>
    <row r="39" spans="1:7" s="259" customFormat="1" ht="13.5" customHeight="1">
      <c r="A39" s="300" t="s">
        <v>2399</v>
      </c>
      <c r="B39" s="255" t="s">
        <v>2400</v>
      </c>
      <c r="C39" s="277">
        <f ca="1">ROUND(C33*F20,0)</f>
        <v>12</v>
      </c>
      <c r="D39" s="277"/>
      <c r="E39" s="277"/>
      <c r="F39" s="278"/>
      <c r="G39" s="279" t="s">
        <v>2401</v>
      </c>
    </row>
    <row r="40" spans="1:7" s="259" customFormat="1" ht="13.5" customHeight="1">
      <c r="A40" s="300" t="s">
        <v>2402</v>
      </c>
      <c r="B40" s="255" t="s">
        <v>2403</v>
      </c>
      <c r="C40" s="1732">
        <f>F21</f>
        <v>0.02</v>
      </c>
      <c r="D40" s="281" t="s">
        <v>2404</v>
      </c>
      <c r="E40" s="277"/>
      <c r="F40" s="278"/>
      <c r="G40" s="279" t="s">
        <v>2405</v>
      </c>
    </row>
    <row r="41" spans="1:7" s="259" customFormat="1" ht="13.5" customHeight="1">
      <c r="A41" s="300" t="s">
        <v>2406</v>
      </c>
      <c r="B41" s="255" t="s">
        <v>2407</v>
      </c>
      <c r="C41" s="277">
        <f ca="1">ROUND(SUM(C42:C43),0)</f>
        <v>30</v>
      </c>
      <c r="D41" s="280">
        <f ca="1">C44</f>
        <v>1E-3</v>
      </c>
      <c r="E41" s="281" t="s">
        <v>2404</v>
      </c>
      <c r="F41" s="282"/>
      <c r="G41" s="279" t="str">
        <f>IF('数据-取费表'!B22&lt;=1,"单利计息","复利计息")</f>
        <v>复利计息</v>
      </c>
    </row>
    <row r="42" spans="1:7" ht="13.5" customHeight="1">
      <c r="A42" s="954" t="s">
        <v>791</v>
      </c>
      <c r="B42" s="260" t="s">
        <v>2408</v>
      </c>
      <c r="C42" s="283">
        <f ca="1">ROUND(IF('数据-取费表'!B22&lt;=1,C33*F22*'数据-取费表'!B21/2,C33*(POWER((1+F22),'数据-取费表'!B21/2)-1)),0)</f>
        <v>29</v>
      </c>
      <c r="D42" s="283"/>
      <c r="E42" s="283"/>
      <c r="F42" s="284"/>
      <c r="G42" s="3128" t="s">
        <v>2409</v>
      </c>
    </row>
    <row r="43" spans="1:7" ht="13.5" customHeight="1">
      <c r="A43" s="954" t="s">
        <v>792</v>
      </c>
      <c r="B43" s="260" t="s">
        <v>2410</v>
      </c>
      <c r="C43" s="283">
        <f ca="1">ROUND(IF('数据-取费表'!B22&lt;=1,C39*F22*'数据-取费表'!B21/2,C39*(POWER((1+F22),'数据-取费表'!B21/2)-1)),0)</f>
        <v>1</v>
      </c>
      <c r="D43" s="283"/>
      <c r="E43" s="283"/>
      <c r="F43" s="284"/>
      <c r="G43" s="3129"/>
    </row>
    <row r="44" spans="1:7" ht="13.5" customHeight="1">
      <c r="A44" s="954" t="s">
        <v>793</v>
      </c>
      <c r="B44" s="260" t="s">
        <v>2411</v>
      </c>
      <c r="C44" s="283">
        <f ca="1">ROUND(IF('数据-取费表'!B22&lt;=1,C40*F22*'数据-取费表'!B21/2,C40*(POWER((1+F22),'数据-取费表'!B21/2)-1)),4)</f>
        <v>1E-3</v>
      </c>
      <c r="D44" s="283"/>
      <c r="E44" s="283"/>
      <c r="F44" s="284"/>
      <c r="G44" s="3130"/>
    </row>
    <row r="45" spans="1:7" s="259" customFormat="1" ht="13.5" customHeight="1">
      <c r="A45" s="300" t="s">
        <v>2412</v>
      </c>
      <c r="B45" s="289" t="s">
        <v>2378</v>
      </c>
      <c r="C45" s="290">
        <f ca="1">C46</f>
        <v>123</v>
      </c>
      <c r="D45" s="280">
        <f ca="1">C47</f>
        <v>4.0000000000000001E-3</v>
      </c>
      <c r="E45" s="281" t="s">
        <v>2404</v>
      </c>
      <c r="F45" s="291"/>
      <c r="G45" s="292" t="s">
        <v>2413</v>
      </c>
    </row>
    <row r="46" spans="1:7" s="259" customFormat="1" ht="13.5" customHeight="1">
      <c r="A46" s="954" t="s">
        <v>791</v>
      </c>
      <c r="B46" s="293" t="s">
        <v>2414</v>
      </c>
      <c r="C46" s="294">
        <f ca="1">ROUND((C33+C39)*F27,0)</f>
        <v>123</v>
      </c>
      <c r="D46" s="308"/>
      <c r="E46" s="281"/>
      <c r="F46" s="291"/>
      <c r="G46" s="292"/>
    </row>
    <row r="47" spans="1:7" s="259" customFormat="1" ht="13.5" customHeight="1">
      <c r="A47" s="954" t="s">
        <v>792</v>
      </c>
      <c r="B47" s="293" t="s">
        <v>2415</v>
      </c>
      <c r="C47" s="283">
        <f ca="1">ROUND(C40*F27,4)</f>
        <v>4.0000000000000001E-3</v>
      </c>
      <c r="D47" s="308"/>
      <c r="E47" s="281"/>
      <c r="F47" s="291"/>
      <c r="G47" s="292"/>
    </row>
    <row r="48" spans="1:7" s="259" customFormat="1" ht="13.5" customHeight="1">
      <c r="A48" s="300" t="s">
        <v>2377</v>
      </c>
      <c r="B48" s="255" t="s">
        <v>2416</v>
      </c>
      <c r="C48" s="1732">
        <f>ROUND(F30/(1+'数据-取费表'!C42),4)</f>
        <v>5.9400000000000001E-2</v>
      </c>
      <c r="D48" s="281" t="s">
        <v>2404</v>
      </c>
      <c r="E48" s="277"/>
      <c r="F48" s="282"/>
      <c r="G48" s="279" t="s">
        <v>2417</v>
      </c>
    </row>
    <row r="49" spans="1:7" ht="16.5" customHeight="1">
      <c r="A49" s="300" t="s">
        <v>2383</v>
      </c>
      <c r="B49" s="255" t="s">
        <v>2418</v>
      </c>
      <c r="C49" s="277">
        <f ca="1">ROUND((C33+C39+C41+C45)/(1-C40-D41-D45-C48),0)</f>
        <v>840</v>
      </c>
      <c r="D49" s="277"/>
      <c r="E49" s="277"/>
      <c r="F49" s="309"/>
      <c r="G49" s="279" t="s">
        <v>2419</v>
      </c>
    </row>
    <row r="50" spans="1:7" s="303" customFormat="1" ht="24">
      <c r="A50" s="300" t="s">
        <v>2420</v>
      </c>
      <c r="B50" s="255" t="s">
        <v>2421</v>
      </c>
      <c r="C50" s="277"/>
      <c r="D50" s="277"/>
      <c r="E50" s="277"/>
      <c r="F50" s="309">
        <f>IF('数据-取费表'!B24=0,'数据-取费表'!N16,1)</f>
        <v>0.96699999999999997</v>
      </c>
      <c r="G50" s="292" t="s">
        <v>2422</v>
      </c>
    </row>
    <row r="51" spans="1:7" ht="16.5" customHeight="1">
      <c r="A51" s="300" t="s">
        <v>2423</v>
      </c>
      <c r="B51" s="255" t="s">
        <v>2424</v>
      </c>
      <c r="C51" s="277">
        <f ca="1">ROUND(C49*F50,0)</f>
        <v>812</v>
      </c>
      <c r="D51" s="277"/>
      <c r="E51" s="277"/>
      <c r="F51" s="309"/>
      <c r="G51" s="279" t="s">
        <v>2425</v>
      </c>
    </row>
    <row r="52" spans="1:7" s="253" customFormat="1" ht="16.5" thickBot="1">
      <c r="A52" s="310" t="s">
        <v>2426</v>
      </c>
      <c r="B52" s="311"/>
      <c r="C52" s="312">
        <f ca="1">C31+C51</f>
        <v>888</v>
      </c>
      <c r="D52" s="311"/>
      <c r="E52" s="311"/>
      <c r="F52" s="311"/>
      <c r="G52" s="313"/>
    </row>
    <row r="55" spans="1:7" ht="15">
      <c r="B55" s="315" t="s">
        <v>2427</v>
      </c>
      <c r="C55" s="316"/>
    </row>
    <row r="56" spans="1:7">
      <c r="B56" s="318" t="s">
        <v>1515</v>
      </c>
      <c r="C56" s="320">
        <f ca="1">1-C57</f>
        <v>8.5999999999999965E-2</v>
      </c>
    </row>
    <row r="57" spans="1:7">
      <c r="B57" s="318" t="s">
        <v>1516</v>
      </c>
      <c r="C57" s="31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2" t="str">
        <f>项目基本情况!B1</f>
        <v>北京市北京市海淀区白家疃尚峰园3号楼101号等17套房地产抵押价值预评估</v>
      </c>
      <c r="C37" s="2942"/>
      <c r="D37" s="2942"/>
      <c r="E37" s="2942"/>
      <c r="F37" s="2942"/>
      <c r="G37" s="2942"/>
      <c r="H37" s="2942"/>
      <c r="I37" s="2942"/>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2326</v>
      </c>
      <c r="B1" s="1941"/>
      <c r="C1" s="2558" t="s">
        <v>2428</v>
      </c>
      <c r="D1" s="243"/>
      <c r="E1" s="243"/>
      <c r="F1" s="243"/>
      <c r="G1" s="1382">
        <f>MATCH(B1,'数据-取费表'!A6:A16,0)+5</f>
        <v>7</v>
      </c>
      <c r="H1" s="1285" t="str">
        <f>IF(ISERROR(FIND("住宅",B1)),"非住宅","住宅")</f>
        <v>非住宅</v>
      </c>
    </row>
    <row r="2" spans="1:8" s="245" customFormat="1" ht="18" customHeight="1">
      <c r="A2" s="246" t="s">
        <v>2327</v>
      </c>
      <c r="B2" s="247">
        <f ca="1">ROUND(IF(D2="——",C52/10000,C52/10000-E2),0)</f>
        <v>963</v>
      </c>
      <c r="C2" s="244" t="s">
        <v>2328</v>
      </c>
      <c r="D2" s="2552" t="s">
        <v>70</v>
      </c>
      <c r="E2" s="1443" t="e">
        <f ca="1">SUMIF(INDIRECT("'"&amp;G2&amp;"'"&amp;"!A:A"),"承租人权益价值",INDIRECT("'"&amp;G2&amp;"'"&amp;"!c:c"))</f>
        <v>#REF!</v>
      </c>
      <c r="F2" s="2553" t="s">
        <v>2328</v>
      </c>
      <c r="G2" s="2554"/>
    </row>
    <row r="3" spans="1:8" s="245" customFormat="1" ht="18" customHeight="1" thickBot="1">
      <c r="A3" s="248" t="s">
        <v>2329</v>
      </c>
      <c r="B3" s="249">
        <f ca="1">ROUND(B2*10000/(IF(B1="",'数据-汇总表'!E3,INDIRECT("'数据-取费表'!k"&amp;$G$1))),0)</f>
        <v>3656</v>
      </c>
      <c r="C3" s="244" t="s">
        <v>2330</v>
      </c>
      <c r="D3" s="244"/>
      <c r="E3" s="244"/>
      <c r="F3" s="244"/>
      <c r="G3" s="244"/>
    </row>
    <row r="4" spans="1:8" s="253" customFormat="1" ht="15.75">
      <c r="A4" s="250" t="s">
        <v>2331</v>
      </c>
      <c r="B4" s="251"/>
      <c r="C4" s="251"/>
      <c r="D4" s="251"/>
      <c r="E4" s="251"/>
      <c r="F4" s="251"/>
      <c r="G4" s="252"/>
    </row>
    <row r="5" spans="1:8" s="259" customFormat="1" ht="13.5" customHeight="1">
      <c r="A5" s="300" t="s">
        <v>2332</v>
      </c>
      <c r="B5" s="255" t="s">
        <v>2333</v>
      </c>
      <c r="C5" s="256">
        <f ca="1">C6+C7+C8</f>
        <v>526842</v>
      </c>
      <c r="D5" s="256" t="s">
        <v>2334</v>
      </c>
      <c r="E5" s="257" t="s">
        <v>2335</v>
      </c>
      <c r="F5" s="257" t="s">
        <v>2336</v>
      </c>
      <c r="G5" s="258"/>
    </row>
    <row r="6" spans="1:8" s="259" customFormat="1" ht="13.5" customHeight="1">
      <c r="A6" s="952" t="s">
        <v>2337</v>
      </c>
      <c r="B6" s="260" t="s">
        <v>2338</v>
      </c>
      <c r="C6" s="261"/>
      <c r="D6" s="262"/>
      <c r="E6" s="263"/>
      <c r="F6" s="263"/>
      <c r="G6" s="264"/>
    </row>
    <row r="7" spans="1:8" s="259" customFormat="1" ht="13.5" customHeight="1">
      <c r="A7" s="952" t="s">
        <v>2339</v>
      </c>
      <c r="B7" s="260" t="s">
        <v>2340</v>
      </c>
      <c r="C7" s="265">
        <f>ROUND(C6*F7,0)</f>
        <v>0</v>
      </c>
      <c r="D7" s="265"/>
      <c r="E7" s="263"/>
      <c r="F7" s="266">
        <f>'数据-取费表'!B48+'数据-取费表'!B49</f>
        <v>3.0499999999999999E-2</v>
      </c>
      <c r="G7" s="264"/>
    </row>
    <row r="8" spans="1:8" s="268" customFormat="1">
      <c r="A8" s="952" t="s">
        <v>2341</v>
      </c>
      <c r="B8" s="260" t="s">
        <v>2342</v>
      </c>
      <c r="C8" s="265">
        <f ca="1">IF(G8="已包含在土地购买价格中",0,C9+C10)</f>
        <v>526842</v>
      </c>
      <c r="D8" s="267"/>
      <c r="E8" s="265"/>
      <c r="F8" s="266"/>
      <c r="G8" s="2555"/>
    </row>
    <row r="9" spans="1:8" s="259" customFormat="1" ht="13.5" customHeight="1">
      <c r="A9" s="953" t="s">
        <v>800</v>
      </c>
      <c r="B9" s="269" t="s">
        <v>2343</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2345</v>
      </c>
      <c r="C10" s="270">
        <f ca="1">ROUND(D10*E10,0)</f>
        <v>526842</v>
      </c>
      <c r="D10" s="1035">
        <f ca="1">IF(B1="",'数据-汇总表'!E6,IF(INDIRECT("'数据-取费表'!c"&amp;$G$1)="住宅",INDIRECT("'数据-取费表'!s"&amp;$G$1),INDIRECT("'数据-取费表'!k"&amp;$G$1)+INDIRECT("'数据-取费表'!s"&amp;$G$1)))</f>
        <v>2634.21</v>
      </c>
      <c r="E10" s="270">
        <f>'数据-取费表'!B28</f>
        <v>200</v>
      </c>
      <c r="F10" s="266"/>
      <c r="G10" s="271"/>
    </row>
    <row r="11" spans="1:8" s="259" customFormat="1" ht="13.5" hidden="1" customHeight="1">
      <c r="A11" s="272" t="s">
        <v>7</v>
      </c>
      <c r="B11" s="260" t="s">
        <v>2346</v>
      </c>
      <c r="C11" s="256"/>
      <c r="D11" s="1037"/>
      <c r="E11" s="263"/>
      <c r="F11" s="263"/>
      <c r="G11" s="264"/>
    </row>
    <row r="12" spans="1:8" s="259" customFormat="1" ht="13.5" hidden="1" customHeight="1">
      <c r="A12" s="272" t="s">
        <v>8</v>
      </c>
      <c r="B12" s="260" t="s">
        <v>2429</v>
      </c>
      <c r="C12" s="256">
        <v>0</v>
      </c>
      <c r="D12" s="1037"/>
      <c r="E12" s="273"/>
      <c r="F12" s="266">
        <v>3.0499999999999999E-2</v>
      </c>
      <c r="G12" s="264"/>
    </row>
    <row r="13" spans="1:8" s="259" customFormat="1" ht="13.5" hidden="1" customHeight="1">
      <c r="A13" s="272" t="s">
        <v>9</v>
      </c>
      <c r="B13" s="260" t="s">
        <v>2430</v>
      </c>
      <c r="C13" s="256"/>
      <c r="D13" s="1037"/>
      <c r="E13" s="263"/>
      <c r="F13" s="263"/>
      <c r="G13" s="264"/>
    </row>
    <row r="14" spans="1:8" s="259" customFormat="1" ht="13.5" hidden="1" customHeight="1">
      <c r="A14" s="272" t="s">
        <v>10</v>
      </c>
      <c r="B14" s="260" t="s">
        <v>2342</v>
      </c>
      <c r="C14" s="256"/>
      <c r="D14" s="1037"/>
      <c r="E14" s="263"/>
      <c r="F14" s="263"/>
      <c r="G14" s="264" t="s">
        <v>2431</v>
      </c>
    </row>
    <row r="15" spans="1:8" s="259" customFormat="1" ht="13.5" hidden="1" customHeight="1">
      <c r="A15" s="272" t="s">
        <v>11</v>
      </c>
      <c r="B15" s="260" t="s">
        <v>2432</v>
      </c>
      <c r="C15" s="265"/>
      <c r="D15" s="1037"/>
      <c r="E15" s="263"/>
      <c r="F15" s="263"/>
      <c r="G15" s="264" t="s">
        <v>2433</v>
      </c>
    </row>
    <row r="16" spans="1:8" s="259" customFormat="1" ht="13.5" hidden="1" customHeight="1">
      <c r="A16" s="272" t="s">
        <v>12</v>
      </c>
      <c r="B16" s="260" t="s">
        <v>2342</v>
      </c>
      <c r="C16" s="265"/>
      <c r="D16" s="1037"/>
      <c r="E16" s="263"/>
      <c r="F16" s="263"/>
      <c r="G16" s="264"/>
    </row>
    <row r="17" spans="1:7" s="259" customFormat="1" ht="13.5" hidden="1" customHeight="1">
      <c r="A17" s="272" t="s">
        <v>13</v>
      </c>
      <c r="B17" s="260" t="s">
        <v>2434</v>
      </c>
      <c r="C17" s="274"/>
      <c r="D17" s="1038"/>
      <c r="E17" s="274"/>
      <c r="F17" s="274"/>
      <c r="G17" s="264" t="s">
        <v>2433</v>
      </c>
    </row>
    <row r="18" spans="1:7" s="259" customFormat="1" ht="13.5" hidden="1" customHeight="1">
      <c r="A18" s="272" t="s">
        <v>14</v>
      </c>
      <c r="B18" s="260" t="s">
        <v>2435</v>
      </c>
      <c r="C18" s="265">
        <v>0</v>
      </c>
      <c r="D18" s="1037"/>
      <c r="E18" s="263"/>
      <c r="F18" s="266">
        <v>3.0499999999999999E-2</v>
      </c>
      <c r="G18" s="264" t="s">
        <v>2436</v>
      </c>
    </row>
    <row r="19" spans="1:7" s="268" customFormat="1" ht="13.5" customHeight="1">
      <c r="A19" s="300" t="s">
        <v>2437</v>
      </c>
      <c r="B19" s="255" t="s">
        <v>2438</v>
      </c>
      <c r="C19" s="256">
        <f ca="1">IF(G19="已包含在土地取得成本中","0",ROUND(D19*E19,0))</f>
        <v>526842</v>
      </c>
      <c r="D19" s="1039">
        <f ca="1">D9+D10</f>
        <v>2634.21</v>
      </c>
      <c r="E19" s="256">
        <f>'数据-取费表'!B31</f>
        <v>200</v>
      </c>
      <c r="F19" s="276"/>
      <c r="G19" s="2555"/>
    </row>
    <row r="20" spans="1:7" s="259" customFormat="1" ht="13.5" customHeight="1">
      <c r="A20" s="300" t="s">
        <v>2439</v>
      </c>
      <c r="B20" s="255" t="s">
        <v>2440</v>
      </c>
      <c r="C20" s="277">
        <f ca="1">ROUND((C5+C19)*F20,0)</f>
        <v>21074</v>
      </c>
      <c r="D20" s="277"/>
      <c r="E20" s="277"/>
      <c r="F20" s="278">
        <f>'数据-取费表'!B37</f>
        <v>0.02</v>
      </c>
      <c r="G20" s="279" t="s">
        <v>2441</v>
      </c>
    </row>
    <row r="21" spans="1:7" s="259" customFormat="1" ht="13.5" customHeight="1">
      <c r="A21" s="300" t="s">
        <v>2442</v>
      </c>
      <c r="B21" s="255" t="s">
        <v>2443</v>
      </c>
      <c r="C21" s="280">
        <f>F21</f>
        <v>0.02</v>
      </c>
      <c r="D21" s="281" t="s">
        <v>2444</v>
      </c>
      <c r="E21" s="277"/>
      <c r="F21" s="278">
        <f>'数据-取费表'!B38</f>
        <v>0.02</v>
      </c>
      <c r="G21" s="279" t="s">
        <v>2445</v>
      </c>
    </row>
    <row r="22" spans="1:7" s="259" customFormat="1" ht="13.5" customHeight="1">
      <c r="A22" s="300" t="s">
        <v>2446</v>
      </c>
      <c r="B22" s="255" t="s">
        <v>2447</v>
      </c>
      <c r="C22" s="1383">
        <f ca="1">ROUND(SUM(C23:C25),0)</f>
        <v>103479</v>
      </c>
      <c r="D22" s="280">
        <f ca="1">C26</f>
        <v>1E-3</v>
      </c>
      <c r="E22" s="281" t="s">
        <v>2444</v>
      </c>
      <c r="F22" s="282">
        <f ca="1">'数据-取费表'!B40</f>
        <v>4.7500000000000001E-2</v>
      </c>
      <c r="G22" s="279" t="str">
        <f>IF('数据-取费表'!B22&lt;=1,"单利计息","复利计息")</f>
        <v>复利计息</v>
      </c>
    </row>
    <row r="23" spans="1:7" s="259" customFormat="1" ht="13.5" customHeight="1">
      <c r="A23" s="954" t="s">
        <v>2337</v>
      </c>
      <c r="B23" s="260" t="s">
        <v>2448</v>
      </c>
      <c r="C23" s="1384">
        <f ca="1">ROUND(IF('数据-取费表'!B22&lt;=1,C5*F22*'数据-取费表'!B22,C5*(POWER((1+F22),'数据-取费表'!B22)-1)),0)</f>
        <v>51239</v>
      </c>
      <c r="D23" s="283"/>
      <c r="E23" s="283"/>
      <c r="F23" s="284"/>
      <c r="G23" s="285" t="s">
        <v>2449</v>
      </c>
    </row>
    <row r="24" spans="1:7" s="259" customFormat="1" ht="13.5" customHeight="1">
      <c r="A24" s="954" t="s">
        <v>2339</v>
      </c>
      <c r="B24" s="260" t="s">
        <v>2450</v>
      </c>
      <c r="C24" s="1384">
        <f ca="1">ROUND(IF('数据-取费表'!B22&lt;=1,C19*F22*('数据-取费表'!B19/2+'数据-取费表'!B20),C19*(POWER((1+F22),('数据-取费表'!B19/2+'数据-取费表'!B20))-1)),0)</f>
        <v>51239</v>
      </c>
      <c r="D24" s="283"/>
      <c r="E24" s="283"/>
      <c r="F24" s="284"/>
      <c r="G24" s="285" t="s">
        <v>2451</v>
      </c>
    </row>
    <row r="25" spans="1:7" s="259" customFormat="1" ht="24">
      <c r="A25" s="954" t="s">
        <v>2341</v>
      </c>
      <c r="B25" s="260" t="s">
        <v>2452</v>
      </c>
      <c r="C25" s="1384">
        <f ca="1">ROUND(IF('数据-取费表'!B22&lt;=1,C20*F22*'数据-取费表'!B22/2,C20*(POWER((1+F22),'数据-取费表'!B22/2)-1)),0)</f>
        <v>1001</v>
      </c>
      <c r="D25" s="283"/>
      <c r="E25" s="286"/>
      <c r="F25" s="284"/>
      <c r="G25" s="287" t="s">
        <v>2453</v>
      </c>
    </row>
    <row r="26" spans="1:7" s="259" customFormat="1">
      <c r="A26" s="954" t="s">
        <v>795</v>
      </c>
      <c r="B26" s="260" t="s">
        <v>2376</v>
      </c>
      <c r="C26" s="283">
        <f ca="1">ROUND(IF('数据-取费表'!B22&lt;=1,F21*F22*'数据-取费表'!B22/2,F21*(POWER((1+F22),'数据-取费表'!B22/2)-1)),4)</f>
        <v>1E-3</v>
      </c>
      <c r="D26" s="283"/>
      <c r="E26" s="286"/>
      <c r="F26" s="284"/>
      <c r="G26" s="288"/>
    </row>
    <row r="27" spans="1:7" s="259" customFormat="1" ht="24.75">
      <c r="A27" s="300" t="s">
        <v>2377</v>
      </c>
      <c r="B27" s="289" t="s">
        <v>2378</v>
      </c>
      <c r="C27" s="290">
        <f ca="1">C28</f>
        <v>214952</v>
      </c>
      <c r="D27" s="280">
        <f ca="1">C29</f>
        <v>4.0000000000000001E-3</v>
      </c>
      <c r="E27" s="281" t="s">
        <v>2379</v>
      </c>
      <c r="F27" s="291">
        <f ca="1">IF(B1="",'数据-取费表'!Q16,INDIRECT("'数据-取费表'!q"&amp;$G$1))</f>
        <v>0.2</v>
      </c>
      <c r="G27" s="292" t="s">
        <v>2380</v>
      </c>
    </row>
    <row r="28" spans="1:7" s="259" customFormat="1" ht="13.5" customHeight="1">
      <c r="A28" s="954" t="s">
        <v>791</v>
      </c>
      <c r="B28" s="293" t="s">
        <v>2381</v>
      </c>
      <c r="C28" s="294">
        <f ca="1">ROUND((C5+C19+C20)*F27,0)</f>
        <v>214952</v>
      </c>
      <c r="D28" s="280"/>
      <c r="E28" s="281"/>
      <c r="F28" s="291"/>
      <c r="G28" s="292"/>
    </row>
    <row r="29" spans="1:7" s="259" customFormat="1" ht="13.5" customHeight="1">
      <c r="A29" s="954" t="s">
        <v>792</v>
      </c>
      <c r="B29" s="293" t="s">
        <v>2382</v>
      </c>
      <c r="C29" s="283">
        <f ca="1">ROUND(C21*F27,4)</f>
        <v>4.0000000000000001E-3</v>
      </c>
      <c r="D29" s="280"/>
      <c r="E29" s="281"/>
      <c r="F29" s="291"/>
      <c r="G29" s="292"/>
    </row>
    <row r="30" spans="1:7" s="259" customFormat="1" ht="13.5" customHeight="1">
      <c r="A30" s="300" t="s">
        <v>2383</v>
      </c>
      <c r="B30" s="255" t="s">
        <v>2384</v>
      </c>
      <c r="C30" s="280">
        <f>ROUND(F30/(1+'数据-取费表'!C42),4)</f>
        <v>5.9400000000000001E-2</v>
      </c>
      <c r="D30" s="281" t="s">
        <v>2379</v>
      </c>
      <c r="E30" s="286"/>
      <c r="F30" s="282">
        <f>'数据-取费表'!B41</f>
        <v>6.2719999999999998E-2</v>
      </c>
      <c r="G30" s="279" t="s">
        <v>2385</v>
      </c>
    </row>
    <row r="31" spans="1:7" ht="16.5" customHeight="1">
      <c r="A31" s="254">
        <v>1</v>
      </c>
      <c r="B31" s="255" t="s">
        <v>2386</v>
      </c>
      <c r="C31" s="256">
        <f ca="1">ROUND((C5+C19+C20+C22+C27)/(1-C21-D22-D27-C30),0)</f>
        <v>1521613</v>
      </c>
      <c r="D31" s="275"/>
      <c r="E31" s="256"/>
      <c r="F31" s="295"/>
      <c r="G31" s="279" t="s">
        <v>2387</v>
      </c>
    </row>
    <row r="32" spans="1:7" s="253" customFormat="1" ht="15.75">
      <c r="A32" s="297" t="s">
        <v>2454</v>
      </c>
      <c r="B32" s="298"/>
      <c r="C32" s="298"/>
      <c r="D32" s="298"/>
      <c r="E32" s="298"/>
      <c r="F32" s="298"/>
      <c r="G32" s="299"/>
    </row>
    <row r="33" spans="1:7" s="259" customFormat="1" ht="13.5" customHeight="1">
      <c r="A33" s="300" t="s">
        <v>782</v>
      </c>
      <c r="B33" s="255" t="s">
        <v>2455</v>
      </c>
      <c r="C33" s="301">
        <f ca="1">SUM(C34:C38)</f>
        <v>6032341</v>
      </c>
      <c r="D33" s="277"/>
      <c r="E33" s="257"/>
      <c r="F33" s="286"/>
      <c r="G33" s="279"/>
    </row>
    <row r="34" spans="1:7" s="303" customFormat="1" ht="13.5" customHeight="1">
      <c r="A34" s="954" t="s">
        <v>791</v>
      </c>
      <c r="B34" s="260" t="s">
        <v>2390</v>
      </c>
      <c r="C34" s="265">
        <f ca="1">ROUND(IF(B1="",SUMPRODUCT('数据-取费表'!K6:K14,'数据-取费表'!L6:L14),INDIRECT("'数据-取费表'!l"&amp;$G$1)*INDIRECT("'数据-取费表'!k"&amp;$G$1)+'数据-取费表'!L14*INDIRECT("'数据-取费表'!S"&amp;$G$1)),0)</f>
        <v>5268420</v>
      </c>
      <c r="D34" s="262"/>
      <c r="E34" s="265"/>
      <c r="F34" s="302"/>
      <c r="G34" s="264"/>
    </row>
    <row r="35" spans="1:7" ht="13.5" customHeight="1">
      <c r="A35" s="954" t="s">
        <v>796</v>
      </c>
      <c r="B35" s="260" t="s">
        <v>2392</v>
      </c>
      <c r="C35" s="265">
        <f ca="1">ROUND(C34*F35,0)</f>
        <v>158053</v>
      </c>
      <c r="D35" s="265"/>
      <c r="E35" s="265"/>
      <c r="F35" s="304">
        <f>'数据-取费表'!B33</f>
        <v>0.03</v>
      </c>
      <c r="G35" s="264" t="s">
        <v>2393</v>
      </c>
    </row>
    <row r="36" spans="1:7" ht="24">
      <c r="A36" s="954" t="s">
        <v>797</v>
      </c>
      <c r="B36" s="260" t="s">
        <v>2394</v>
      </c>
      <c r="C36" s="265">
        <f ca="1">ROUND(IF(B1="",SUM('数据-取费表'!AP6:AP13)*F36,IF(INDIRECT("'数据-取费表'!c"&amp;$G$1)="住宅",INDIRECT("'数据-取费表'!k"&amp;$G$1)*INDIRECT("'数据-取费表'!l"&amp;$G$1)*F36,0)),0)</f>
        <v>0</v>
      </c>
      <c r="D36" s="265"/>
      <c r="E36" s="265"/>
      <c r="F36" s="304">
        <f>'数据-取费表'!B34</f>
        <v>0.05</v>
      </c>
      <c r="G36" s="305" t="s">
        <v>2395</v>
      </c>
    </row>
    <row r="37" spans="1:7" s="303" customFormat="1" ht="13.5" customHeight="1">
      <c r="A37" s="954" t="s">
        <v>798</v>
      </c>
      <c r="B37" s="260" t="s">
        <v>2396</v>
      </c>
      <c r="C37" s="294">
        <f ca="1">ROUND(E37*D37,0)</f>
        <v>526842</v>
      </c>
      <c r="D37" s="262">
        <f ca="1">D19</f>
        <v>2634.21</v>
      </c>
      <c r="E37" s="294">
        <f>'数据-取费表'!B35</f>
        <v>200</v>
      </c>
      <c r="F37" s="304"/>
      <c r="G37" s="306"/>
    </row>
    <row r="38" spans="1:7" ht="13.5" customHeight="1">
      <c r="A38" s="954" t="s">
        <v>799</v>
      </c>
      <c r="B38" s="260" t="s">
        <v>2398</v>
      </c>
      <c r="C38" s="265">
        <f ca="1">ROUND(C34*F38,0)</f>
        <v>79026</v>
      </c>
      <c r="D38" s="265"/>
      <c r="E38" s="265"/>
      <c r="F38" s="304">
        <f>'数据-取费表'!B36</f>
        <v>1.4999999999999999E-2</v>
      </c>
      <c r="G38" s="264" t="s">
        <v>2393</v>
      </c>
    </row>
    <row r="39" spans="1:7" s="259" customFormat="1" ht="13.5" customHeight="1">
      <c r="A39" s="300" t="s">
        <v>2399</v>
      </c>
      <c r="B39" s="255" t="s">
        <v>2400</v>
      </c>
      <c r="C39" s="277">
        <f ca="1">ROUND(C33*F20,0)</f>
        <v>120647</v>
      </c>
      <c r="D39" s="277"/>
      <c r="E39" s="277"/>
      <c r="F39" s="278"/>
      <c r="G39" s="279" t="s">
        <v>2401</v>
      </c>
    </row>
    <row r="40" spans="1:7" s="259" customFormat="1" ht="13.5" customHeight="1">
      <c r="A40" s="300" t="s">
        <v>2402</v>
      </c>
      <c r="B40" s="255" t="s">
        <v>2403</v>
      </c>
      <c r="C40" s="1732">
        <f>F21</f>
        <v>0.02</v>
      </c>
      <c r="D40" s="281" t="s">
        <v>2404</v>
      </c>
      <c r="E40" s="277"/>
      <c r="F40" s="278"/>
      <c r="G40" s="279" t="s">
        <v>2405</v>
      </c>
    </row>
    <row r="41" spans="1:7" s="259" customFormat="1" ht="13.5" customHeight="1">
      <c r="A41" s="300" t="s">
        <v>2406</v>
      </c>
      <c r="B41" s="255" t="s">
        <v>2407</v>
      </c>
      <c r="C41" s="277">
        <f ca="1">ROUND(SUM(C42:C43),0)</f>
        <v>292267</v>
      </c>
      <c r="D41" s="280">
        <f ca="1">C44</f>
        <v>1E-3</v>
      </c>
      <c r="E41" s="281" t="s">
        <v>2404</v>
      </c>
      <c r="F41" s="282"/>
      <c r="G41" s="279" t="str">
        <f>IF('数据-取费表'!B22&lt;=1,"单利计息","复利计息")</f>
        <v>复利计息</v>
      </c>
    </row>
    <row r="42" spans="1:7" ht="13.5" customHeight="1">
      <c r="A42" s="954" t="s">
        <v>791</v>
      </c>
      <c r="B42" s="260" t="s">
        <v>2408</v>
      </c>
      <c r="C42" s="283">
        <f ca="1">ROUND(IF('数据-取费表'!B22&lt;=1,C33*F22*'数据-取费表'!B20/2,C33*(POWER((1+F22),'数据-取费表'!B20/2)-1)),0)</f>
        <v>286536</v>
      </c>
      <c r="D42" s="283"/>
      <c r="E42" s="283"/>
      <c r="F42" s="284"/>
      <c r="G42" s="3128" t="s">
        <v>2456</v>
      </c>
    </row>
    <row r="43" spans="1:7" ht="13.5" customHeight="1">
      <c r="A43" s="954" t="s">
        <v>792</v>
      </c>
      <c r="B43" s="260" t="s">
        <v>2410</v>
      </c>
      <c r="C43" s="283">
        <f ca="1">ROUND(IF('数据-取费表'!B22&lt;=1,C39*F22*'数据-取费表'!B20/2,C39*(POWER((1+F22),'数据-取费表'!B20/2)-1)),0)</f>
        <v>5731</v>
      </c>
      <c r="D43" s="283"/>
      <c r="E43" s="283"/>
      <c r="F43" s="284"/>
      <c r="G43" s="3129"/>
    </row>
    <row r="44" spans="1:7" ht="13.5" customHeight="1">
      <c r="A44" s="954" t="s">
        <v>793</v>
      </c>
      <c r="B44" s="260" t="s">
        <v>2411</v>
      </c>
      <c r="C44" s="283">
        <f ca="1">ROUND(IF('数据-取费表'!B22&lt;=1,C40*F22*'数据-取费表'!B20/2,C40*(POWER((1+F22),'数据-取费表'!B20/2)-1)),4)</f>
        <v>1E-3</v>
      </c>
      <c r="D44" s="283"/>
      <c r="E44" s="283"/>
      <c r="F44" s="284"/>
      <c r="G44" s="3130"/>
    </row>
    <row r="45" spans="1:7" s="259" customFormat="1" ht="13.5" customHeight="1">
      <c r="A45" s="300" t="s">
        <v>2412</v>
      </c>
      <c r="B45" s="289" t="s">
        <v>2378</v>
      </c>
      <c r="C45" s="290">
        <f ca="1">C46</f>
        <v>1230598</v>
      </c>
      <c r="D45" s="280">
        <f ca="1">C47</f>
        <v>4.0000000000000001E-3</v>
      </c>
      <c r="E45" s="281" t="s">
        <v>2404</v>
      </c>
      <c r="F45" s="291"/>
      <c r="G45" s="292" t="s">
        <v>2413</v>
      </c>
    </row>
    <row r="46" spans="1:7" s="259" customFormat="1" ht="13.5" customHeight="1">
      <c r="A46" s="954" t="s">
        <v>791</v>
      </c>
      <c r="B46" s="293" t="s">
        <v>2414</v>
      </c>
      <c r="C46" s="294">
        <f ca="1">ROUND((C33+C39)*F27,0)</f>
        <v>1230598</v>
      </c>
      <c r="D46" s="308"/>
      <c r="E46" s="281"/>
      <c r="F46" s="291"/>
      <c r="G46" s="292"/>
    </row>
    <row r="47" spans="1:7" s="259" customFormat="1" ht="13.5" customHeight="1">
      <c r="A47" s="954" t="s">
        <v>792</v>
      </c>
      <c r="B47" s="293" t="s">
        <v>2415</v>
      </c>
      <c r="C47" s="283">
        <f ca="1">ROUND(C40*F27,4)</f>
        <v>4.0000000000000001E-3</v>
      </c>
      <c r="D47" s="308"/>
      <c r="E47" s="281"/>
      <c r="F47" s="291"/>
      <c r="G47" s="292"/>
    </row>
    <row r="48" spans="1:7" s="259" customFormat="1" ht="13.5" customHeight="1">
      <c r="A48" s="300" t="s">
        <v>2377</v>
      </c>
      <c r="B48" s="255" t="s">
        <v>2416</v>
      </c>
      <c r="C48" s="307">
        <f>ROUND(F30/(1+'数据-取费表'!C42),4)</f>
        <v>5.9400000000000001E-2</v>
      </c>
      <c r="D48" s="281" t="s">
        <v>2404</v>
      </c>
      <c r="E48" s="277"/>
      <c r="F48" s="282"/>
      <c r="G48" s="279" t="s">
        <v>2417</v>
      </c>
    </row>
    <row r="49" spans="1:7" ht="16.5" customHeight="1">
      <c r="A49" s="300" t="s">
        <v>2383</v>
      </c>
      <c r="B49" s="255" t="s">
        <v>2457</v>
      </c>
      <c r="C49" s="277">
        <f ca="1">ROUND((C33+C39+C41+C45)/(1-C40-D41-D45-C48),0)</f>
        <v>8383413</v>
      </c>
      <c r="D49" s="277"/>
      <c r="E49" s="277"/>
      <c r="F49" s="309"/>
      <c r="G49" s="279" t="s">
        <v>2419</v>
      </c>
    </row>
    <row r="50" spans="1:7" s="303" customFormat="1">
      <c r="A50" s="300" t="s">
        <v>2420</v>
      </c>
      <c r="B50" s="255" t="s">
        <v>2421</v>
      </c>
      <c r="C50" s="277"/>
      <c r="D50" s="277"/>
      <c r="E50" s="277"/>
      <c r="F50" s="309">
        <f>IF('数据-取费表'!B24=0,'数据-取费表'!N16,1)</f>
        <v>0.96699999999999997</v>
      </c>
      <c r="G50" s="292"/>
    </row>
    <row r="51" spans="1:7" ht="16.5" customHeight="1">
      <c r="A51" s="300" t="s">
        <v>2423</v>
      </c>
      <c r="B51" s="255" t="s">
        <v>2458</v>
      </c>
      <c r="C51" s="277">
        <f ca="1">ROUND(C49*F50,0)</f>
        <v>8106760</v>
      </c>
      <c r="D51" s="277"/>
      <c r="E51" s="277"/>
      <c r="F51" s="309"/>
      <c r="G51" s="279" t="s">
        <v>2425</v>
      </c>
    </row>
    <row r="52" spans="1:7" s="253" customFormat="1" ht="16.5" thickBot="1">
      <c r="A52" s="310" t="s">
        <v>2426</v>
      </c>
      <c r="B52" s="311"/>
      <c r="C52" s="312">
        <f ca="1">C31+C51</f>
        <v>9628373</v>
      </c>
      <c r="D52" s="311"/>
      <c r="E52" s="311"/>
      <c r="F52" s="311"/>
      <c r="G52" s="313"/>
    </row>
    <row r="55" spans="1:7" ht="15">
      <c r="B55" s="315" t="s">
        <v>2427</v>
      </c>
      <c r="C55" s="316"/>
    </row>
    <row r="56" spans="1:7">
      <c r="B56" s="318" t="s">
        <v>1515</v>
      </c>
      <c r="C56" s="320">
        <f ca="1">1-C57</f>
        <v>0.15800000000000003</v>
      </c>
    </row>
    <row r="57" spans="1:7">
      <c r="B57" s="318" t="s">
        <v>1516</v>
      </c>
      <c r="C57" s="319">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2459</v>
      </c>
      <c r="B1" s="1585"/>
      <c r="C1" s="1586"/>
      <c r="D1" s="1584"/>
      <c r="E1" s="321"/>
      <c r="F1" s="321"/>
      <c r="G1" s="1585"/>
      <c r="H1" s="321"/>
      <c r="I1" s="321"/>
      <c r="J1" s="321"/>
      <c r="K1" s="321">
        <f>MATCH(C1,'数据-取费表'!A6:A16,0)+5</f>
        <v>7</v>
      </c>
    </row>
    <row r="2" spans="1:33" ht="18" customHeight="1">
      <c r="A2" s="246" t="s">
        <v>2327</v>
      </c>
      <c r="B2" s="249">
        <f ca="1">C32</f>
        <v>-63</v>
      </c>
      <c r="C2" s="321" t="s">
        <v>2460</v>
      </c>
      <c r="D2" s="321"/>
      <c r="E2" s="321"/>
      <c r="F2" s="321"/>
      <c r="G2" s="321"/>
      <c r="H2" s="321"/>
      <c r="I2" s="321"/>
      <c r="J2" s="321"/>
      <c r="K2" s="321"/>
    </row>
    <row r="3" spans="1:33" ht="18" customHeight="1" thickBot="1">
      <c r="A3" s="248" t="s">
        <v>2329</v>
      </c>
      <c r="B3" s="249">
        <f ca="1">ROUND(B2*10000/IF(C1="",'数据-汇总表'!E3,INDIRECT("'数据-取费表'!K"&amp;$K$1)),0)</f>
        <v>-239</v>
      </c>
      <c r="C3" s="321" t="s">
        <v>2461</v>
      </c>
      <c r="D3" s="321"/>
      <c r="E3" s="321"/>
      <c r="F3" s="321"/>
      <c r="G3" s="321"/>
      <c r="H3" s="321"/>
      <c r="I3" s="321"/>
      <c r="J3" s="321"/>
      <c r="K3" s="321"/>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9" t="s">
        <v>2465</v>
      </c>
      <c r="D5" s="2559" t="s">
        <v>2466</v>
      </c>
      <c r="E5" s="2559" t="s">
        <v>2467</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2471</v>
      </c>
      <c r="B8" s="178"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1335</v>
      </c>
      <c r="B11" s="975" t="s">
        <v>2480</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2481</v>
      </c>
      <c r="C12" s="24">
        <f ca="1">ROUND(C11*F12,0)</f>
        <v>0</v>
      </c>
      <c r="D12" s="976"/>
      <c r="E12" s="376"/>
      <c r="F12" s="979">
        <f>'数据-取费表'!B33</f>
        <v>0.03</v>
      </c>
      <c r="G12" s="8" t="s">
        <v>2482</v>
      </c>
      <c r="H12" s="971"/>
      <c r="I12" s="971"/>
      <c r="J12" s="971"/>
      <c r="K12" s="972"/>
    </row>
    <row r="13" spans="1:33" s="978" customFormat="1" ht="13.5" customHeight="1">
      <c r="A13" s="974" t="s">
        <v>1337</v>
      </c>
      <c r="B13" s="975" t="s">
        <v>2483</v>
      </c>
      <c r="C13" s="24">
        <f ca="1">ROUND(IF(C1="",SUMIF('数据-取费表'!C:C,"住宅",'数据-取费表'!P:P)*F13,IF(INDIRECT("'数据-取费表'!c"&amp;$K$1)="住宅",INDIRECT("'数据-取费表'!P"&amp;$K$1)*F13,0)),0)</f>
        <v>0</v>
      </c>
      <c r="D13" s="1036"/>
      <c r="E13" s="376"/>
      <c r="F13" s="979">
        <f>'数据-取费表'!B34</f>
        <v>0.05</v>
      </c>
      <c r="G13" s="8" t="s">
        <v>2484</v>
      </c>
      <c r="H13" s="971"/>
      <c r="I13" s="971"/>
      <c r="J13" s="971"/>
      <c r="K13" s="972"/>
    </row>
    <row r="14" spans="1:33" s="980" customFormat="1" ht="13.5" customHeight="1">
      <c r="A14" s="974" t="s">
        <v>1338</v>
      </c>
      <c r="B14" s="975" t="s">
        <v>2485</v>
      </c>
      <c r="C14" s="24">
        <f ca="1">ROUND(D14*E14*F11/10000,0)</f>
        <v>0</v>
      </c>
      <c r="D14" s="1036">
        <f ca="1">IF(C1="",'数据-汇总表'!E3,INDIRECT("'数据-取费表'!K"&amp;$K$1)+INDIRECT("'数据-取费表'!S"&amp;$K$1))</f>
        <v>2634.21</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2634.21</v>
      </c>
      <c r="E17" s="24">
        <f>'数据-取费表'!B32</f>
        <v>0</v>
      </c>
      <c r="F17" s="981"/>
      <c r="G17" s="140" t="s">
        <v>2491</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2492</v>
      </c>
      <c r="C18" s="24">
        <f ca="1">C19+C20-IF(C1="",'数据-取费表'!B29,IF(G18="已全部缴纳",C19+C20,H18))</f>
        <v>53</v>
      </c>
      <c r="D18" s="1036"/>
      <c r="E18" s="24"/>
      <c r="F18" s="979"/>
      <c r="G18" s="2561"/>
      <c r="H18" s="1581"/>
      <c r="I18" s="2562"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2495</v>
      </c>
      <c r="C20" s="24">
        <f ca="1">ROUND(D20*E20/10000,0)</f>
        <v>53</v>
      </c>
      <c r="D20" s="1036">
        <f ca="1">IF(C1="",'数据-汇总表'!E6,IF(INDIRECT("'数据-取费表'!c"&amp;$K$1)="住宅",INDIRECT("'数据-取费表'!s"&amp;$K$1),INDIRECT("'数据-取费表'!k"&amp;$K$1)+INDIRECT("'数据-取费表'!s"&amp;$K$1)))</f>
        <v>2634.21</v>
      </c>
      <c r="E20" s="24">
        <f>'数据-取费表'!B28</f>
        <v>200</v>
      </c>
      <c r="F20" s="979"/>
      <c r="G20" s="15"/>
      <c r="H20" s="984"/>
      <c r="I20" s="984"/>
      <c r="J20" s="984"/>
      <c r="K20" s="985"/>
    </row>
    <row r="21" spans="1:33" s="978" customFormat="1" ht="13.5" customHeight="1">
      <c r="A21" s="964" t="s">
        <v>802</v>
      </c>
      <c r="B21" s="988" t="s">
        <v>2496</v>
      </c>
      <c r="C21" s="989">
        <f ca="1">C16+C17+C18</f>
        <v>53</v>
      </c>
      <c r="D21" s="990"/>
      <c r="E21" s="326"/>
      <c r="F21" s="326"/>
      <c r="G21" s="140" t="s">
        <v>2497</v>
      </c>
      <c r="H21" s="982"/>
      <c r="I21" s="982"/>
      <c r="J21" s="982"/>
      <c r="K21" s="983"/>
    </row>
    <row r="22" spans="1:33" s="978" customFormat="1" ht="13.5" customHeight="1">
      <c r="A22" s="964" t="s">
        <v>2469</v>
      </c>
      <c r="B22" s="988" t="s">
        <v>2498</v>
      </c>
      <c r="C22" s="989">
        <f ca="1">ROUND(C21*F22,0)</f>
        <v>1</v>
      </c>
      <c r="D22" s="326"/>
      <c r="E22" s="326"/>
      <c r="F22" s="991">
        <f>'数据-取费表'!B37</f>
        <v>0.02</v>
      </c>
      <c r="G22" s="8" t="s">
        <v>2499</v>
      </c>
      <c r="H22" s="971"/>
      <c r="I22" s="971"/>
      <c r="J22" s="971"/>
      <c r="K22" s="972"/>
    </row>
    <row r="23" spans="1:33" s="978" customFormat="1" ht="13.5" customHeight="1">
      <c r="A23" s="964" t="s">
        <v>2471</v>
      </c>
      <c r="B23" s="988" t="s">
        <v>2500</v>
      </c>
      <c r="C23" s="989">
        <f ca="1">ROUND(C4*F23*F11,0)</f>
        <v>0</v>
      </c>
      <c r="D23" s="326"/>
      <c r="E23" s="326"/>
      <c r="F23" s="991">
        <f>'数据-取费表'!B38</f>
        <v>0.02</v>
      </c>
      <c r="G23" s="8" t="s">
        <v>2501</v>
      </c>
      <c r="H23" s="971"/>
      <c r="I23" s="971"/>
      <c r="J23" s="971"/>
      <c r="K23" s="972"/>
    </row>
    <row r="24" spans="1:33" s="978" customFormat="1" ht="13.5" customHeight="1">
      <c r="A24" s="964" t="s">
        <v>2502</v>
      </c>
      <c r="B24" s="988" t="s">
        <v>2503</v>
      </c>
      <c r="C24" s="325">
        <f>ROUND(F24/(1+'数据-取费表'!C42),4)</f>
        <v>2.8899999999999999E-2</v>
      </c>
      <c r="D24" s="326" t="s">
        <v>15</v>
      </c>
      <c r="E24" s="326"/>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2509</v>
      </c>
      <c r="B28" s="2564" t="s">
        <v>2510</v>
      </c>
      <c r="C28" s="332">
        <f ca="1">C30</f>
        <v>11</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2511</v>
      </c>
      <c r="C29" s="329">
        <f ca="1">ROUND((1+C24)*F28*'数据-取费表'!B24/'数据-取费表'!B20,4)</f>
        <v>0</v>
      </c>
      <c r="D29" s="329"/>
      <c r="E29" s="330"/>
      <c r="F29" s="335"/>
      <c r="G29" s="140" t="s">
        <v>2512</v>
      </c>
      <c r="H29" s="982"/>
      <c r="I29" s="982"/>
      <c r="J29" s="982"/>
      <c r="K29" s="983"/>
    </row>
    <row r="30" spans="1:33" s="336" customFormat="1" ht="13.5" customHeight="1">
      <c r="A30" s="974" t="s">
        <v>804</v>
      </c>
      <c r="B30" s="997" t="s">
        <v>2513</v>
      </c>
      <c r="C30" s="337">
        <f ca="1">ROUND((C21+C22+C23)*F28,0)</f>
        <v>11</v>
      </c>
      <c r="D30" s="329"/>
      <c r="E30" s="330"/>
      <c r="F30" s="335"/>
      <c r="G30" s="140"/>
      <c r="H30" s="982"/>
      <c r="I30" s="982"/>
      <c r="J30" s="982"/>
      <c r="K30" s="983"/>
    </row>
    <row r="31" spans="1:33" s="978" customFormat="1" ht="13.5" customHeight="1" thickBot="1">
      <c r="A31" s="2565" t="s">
        <v>2514</v>
      </c>
      <c r="B31" s="1008" t="s">
        <v>2515</v>
      </c>
      <c r="C31" s="1009">
        <f>ROUND(C4*F31/(1+'数据-取费表'!C42),0)</f>
        <v>0</v>
      </c>
      <c r="D31" s="1010"/>
      <c r="E31" s="1011"/>
      <c r="F31" s="1012">
        <f>'数据-取费表'!B41</f>
        <v>6.2719999999999998E-2</v>
      </c>
      <c r="G31" s="1013" t="s">
        <v>2516</v>
      </c>
      <c r="H31" s="1014"/>
      <c r="I31" s="1014"/>
      <c r="J31" s="1014"/>
      <c r="K31" s="1015"/>
    </row>
    <row r="32" spans="1:33" s="973" customFormat="1" ht="13.5" customHeight="1" thickBot="1">
      <c r="A32" s="1003" t="s">
        <v>2517</v>
      </c>
      <c r="B32" s="1004"/>
      <c r="C32" s="1005">
        <f ca="1">ROUND((C4-C21-C22-C23-C25-C28-C31)/(1+C24+D25+D28),0)</f>
        <v>-63</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K43" sqref="K4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674" t="s">
        <v>2686</v>
      </c>
      <c r="C1" s="1624" t="s">
        <v>2530</v>
      </c>
      <c r="D1" s="1625" t="s">
        <v>27</v>
      </c>
      <c r="E1" s="1634"/>
      <c r="F1" s="2589" t="s">
        <v>3089</v>
      </c>
      <c r="G1" s="1635" t="s">
        <v>2643</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2327</v>
      </c>
      <c r="B2" s="1421">
        <f>IF(C2="——",ROUND(C50*D3/10000,0),ROUND(C50*D3/10000,0)-D2)</f>
        <v>8182</v>
      </c>
      <c r="C2" s="2591" t="s">
        <v>70</v>
      </c>
      <c r="D2" s="1368"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2329</v>
      </c>
      <c r="B3" s="610">
        <f>IF(C2="——",C50,ROUND(B2*10000/D3,0))</f>
        <v>31060</v>
      </c>
      <c r="C3" s="401" t="s">
        <v>2644</v>
      </c>
      <c r="D3" s="400">
        <f>IF(D1="",'数据-汇总表'!E3,SUMIF('数据-汇总表'!$C19:$C33,D1,'数据-汇总表'!$E19:$E33))</f>
        <v>2634.21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2645</v>
      </c>
      <c r="B4" s="403"/>
      <c r="C4" s="3152" t="s">
        <v>2646</v>
      </c>
      <c r="D4" s="3153"/>
      <c r="E4" s="3154" t="s">
        <v>2647</v>
      </c>
      <c r="F4" s="3155"/>
      <c r="G4" s="3152" t="s">
        <v>2648</v>
      </c>
      <c r="H4" s="3153"/>
      <c r="I4" s="3152" t="s">
        <v>2649</v>
      </c>
      <c r="J4" s="3153"/>
      <c r="K4" s="611" t="s">
        <v>2650</v>
      </c>
      <c r="L4" s="1133"/>
      <c r="M4" s="1134"/>
      <c r="N4" s="1134"/>
      <c r="O4" s="1134"/>
      <c r="P4" s="3156" t="s">
        <v>2651</v>
      </c>
      <c r="Q4" s="3157"/>
      <c r="R4" s="3136" t="s">
        <v>2647</v>
      </c>
      <c r="S4" s="3137"/>
      <c r="T4" s="3136" t="s">
        <v>2648</v>
      </c>
      <c r="U4" s="3137"/>
      <c r="V4" s="3164" t="s">
        <v>2649</v>
      </c>
      <c r="W4" s="3164"/>
      <c r="X4" s="2675"/>
      <c r="Y4" s="3136" t="s">
        <v>2651</v>
      </c>
      <c r="Z4" s="3137"/>
      <c r="AA4" s="3131" t="s">
        <v>2647</v>
      </c>
      <c r="AB4" s="3131" t="s">
        <v>2648</v>
      </c>
      <c r="AC4" s="3149" t="s">
        <v>2649</v>
      </c>
    </row>
    <row r="5" spans="1:29" ht="15">
      <c r="A5" s="405"/>
      <c r="B5" s="406"/>
      <c r="C5" s="3142" t="s">
        <v>2542</v>
      </c>
      <c r="D5" s="3143"/>
      <c r="E5" s="3140" t="s">
        <v>3066</v>
      </c>
      <c r="F5" s="3141"/>
      <c r="G5" s="3140" t="s">
        <v>3066</v>
      </c>
      <c r="H5" s="3141"/>
      <c r="I5" s="3140" t="s">
        <v>3066</v>
      </c>
      <c r="J5" s="3141"/>
      <c r="K5" s="611"/>
      <c r="L5" s="1133"/>
      <c r="M5" s="1134"/>
      <c r="N5" s="1134"/>
      <c r="O5" s="1134"/>
      <c r="P5" s="3158"/>
      <c r="Q5" s="3159"/>
      <c r="R5" s="3138"/>
      <c r="S5" s="3139"/>
      <c r="T5" s="3138"/>
      <c r="U5" s="3139"/>
      <c r="V5" s="3165"/>
      <c r="W5" s="3165"/>
      <c r="X5" s="1817"/>
      <c r="Y5" s="3138"/>
      <c r="Z5" s="3139"/>
      <c r="AA5" s="3132"/>
      <c r="AB5" s="3132"/>
      <c r="AC5" s="3150"/>
    </row>
    <row r="6" spans="1:29" ht="15.75" thickBot="1">
      <c r="A6" s="407"/>
      <c r="B6" s="408"/>
      <c r="C6" s="3144" t="s">
        <v>2546</v>
      </c>
      <c r="D6" s="3145"/>
      <c r="E6" s="3146" t="s">
        <v>2546</v>
      </c>
      <c r="F6" s="3147"/>
      <c r="G6" s="3144" t="s">
        <v>2546</v>
      </c>
      <c r="H6" s="3145"/>
      <c r="I6" s="3144" t="s">
        <v>2546</v>
      </c>
      <c r="J6" s="3145"/>
      <c r="K6" s="611" t="s">
        <v>2547</v>
      </c>
      <c r="L6" s="1133"/>
      <c r="M6" s="1134"/>
      <c r="N6" s="1134"/>
      <c r="O6" s="1134"/>
      <c r="P6" s="3160"/>
      <c r="Q6" s="3161"/>
      <c r="R6" s="3138"/>
      <c r="S6" s="3139"/>
      <c r="T6" s="3162"/>
      <c r="U6" s="3163"/>
      <c r="V6" s="3165"/>
      <c r="W6" s="3165"/>
      <c r="X6" s="1817"/>
      <c r="Y6" s="3162"/>
      <c r="Z6" s="3163"/>
      <c r="AA6" s="3133"/>
      <c r="AB6" s="3133"/>
      <c r="AC6" s="3151"/>
    </row>
    <row r="7" spans="1:29" s="117" customFormat="1" ht="15.75" thickBot="1">
      <c r="A7" s="409" t="s">
        <v>2548</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66" t="s">
        <v>2549</v>
      </c>
      <c r="Q7" s="3167"/>
      <c r="R7" s="770" t="s">
        <v>17</v>
      </c>
      <c r="S7" s="771">
        <f t="shared" ref="S7:S15" si="0">F7</f>
        <v>100</v>
      </c>
      <c r="T7" s="770" t="s">
        <v>17</v>
      </c>
      <c r="U7" s="771">
        <f t="shared" ref="U7:U15" si="1">H7</f>
        <v>100</v>
      </c>
      <c r="V7" s="770" t="s">
        <v>17</v>
      </c>
      <c r="W7" s="771">
        <f t="shared" ref="W7:W15" si="2">J7</f>
        <v>100</v>
      </c>
      <c r="X7" s="772"/>
      <c r="Y7" s="3134" t="s">
        <v>2549</v>
      </c>
      <c r="Z7" s="3135"/>
      <c r="AA7" s="773">
        <f>D7/F7</f>
        <v>1</v>
      </c>
      <c r="AB7" s="773">
        <f>D7/H7</f>
        <v>1</v>
      </c>
      <c r="AC7" s="2676">
        <f>D7/J7</f>
        <v>1</v>
      </c>
    </row>
    <row r="8" spans="1:29" s="117" customFormat="1" ht="15.75" thickBot="1">
      <c r="A8" s="409" t="s">
        <v>2550</v>
      </c>
      <c r="B8" s="410"/>
      <c r="C8" s="415" t="s">
        <v>2652</v>
      </c>
      <c r="D8" s="412">
        <v>100</v>
      </c>
      <c r="E8" s="415" t="s">
        <v>2652</v>
      </c>
      <c r="F8" s="414">
        <f>SUMIF(62:62,E8,63:63)-SUMIF(62:62,C8,63:63)+100</f>
        <v>100</v>
      </c>
      <c r="G8" s="415" t="s">
        <v>2652</v>
      </c>
      <c r="H8" s="412">
        <f>SUMIF(62:62,G8,63:63)-SUMIF(62:62,C8,63:63)+100</f>
        <v>100</v>
      </c>
      <c r="I8" s="415" t="s">
        <v>2652</v>
      </c>
      <c r="J8" s="412">
        <f>SUMIF(62:62,I8,63:63)-SUMIF(62:62,C8,63:63)+100</f>
        <v>100</v>
      </c>
      <c r="K8" s="612"/>
      <c r="L8" s="1135"/>
      <c r="M8" s="1136"/>
      <c r="N8" s="1136"/>
      <c r="O8" s="1136"/>
      <c r="P8" s="3166" t="s">
        <v>2552</v>
      </c>
      <c r="Q8" s="3135"/>
      <c r="R8" s="770" t="s">
        <v>17</v>
      </c>
      <c r="S8" s="771">
        <f t="shared" si="0"/>
        <v>100</v>
      </c>
      <c r="T8" s="770" t="s">
        <v>17</v>
      </c>
      <c r="U8" s="771">
        <f t="shared" si="1"/>
        <v>100</v>
      </c>
      <c r="V8" s="770" t="s">
        <v>17</v>
      </c>
      <c r="W8" s="771">
        <f t="shared" si="2"/>
        <v>100</v>
      </c>
      <c r="X8" s="772"/>
      <c r="Y8" s="3134" t="s">
        <v>2552</v>
      </c>
      <c r="Z8" s="3135"/>
      <c r="AA8" s="773">
        <f t="shared" ref="AA8:AA47" si="3">D8/F8</f>
        <v>1</v>
      </c>
      <c r="AB8" s="773">
        <f t="shared" ref="AB8:AB47" si="4">D8/H8</f>
        <v>1</v>
      </c>
      <c r="AC8" s="2676">
        <f t="shared" ref="AC8:AC47" si="5">D8/J8</f>
        <v>1</v>
      </c>
    </row>
    <row r="9" spans="1:29" s="117" customFormat="1">
      <c r="A9" s="416" t="s">
        <v>2553</v>
      </c>
      <c r="B9" s="71" t="s">
        <v>2554</v>
      </c>
      <c r="C9" s="2932" t="s">
        <v>3067</v>
      </c>
      <c r="D9" s="135">
        <v>100</v>
      </c>
      <c r="E9" s="2932" t="s">
        <v>3067</v>
      </c>
      <c r="F9" s="135">
        <f>SUMIF(64:64,E9,65:65)-SUMIF(64:64,C9,65:65)+100</f>
        <v>100</v>
      </c>
      <c r="G9" s="2932" t="s">
        <v>3067</v>
      </c>
      <c r="H9" s="135">
        <f>SUMIF(64:64,G9,65:65)-SUMIF(64:64,C9,65:65)+100</f>
        <v>100</v>
      </c>
      <c r="I9" s="2932" t="s">
        <v>3067</v>
      </c>
      <c r="J9" s="135">
        <f>SUMIF(64:64,I9,65:65)-SUMIF(64:64,C9,65:65)+100</f>
        <v>100</v>
      </c>
      <c r="K9" s="612"/>
      <c r="L9" s="1135"/>
      <c r="M9" s="1136"/>
      <c r="N9" s="1136"/>
      <c r="O9" s="1136"/>
      <c r="P9" s="3148" t="s">
        <v>2555</v>
      </c>
      <c r="Q9" s="1799" t="str">
        <f t="shared" ref="Q9:Q15" si="6">B9</f>
        <v>用途</v>
      </c>
      <c r="R9" s="770" t="s">
        <v>17</v>
      </c>
      <c r="S9" s="771">
        <f t="shared" si="0"/>
        <v>100</v>
      </c>
      <c r="T9" s="770" t="s">
        <v>17</v>
      </c>
      <c r="U9" s="771">
        <f t="shared" si="1"/>
        <v>100</v>
      </c>
      <c r="V9" s="770" t="s">
        <v>17</v>
      </c>
      <c r="W9" s="771">
        <f t="shared" si="2"/>
        <v>100</v>
      </c>
      <c r="X9" s="772"/>
      <c r="Y9" s="3008" t="s">
        <v>2556</v>
      </c>
      <c r="Z9" s="55" t="str">
        <f t="shared" ref="Z9:Z15" si="7">Q9</f>
        <v>用途</v>
      </c>
      <c r="AA9" s="773">
        <f t="shared" si="3"/>
        <v>1</v>
      </c>
      <c r="AB9" s="773">
        <f t="shared" si="4"/>
        <v>1</v>
      </c>
      <c r="AC9" s="2676">
        <f t="shared" si="5"/>
        <v>1</v>
      </c>
    </row>
    <row r="10" spans="1:29" s="428" customFormat="1" ht="27">
      <c r="A10" s="422"/>
      <c r="B10" s="423" t="s">
        <v>2557</v>
      </c>
      <c r="C10" s="424" t="s">
        <v>3068</v>
      </c>
      <c r="D10" s="136">
        <v>100</v>
      </c>
      <c r="E10" s="424" t="s">
        <v>3068</v>
      </c>
      <c r="F10" s="136">
        <f>SUMIF(66:66,E10,67:67)-SUMIF(66:66,C10,67:67)+100</f>
        <v>100</v>
      </c>
      <c r="G10" s="424" t="s">
        <v>3068</v>
      </c>
      <c r="H10" s="136">
        <f>SUMIF(66:66,G10,67:67)-SUMIF(66:66,C10,67:67)+100</f>
        <v>100</v>
      </c>
      <c r="I10" s="424" t="s">
        <v>3068</v>
      </c>
      <c r="J10" s="136">
        <f>SUMIF(66:66,I10,67:67)-SUMIF(66:66,C10,67:67)+100</f>
        <v>100</v>
      </c>
      <c r="K10" s="613"/>
      <c r="L10" s="1138"/>
      <c r="M10" s="1139"/>
      <c r="N10" s="1139"/>
      <c r="O10" s="1139"/>
      <c r="P10" s="3148"/>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9"/>
      <c r="B11" s="423" t="s">
        <v>2558</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48"/>
      <c r="Q11" s="1799"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2676">
        <f t="shared" si="5"/>
        <v>1</v>
      </c>
    </row>
    <row r="12" spans="1:29" s="117" customFormat="1" ht="15">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48"/>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48"/>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48"/>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1" t="s">
        <v>2559</v>
      </c>
      <c r="B15" s="630" t="s">
        <v>2687</v>
      </c>
      <c r="C15" s="2678"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168" t="s">
        <v>2560</v>
      </c>
      <c r="Q15" s="1814" t="str">
        <f t="shared" si="6"/>
        <v>办公集聚程度</v>
      </c>
      <c r="R15" s="774" t="s">
        <v>17</v>
      </c>
      <c r="S15" s="775">
        <f t="shared" si="0"/>
        <v>100</v>
      </c>
      <c r="T15" s="774" t="s">
        <v>17</v>
      </c>
      <c r="U15" s="775">
        <f t="shared" si="1"/>
        <v>100</v>
      </c>
      <c r="V15" s="774" t="s">
        <v>17</v>
      </c>
      <c r="W15" s="775">
        <f t="shared" si="2"/>
        <v>100</v>
      </c>
      <c r="X15" s="1817"/>
      <c r="Y15" s="3170" t="s">
        <v>2560</v>
      </c>
      <c r="Z15" s="1818" t="str">
        <f t="shared" si="7"/>
        <v>办公集聚程度</v>
      </c>
      <c r="AA15" s="1815">
        <f t="shared" si="3"/>
        <v>1</v>
      </c>
      <c r="AB15" s="1815">
        <f t="shared" si="4"/>
        <v>1</v>
      </c>
      <c r="AC15" s="2679">
        <f t="shared" si="5"/>
        <v>1</v>
      </c>
    </row>
    <row r="16" spans="1:29" ht="15">
      <c r="A16" s="429"/>
      <c r="B16" s="631"/>
      <c r="C16" s="2616" t="s">
        <v>3069</v>
      </c>
      <c r="D16" s="449"/>
      <c r="E16" s="2616" t="s">
        <v>3069</v>
      </c>
      <c r="F16" s="449"/>
      <c r="G16" s="2616" t="s">
        <v>3069</v>
      </c>
      <c r="H16" s="451"/>
      <c r="I16" s="2616" t="s">
        <v>3069</v>
      </c>
      <c r="J16" s="449"/>
      <c r="K16" s="616"/>
      <c r="L16" s="1143"/>
      <c r="M16" s="1134"/>
      <c r="N16" s="1134"/>
      <c r="O16" s="1134"/>
      <c r="P16" s="3169"/>
      <c r="Q16" s="1814"/>
      <c r="R16" s="774"/>
      <c r="S16" s="775"/>
      <c r="T16" s="774"/>
      <c r="U16" s="775"/>
      <c r="V16" s="774"/>
      <c r="W16" s="775"/>
      <c r="X16" s="1817"/>
      <c r="Y16" s="3171"/>
      <c r="Z16" s="1818"/>
      <c r="AA16" s="1815">
        <v>1</v>
      </c>
      <c r="AB16" s="1815">
        <v>1</v>
      </c>
      <c r="AC16" s="2679">
        <v>1</v>
      </c>
    </row>
    <row r="17" spans="1:29" ht="71.25">
      <c r="A17" s="429"/>
      <c r="B17" s="632" t="s">
        <v>2096</v>
      </c>
      <c r="C17" s="2680"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169"/>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2679">
        <f t="shared" si="5"/>
        <v>1</v>
      </c>
    </row>
    <row r="18" spans="1:29" ht="15">
      <c r="A18" s="429"/>
      <c r="B18" s="633"/>
      <c r="C18" s="2681" t="s">
        <v>3069</v>
      </c>
      <c r="D18" s="451"/>
      <c r="E18" s="2681" t="s">
        <v>3069</v>
      </c>
      <c r="F18" s="451"/>
      <c r="G18" s="2681" t="s">
        <v>3069</v>
      </c>
      <c r="H18" s="449"/>
      <c r="I18" s="2681" t="s">
        <v>3069</v>
      </c>
      <c r="J18" s="449"/>
      <c r="K18" s="616"/>
      <c r="L18" s="1143"/>
      <c r="M18" s="1134"/>
      <c r="N18" s="1134"/>
      <c r="O18" s="1134"/>
      <c r="P18" s="3169"/>
      <c r="Q18" s="1814"/>
      <c r="R18" s="774"/>
      <c r="S18" s="775"/>
      <c r="T18" s="774"/>
      <c r="U18" s="775"/>
      <c r="V18" s="774"/>
      <c r="W18" s="775"/>
      <c r="X18" s="1817"/>
      <c r="Y18" s="3171"/>
      <c r="Z18" s="1818"/>
      <c r="AA18" s="1815">
        <v>1</v>
      </c>
      <c r="AB18" s="1815">
        <v>1</v>
      </c>
      <c r="AC18" s="2679">
        <v>1</v>
      </c>
    </row>
    <row r="19" spans="1:29" ht="42.75">
      <c r="A19" s="429"/>
      <c r="B19" s="632" t="s">
        <v>2688</v>
      </c>
      <c r="C19" s="2680"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169"/>
      <c r="Q19" s="1814" t="str">
        <f>B19</f>
        <v>公共配套设施</v>
      </c>
      <c r="R19" s="774" t="s">
        <v>17</v>
      </c>
      <c r="S19" s="775">
        <f>F19</f>
        <v>100</v>
      </c>
      <c r="T19" s="774" t="s">
        <v>17</v>
      </c>
      <c r="U19" s="775">
        <f>H19</f>
        <v>100</v>
      </c>
      <c r="V19" s="774" t="s">
        <v>17</v>
      </c>
      <c r="W19" s="775">
        <f>J19</f>
        <v>100</v>
      </c>
      <c r="X19" s="1817"/>
      <c r="Y19" s="3171"/>
      <c r="Z19" s="1818" t="str">
        <f>Q19</f>
        <v>公共配套设施</v>
      </c>
      <c r="AA19" s="1815">
        <f t="shared" si="3"/>
        <v>1</v>
      </c>
      <c r="AB19" s="1815">
        <f t="shared" si="4"/>
        <v>1</v>
      </c>
      <c r="AC19" s="2679">
        <f t="shared" si="5"/>
        <v>1</v>
      </c>
    </row>
    <row r="20" spans="1:29" ht="15">
      <c r="A20" s="429"/>
      <c r="B20" s="633"/>
      <c r="C20" s="2616" t="s">
        <v>3069</v>
      </c>
      <c r="D20" s="449"/>
      <c r="E20" s="2616" t="s">
        <v>3069</v>
      </c>
      <c r="F20" s="449"/>
      <c r="G20" s="2616" t="s">
        <v>3069</v>
      </c>
      <c r="H20" s="449"/>
      <c r="I20" s="2616" t="s">
        <v>3069</v>
      </c>
      <c r="J20" s="449"/>
      <c r="K20" s="616"/>
      <c r="L20" s="1143"/>
      <c r="M20" s="1134"/>
      <c r="N20" s="1134"/>
      <c r="O20" s="1134"/>
      <c r="P20" s="3169"/>
      <c r="Q20" s="1814"/>
      <c r="R20" s="774"/>
      <c r="S20" s="775"/>
      <c r="T20" s="774"/>
      <c r="U20" s="775"/>
      <c r="V20" s="774"/>
      <c r="W20" s="775"/>
      <c r="X20" s="1817"/>
      <c r="Y20" s="3171"/>
      <c r="Z20" s="1818"/>
      <c r="AA20" s="1815">
        <v>1</v>
      </c>
      <c r="AB20" s="1815">
        <v>1</v>
      </c>
      <c r="AC20" s="2679">
        <v>1</v>
      </c>
    </row>
    <row r="21" spans="1:29" ht="28.5">
      <c r="A21" s="429"/>
      <c r="B21" s="634" t="s">
        <v>2689</v>
      </c>
      <c r="C21" s="2680"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169"/>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2679">
        <f t="shared" ref="AC21" si="10">D21/J21</f>
        <v>1</v>
      </c>
    </row>
    <row r="22" spans="1:29" ht="15">
      <c r="A22" s="429"/>
      <c r="B22" s="634"/>
      <c r="C22" s="2681" t="s">
        <v>3070</v>
      </c>
      <c r="D22" s="449"/>
      <c r="E22" s="2681" t="s">
        <v>3070</v>
      </c>
      <c r="F22" s="449"/>
      <c r="G22" s="2681" t="s">
        <v>3070</v>
      </c>
      <c r="H22" s="449"/>
      <c r="I22" s="2681" t="s">
        <v>3070</v>
      </c>
      <c r="J22" s="449"/>
      <c r="K22" s="1386"/>
      <c r="L22" s="1143"/>
      <c r="M22" s="1134"/>
      <c r="N22" s="1134"/>
      <c r="O22" s="1134"/>
      <c r="P22" s="3169"/>
      <c r="Q22" s="1814"/>
      <c r="R22" s="774"/>
      <c r="S22" s="775"/>
      <c r="T22" s="774"/>
      <c r="U22" s="775"/>
      <c r="V22" s="774"/>
      <c r="W22" s="775"/>
      <c r="X22" s="1817"/>
      <c r="Y22" s="3171"/>
      <c r="Z22" s="1818"/>
      <c r="AA22" s="1815">
        <v>1</v>
      </c>
      <c r="AB22" s="1815">
        <v>1</v>
      </c>
      <c r="AC22" s="2679">
        <v>1</v>
      </c>
    </row>
    <row r="23" spans="1:29" ht="42.75">
      <c r="A23" s="429"/>
      <c r="B23" s="632" t="s">
        <v>2690</v>
      </c>
      <c r="C23" s="2680"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169"/>
      <c r="Q23" s="1814" t="str">
        <f>B23</f>
        <v>环境质量</v>
      </c>
      <c r="R23" s="774" t="s">
        <v>17</v>
      </c>
      <c r="S23" s="775">
        <f>F23</f>
        <v>100</v>
      </c>
      <c r="T23" s="774" t="s">
        <v>17</v>
      </c>
      <c r="U23" s="775">
        <f>H23</f>
        <v>100</v>
      </c>
      <c r="V23" s="774" t="s">
        <v>17</v>
      </c>
      <c r="W23" s="775">
        <f>J23</f>
        <v>100</v>
      </c>
      <c r="X23" s="1817"/>
      <c r="Y23" s="3171"/>
      <c r="Z23" s="1818" t="str">
        <f>Q23</f>
        <v>环境质量</v>
      </c>
      <c r="AA23" s="1815">
        <f t="shared" si="3"/>
        <v>1</v>
      </c>
      <c r="AB23" s="1815">
        <f t="shared" si="4"/>
        <v>1</v>
      </c>
      <c r="AC23" s="2679">
        <f t="shared" si="5"/>
        <v>1</v>
      </c>
    </row>
    <row r="24" spans="1:29" ht="15">
      <c r="A24" s="429"/>
      <c r="B24" s="634"/>
      <c r="C24" s="2616" t="s">
        <v>3069</v>
      </c>
      <c r="D24" s="449"/>
      <c r="E24" s="2616" t="s">
        <v>3069</v>
      </c>
      <c r="F24" s="449"/>
      <c r="G24" s="2616" t="s">
        <v>3069</v>
      </c>
      <c r="H24" s="449"/>
      <c r="I24" s="2616" t="s">
        <v>3069</v>
      </c>
      <c r="J24" s="449"/>
      <c r="K24" s="616"/>
      <c r="L24" s="1143"/>
      <c r="M24" s="1134"/>
      <c r="N24" s="1134"/>
      <c r="O24" s="1134"/>
      <c r="P24" s="3169"/>
      <c r="Q24" s="1814"/>
      <c r="R24" s="774"/>
      <c r="S24" s="775"/>
      <c r="T24" s="774"/>
      <c r="U24" s="775"/>
      <c r="V24" s="774"/>
      <c r="W24" s="775"/>
      <c r="X24" s="1817"/>
      <c r="Y24" s="3171"/>
      <c r="Z24" s="1818"/>
      <c r="AA24" s="1815">
        <v>1</v>
      </c>
      <c r="AB24" s="1815">
        <v>1</v>
      </c>
      <c r="AC24" s="2679">
        <v>1</v>
      </c>
    </row>
    <row r="25" spans="1:29" ht="27">
      <c r="A25" s="405"/>
      <c r="B25" s="632" t="s">
        <v>2691</v>
      </c>
      <c r="C25" s="2620"/>
      <c r="D25" s="436">
        <v>100</v>
      </c>
      <c r="E25" s="435"/>
      <c r="F25" s="436">
        <f>SUMIF(87:87,E26,88:88)-SUMIF(87:87,C26,88:88)+100</f>
        <v>100</v>
      </c>
      <c r="G25" s="2620"/>
      <c r="H25" s="436">
        <f>SUMIF(87:87,G26,88:88)-SUMIF(87:87,C26,88:88)+100</f>
        <v>100</v>
      </c>
      <c r="I25" s="435"/>
      <c r="J25" s="436">
        <f>SUMIF(87:87,I26,88:88)-SUMIF(87:87,C26,88:88)+100</f>
        <v>100</v>
      </c>
      <c r="K25" s="615"/>
      <c r="L25" s="1143"/>
      <c r="M25" s="1134"/>
      <c r="N25" s="1134"/>
      <c r="O25" s="1134"/>
      <c r="P25" s="3169"/>
      <c r="Q25" s="1814" t="str">
        <f>B25</f>
        <v>毗邻道路的类型与等级</v>
      </c>
      <c r="R25" s="774" t="s">
        <v>17</v>
      </c>
      <c r="S25" s="775">
        <f>F25</f>
        <v>100</v>
      </c>
      <c r="T25" s="774" t="s">
        <v>17</v>
      </c>
      <c r="U25" s="775">
        <f>H25</f>
        <v>100</v>
      </c>
      <c r="V25" s="774" t="s">
        <v>17</v>
      </c>
      <c r="W25" s="775">
        <f>J25</f>
        <v>100</v>
      </c>
      <c r="X25" s="1817"/>
      <c r="Y25" s="3171"/>
      <c r="Z25" s="1818" t="str">
        <f>Q25</f>
        <v>毗邻道路的类型与等级</v>
      </c>
      <c r="AA25" s="1815">
        <f t="shared" si="3"/>
        <v>1</v>
      </c>
      <c r="AB25" s="1815">
        <f t="shared" si="4"/>
        <v>1</v>
      </c>
      <c r="AC25" s="2679">
        <f t="shared" si="5"/>
        <v>1</v>
      </c>
    </row>
    <row r="26" spans="1:29" ht="15">
      <c r="A26" s="405"/>
      <c r="B26" s="633"/>
      <c r="C26" s="635"/>
      <c r="D26" s="436"/>
      <c r="E26" s="617"/>
      <c r="F26" s="436"/>
      <c r="G26" s="635"/>
      <c r="H26" s="436"/>
      <c r="I26" s="617"/>
      <c r="J26" s="436"/>
      <c r="K26" s="616"/>
      <c r="L26" s="1143"/>
      <c r="M26" s="1134"/>
      <c r="N26" s="1134"/>
      <c r="O26" s="1134"/>
      <c r="P26" s="3169"/>
      <c r="Q26" s="1814"/>
      <c r="R26" s="774"/>
      <c r="S26" s="775"/>
      <c r="T26" s="774"/>
      <c r="U26" s="775"/>
      <c r="V26" s="774"/>
      <c r="W26" s="775"/>
      <c r="X26" s="1817"/>
      <c r="Y26" s="3171"/>
      <c r="Z26" s="1818"/>
      <c r="AA26" s="1815">
        <v>1</v>
      </c>
      <c r="AB26" s="1815">
        <v>1</v>
      </c>
      <c r="AC26" s="2679">
        <v>1</v>
      </c>
    </row>
    <row r="27" spans="1:29" ht="15">
      <c r="A27" s="429"/>
      <c r="B27" s="633" t="s">
        <v>2659</v>
      </c>
      <c r="C27" s="635" t="s">
        <v>3087</v>
      </c>
      <c r="D27" s="436">
        <v>100</v>
      </c>
      <c r="E27" s="617" t="s">
        <v>3088</v>
      </c>
      <c r="F27" s="436">
        <f>SUMIF(89:89,E27,90:90)-SUMIF(89:89,C27,90:90)+100</f>
        <v>102</v>
      </c>
      <c r="G27" s="617" t="s">
        <v>3088</v>
      </c>
      <c r="H27" s="436">
        <f>SUMIF(89:89,G27,90:90)-SUMIF(89:89,C27,90:90)+100</f>
        <v>102</v>
      </c>
      <c r="I27" s="617" t="s">
        <v>3088</v>
      </c>
      <c r="J27" s="436">
        <f>SUMIF(89:89,I27,90:90)-SUMIF(89:89,C27,90:90)+100</f>
        <v>102</v>
      </c>
      <c r="K27" s="613">
        <v>2</v>
      </c>
      <c r="L27" s="1143"/>
      <c r="M27" s="1134"/>
      <c r="N27" s="1134"/>
      <c r="O27" s="1134"/>
      <c r="P27" s="3169"/>
      <c r="Q27" s="1814" t="str">
        <f t="shared" ref="Q27:Q47" si="11">B27</f>
        <v>楼层</v>
      </c>
      <c r="R27" s="774" t="s">
        <v>17</v>
      </c>
      <c r="S27" s="775">
        <f>F27</f>
        <v>102</v>
      </c>
      <c r="T27" s="774" t="s">
        <v>17</v>
      </c>
      <c r="U27" s="775">
        <f>H27</f>
        <v>102</v>
      </c>
      <c r="V27" s="774" t="s">
        <v>17</v>
      </c>
      <c r="W27" s="775">
        <f>J27</f>
        <v>102</v>
      </c>
      <c r="X27" s="1817"/>
      <c r="Y27" s="3171"/>
      <c r="Z27" s="1818" t="str">
        <f>Q27</f>
        <v>楼层</v>
      </c>
      <c r="AA27" s="1815">
        <f t="shared" si="3"/>
        <v>0.98039215686274506</v>
      </c>
      <c r="AB27" s="1815">
        <f t="shared" si="4"/>
        <v>0.98039215686274506</v>
      </c>
      <c r="AC27" s="2679">
        <f t="shared" si="5"/>
        <v>0.98039215686274506</v>
      </c>
    </row>
    <row r="28" spans="1:29" s="117" customFormat="1" ht="15">
      <c r="A28" s="432"/>
      <c r="B28" s="632" t="s">
        <v>2692</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69"/>
      <c r="Q28" s="1799" t="str">
        <f t="shared" si="11"/>
        <v>朝向</v>
      </c>
      <c r="R28" s="770" t="s">
        <v>17</v>
      </c>
      <c r="S28" s="771">
        <f>F28</f>
        <v>100</v>
      </c>
      <c r="T28" s="770" t="s">
        <v>17</v>
      </c>
      <c r="U28" s="771">
        <f>H28</f>
        <v>100</v>
      </c>
      <c r="V28" s="770" t="s">
        <v>17</v>
      </c>
      <c r="W28" s="771">
        <f>J28</f>
        <v>100</v>
      </c>
      <c r="X28" s="772"/>
      <c r="Y28" s="3171"/>
      <c r="Z28" s="55" t="str">
        <f>Q28</f>
        <v>朝向</v>
      </c>
      <c r="AA28" s="1815">
        <f>D28/F28</f>
        <v>1</v>
      </c>
      <c r="AB28" s="1815">
        <f>D28/H28</f>
        <v>1</v>
      </c>
      <c r="AC28" s="2679">
        <f>D28/J28</f>
        <v>1</v>
      </c>
    </row>
    <row r="29" spans="1:29" ht="15">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69"/>
      <c r="Q29" s="1814">
        <f t="shared" si="11"/>
        <v>111</v>
      </c>
      <c r="R29" s="774" t="s">
        <v>17</v>
      </c>
      <c r="S29" s="775">
        <f t="shared" ref="S29:S47" si="12">F29</f>
        <v>100</v>
      </c>
      <c r="T29" s="774" t="s">
        <v>17</v>
      </c>
      <c r="U29" s="775">
        <f t="shared" ref="U29:U47" si="13">H29</f>
        <v>100</v>
      </c>
      <c r="V29" s="774" t="s">
        <v>17</v>
      </c>
      <c r="W29" s="775">
        <f t="shared" ref="W29:W47" si="14">J29</f>
        <v>100</v>
      </c>
      <c r="X29" s="1817"/>
      <c r="Y29" s="3171"/>
      <c r="Z29" s="1818">
        <f t="shared" ref="Z29:Z47" si="15">Q29</f>
        <v>111</v>
      </c>
      <c r="AA29" s="1815">
        <f t="shared" si="3"/>
        <v>1</v>
      </c>
      <c r="AB29" s="1815">
        <f t="shared" si="4"/>
        <v>1</v>
      </c>
      <c r="AC29" s="2679">
        <f t="shared" si="5"/>
        <v>1</v>
      </c>
    </row>
    <row r="30" spans="1:29" ht="15">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69"/>
      <c r="Q30" s="1814">
        <f t="shared" si="11"/>
        <v>111</v>
      </c>
      <c r="R30" s="774" t="s">
        <v>17</v>
      </c>
      <c r="S30" s="775">
        <f t="shared" si="12"/>
        <v>100</v>
      </c>
      <c r="T30" s="774" t="s">
        <v>17</v>
      </c>
      <c r="U30" s="775">
        <f t="shared" si="13"/>
        <v>100</v>
      </c>
      <c r="V30" s="774" t="s">
        <v>17</v>
      </c>
      <c r="W30" s="775">
        <f t="shared" si="14"/>
        <v>100</v>
      </c>
      <c r="X30" s="1817"/>
      <c r="Y30" s="3171"/>
      <c r="Z30" s="1818">
        <f t="shared" si="15"/>
        <v>111</v>
      </c>
      <c r="AA30" s="1815">
        <f t="shared" si="3"/>
        <v>1</v>
      </c>
      <c r="AB30" s="1815">
        <f t="shared" si="4"/>
        <v>1</v>
      </c>
      <c r="AC30" s="2679">
        <f t="shared" si="5"/>
        <v>1</v>
      </c>
    </row>
    <row r="31" spans="1:29" ht="15">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69"/>
      <c r="Q31" s="1814">
        <f t="shared" si="11"/>
        <v>111</v>
      </c>
      <c r="R31" s="774" t="s">
        <v>17</v>
      </c>
      <c r="S31" s="775">
        <f t="shared" si="12"/>
        <v>100</v>
      </c>
      <c r="T31" s="774" t="s">
        <v>17</v>
      </c>
      <c r="U31" s="775">
        <f t="shared" si="13"/>
        <v>100</v>
      </c>
      <c r="V31" s="774" t="s">
        <v>17</v>
      </c>
      <c r="W31" s="775">
        <f t="shared" si="14"/>
        <v>100</v>
      </c>
      <c r="X31" s="1817"/>
      <c r="Y31" s="3171"/>
      <c r="Z31" s="1818">
        <f t="shared" si="15"/>
        <v>111</v>
      </c>
      <c r="AA31" s="1815">
        <f t="shared" si="3"/>
        <v>1</v>
      </c>
      <c r="AB31" s="1815">
        <f t="shared" si="4"/>
        <v>1</v>
      </c>
      <c r="AC31" s="2679">
        <f t="shared" si="5"/>
        <v>1</v>
      </c>
    </row>
    <row r="32" spans="1:29" ht="15.75"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69"/>
      <c r="Q32" s="1814">
        <f t="shared" si="11"/>
        <v>111</v>
      </c>
      <c r="R32" s="774" t="s">
        <v>17</v>
      </c>
      <c r="S32" s="775">
        <f t="shared" si="12"/>
        <v>100</v>
      </c>
      <c r="T32" s="774" t="s">
        <v>17</v>
      </c>
      <c r="U32" s="775">
        <f t="shared" si="13"/>
        <v>100</v>
      </c>
      <c r="V32" s="774" t="s">
        <v>17</v>
      </c>
      <c r="W32" s="775">
        <f t="shared" si="14"/>
        <v>100</v>
      </c>
      <c r="X32" s="1817"/>
      <c r="Y32" s="3171"/>
      <c r="Z32" s="1818">
        <f t="shared" si="15"/>
        <v>111</v>
      </c>
      <c r="AA32" s="1815">
        <f t="shared" si="3"/>
        <v>1</v>
      </c>
      <c r="AB32" s="1815">
        <f t="shared" si="4"/>
        <v>1</v>
      </c>
      <c r="AC32" s="2679">
        <f t="shared" si="5"/>
        <v>1</v>
      </c>
    </row>
    <row r="33" spans="1:29" ht="15">
      <c r="A33" s="441" t="s">
        <v>2563</v>
      </c>
      <c r="B33" s="71" t="s">
        <v>2693</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72" t="s">
        <v>2565</v>
      </c>
      <c r="Q33" s="1814" t="str">
        <f t="shared" si="11"/>
        <v>建筑类型</v>
      </c>
      <c r="R33" s="774" t="s">
        <v>17</v>
      </c>
      <c r="S33" s="775">
        <f t="shared" si="12"/>
        <v>100</v>
      </c>
      <c r="T33" s="774" t="s">
        <v>17</v>
      </c>
      <c r="U33" s="775">
        <f t="shared" si="13"/>
        <v>100</v>
      </c>
      <c r="V33" s="774" t="s">
        <v>17</v>
      </c>
      <c r="W33" s="775">
        <f t="shared" si="14"/>
        <v>100</v>
      </c>
      <c r="X33" s="1817"/>
      <c r="Y33" s="3175" t="s">
        <v>2565</v>
      </c>
      <c r="Z33" s="1818" t="str">
        <f t="shared" si="15"/>
        <v>建筑类型</v>
      </c>
      <c r="AA33" s="1815">
        <f t="shared" si="3"/>
        <v>1</v>
      </c>
      <c r="AB33" s="1815">
        <f t="shared" si="4"/>
        <v>1</v>
      </c>
      <c r="AC33" s="2679">
        <f t="shared" si="5"/>
        <v>1</v>
      </c>
    </row>
    <row r="34" spans="1:29" s="472" customFormat="1" ht="15">
      <c r="A34" s="469"/>
      <c r="B34" s="423" t="s">
        <v>2566</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73"/>
      <c r="Q34" s="776" t="str">
        <f t="shared" si="11"/>
        <v>项目建筑规模</v>
      </c>
      <c r="R34" s="777" t="s">
        <v>17</v>
      </c>
      <c r="S34" s="778">
        <f t="shared" si="12"/>
        <v>100</v>
      </c>
      <c r="T34" s="777" t="s">
        <v>17</v>
      </c>
      <c r="U34" s="778">
        <f t="shared" si="13"/>
        <v>100</v>
      </c>
      <c r="V34" s="777" t="s">
        <v>17</v>
      </c>
      <c r="W34" s="778">
        <f t="shared" si="14"/>
        <v>100</v>
      </c>
      <c r="X34" s="779"/>
      <c r="Y34" s="3175"/>
      <c r="Z34" s="780" t="str">
        <f t="shared" si="15"/>
        <v>项目建筑规模</v>
      </c>
      <c r="AA34" s="1815">
        <f t="shared" si="3"/>
        <v>1</v>
      </c>
      <c r="AB34" s="1815">
        <f t="shared" si="4"/>
        <v>1</v>
      </c>
      <c r="AC34" s="2679">
        <f t="shared" si="5"/>
        <v>1</v>
      </c>
    </row>
    <row r="35" spans="1:29" ht="15">
      <c r="A35" s="473"/>
      <c r="B35" s="423" t="s">
        <v>2567</v>
      </c>
      <c r="C35" s="461" t="s">
        <v>3075</v>
      </c>
      <c r="D35" s="436">
        <v>100</v>
      </c>
      <c r="E35" s="461" t="s">
        <v>3075</v>
      </c>
      <c r="F35" s="462">
        <f>SUMIF(106:106,E35,107:107)-SUMIF(106:106,C35,107:107)+100</f>
        <v>100</v>
      </c>
      <c r="G35" s="461" t="s">
        <v>3075</v>
      </c>
      <c r="H35" s="436">
        <f>SUMIF(106:106,G35,107:107)-SUMIF(106:106,C35,107:107)+100</f>
        <v>100</v>
      </c>
      <c r="I35" s="461" t="s">
        <v>3075</v>
      </c>
      <c r="J35" s="436">
        <f>SUMIF(106:106,I35,107:107)-SUMIF(106:106,C35,107:107)+100</f>
        <v>100</v>
      </c>
      <c r="K35" s="613"/>
      <c r="L35" s="1143"/>
      <c r="M35" s="1134"/>
      <c r="N35" s="1134"/>
      <c r="O35" s="1134"/>
      <c r="P35" s="3173"/>
      <c r="Q35" s="1814" t="str">
        <f t="shared" si="11"/>
        <v>建筑结构</v>
      </c>
      <c r="R35" s="774" t="s">
        <v>17</v>
      </c>
      <c r="S35" s="775">
        <f t="shared" si="12"/>
        <v>100</v>
      </c>
      <c r="T35" s="774" t="s">
        <v>17</v>
      </c>
      <c r="U35" s="775">
        <f t="shared" si="13"/>
        <v>100</v>
      </c>
      <c r="V35" s="774" t="s">
        <v>17</v>
      </c>
      <c r="W35" s="775">
        <f t="shared" si="14"/>
        <v>100</v>
      </c>
      <c r="X35" s="1817"/>
      <c r="Y35" s="3175"/>
      <c r="Z35" s="1818" t="str">
        <f t="shared" si="15"/>
        <v>建筑结构</v>
      </c>
      <c r="AA35" s="1815">
        <f t="shared" si="3"/>
        <v>1</v>
      </c>
      <c r="AB35" s="1815">
        <f t="shared" si="4"/>
        <v>1</v>
      </c>
      <c r="AC35" s="2679">
        <f t="shared" si="5"/>
        <v>1</v>
      </c>
    </row>
    <row r="36" spans="1:29" ht="15">
      <c r="A36" s="473"/>
      <c r="B36" s="423" t="s">
        <v>2661</v>
      </c>
      <c r="C36" s="461" t="s">
        <v>3077</v>
      </c>
      <c r="D36" s="436">
        <v>100</v>
      </c>
      <c r="E36" s="461" t="s">
        <v>3077</v>
      </c>
      <c r="F36" s="462">
        <f>SUMIF(108:108,E36,109:109)-SUMIF(108:108,C36,109:109)+100</f>
        <v>100</v>
      </c>
      <c r="G36" s="461" t="s">
        <v>3077</v>
      </c>
      <c r="H36" s="436">
        <f>SUMIF(108:108,G36,109:109)-SUMIF(108:108,C36,109:109)+100</f>
        <v>100</v>
      </c>
      <c r="I36" s="461" t="s">
        <v>3077</v>
      </c>
      <c r="J36" s="436">
        <f>SUMIF(108:108,I36,109:109)-SUMIF(108:108,C36,109:109)+100</f>
        <v>100</v>
      </c>
      <c r="K36" s="613"/>
      <c r="L36" s="1143"/>
      <c r="M36" s="1134"/>
      <c r="N36" s="1134"/>
      <c r="O36" s="1134"/>
      <c r="P36" s="3173"/>
      <c r="Q36" s="1814" t="str">
        <f t="shared" si="11"/>
        <v>公共部分装修</v>
      </c>
      <c r="R36" s="774" t="s">
        <v>17</v>
      </c>
      <c r="S36" s="775">
        <f t="shared" si="12"/>
        <v>100</v>
      </c>
      <c r="T36" s="774" t="s">
        <v>17</v>
      </c>
      <c r="U36" s="775">
        <f t="shared" si="13"/>
        <v>100</v>
      </c>
      <c r="V36" s="774" t="s">
        <v>17</v>
      </c>
      <c r="W36" s="775">
        <f t="shared" si="14"/>
        <v>100</v>
      </c>
      <c r="X36" s="1817"/>
      <c r="Y36" s="3175"/>
      <c r="Z36" s="1818" t="str">
        <f t="shared" si="15"/>
        <v>公共部分装修</v>
      </c>
      <c r="AA36" s="1815">
        <f t="shared" si="3"/>
        <v>1</v>
      </c>
      <c r="AB36" s="1815">
        <f t="shared" si="4"/>
        <v>1</v>
      </c>
      <c r="AC36" s="2679">
        <f t="shared" si="5"/>
        <v>1</v>
      </c>
    </row>
    <row r="37" spans="1:29" ht="15">
      <c r="A37" s="473"/>
      <c r="B37" s="423" t="s">
        <v>2662</v>
      </c>
      <c r="C37" s="475">
        <f>'数据-取费表'!Y6</f>
        <v>0.96699999999999997</v>
      </c>
      <c r="D37" s="436">
        <v>100</v>
      </c>
      <c r="E37" s="475">
        <v>0.95</v>
      </c>
      <c r="F37" s="462">
        <f>LOOKUP(E37,111:111,112:112)-LOOKUP(C37,111:111,112:112)+100</f>
        <v>100</v>
      </c>
      <c r="G37" s="475">
        <v>0.95</v>
      </c>
      <c r="H37" s="462">
        <f>LOOKUP(G37,111:111,112:112)-LOOKUP(C37,111:111,112:112)+100</f>
        <v>100</v>
      </c>
      <c r="I37" s="475">
        <v>0.95</v>
      </c>
      <c r="J37" s="436">
        <f>LOOKUP(I37,111:111,112:112)-LOOKUP(C37,111:111,112:112)+100</f>
        <v>100</v>
      </c>
      <c r="K37" s="613"/>
      <c r="L37" s="1143"/>
      <c r="M37" s="1134"/>
      <c r="N37" s="1134"/>
      <c r="O37" s="1134"/>
      <c r="P37" s="3173"/>
      <c r="Q37" s="1814" t="str">
        <f t="shared" si="11"/>
        <v>成新度</v>
      </c>
      <c r="R37" s="774" t="s">
        <v>17</v>
      </c>
      <c r="S37" s="775">
        <f t="shared" si="12"/>
        <v>100</v>
      </c>
      <c r="T37" s="774" t="s">
        <v>17</v>
      </c>
      <c r="U37" s="775">
        <f t="shared" si="13"/>
        <v>100</v>
      </c>
      <c r="V37" s="774" t="s">
        <v>17</v>
      </c>
      <c r="W37" s="775">
        <f t="shared" si="14"/>
        <v>100</v>
      </c>
      <c r="X37" s="1817"/>
      <c r="Y37" s="3175"/>
      <c r="Z37" s="1818" t="str">
        <f t="shared" si="15"/>
        <v>成新度</v>
      </c>
      <c r="AA37" s="1815">
        <f t="shared" si="3"/>
        <v>1</v>
      </c>
      <c r="AB37" s="1815">
        <f t="shared" si="4"/>
        <v>1</v>
      </c>
      <c r="AC37" s="2679">
        <f t="shared" si="5"/>
        <v>1</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73"/>
      <c r="Q38" s="1799"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6">
        <f t="shared" si="5"/>
        <v>1</v>
      </c>
    </row>
    <row r="39" spans="1:29" ht="15">
      <c r="A39" s="473"/>
      <c r="B39" s="423" t="s">
        <v>2695</v>
      </c>
      <c r="C39" s="461" t="s">
        <v>3071</v>
      </c>
      <c r="D39" s="436">
        <v>100</v>
      </c>
      <c r="E39" s="461" t="s">
        <v>3071</v>
      </c>
      <c r="F39" s="462">
        <f>SUMIF(115:115,E39,116:116)-SUMIF(115:115,C39,116:116)+100</f>
        <v>100</v>
      </c>
      <c r="G39" s="461" t="s">
        <v>3071</v>
      </c>
      <c r="H39" s="436">
        <f>SUMIF(115:115,G39,116:116)-SUMIF(115:115,C39,116:116)+100</f>
        <v>100</v>
      </c>
      <c r="I39" s="461" t="s">
        <v>3071</v>
      </c>
      <c r="J39" s="436">
        <f>SUMIF(115:115,I39,116:116)-SUMIF(115:115,C39,116:116)+100</f>
        <v>100</v>
      </c>
      <c r="K39" s="613"/>
      <c r="L39" s="1143"/>
      <c r="M39" s="1134"/>
      <c r="N39" s="1134"/>
      <c r="O39" s="1134"/>
      <c r="P39" s="3173" t="s">
        <v>2565</v>
      </c>
      <c r="Q39" s="1814" t="str">
        <f t="shared" si="11"/>
        <v>物业管理</v>
      </c>
      <c r="R39" s="774" t="s">
        <v>17</v>
      </c>
      <c r="S39" s="775">
        <f t="shared" si="12"/>
        <v>100</v>
      </c>
      <c r="T39" s="774" t="s">
        <v>17</v>
      </c>
      <c r="U39" s="775">
        <f t="shared" si="13"/>
        <v>100</v>
      </c>
      <c r="V39" s="774" t="s">
        <v>17</v>
      </c>
      <c r="W39" s="775">
        <f t="shared" si="14"/>
        <v>100</v>
      </c>
      <c r="X39" s="1817"/>
      <c r="Y39" s="3175" t="s">
        <v>2565</v>
      </c>
      <c r="Z39" s="1818" t="str">
        <f t="shared" si="15"/>
        <v>物业管理</v>
      </c>
      <c r="AA39" s="1815">
        <f t="shared" si="3"/>
        <v>1</v>
      </c>
      <c r="AB39" s="1815">
        <f t="shared" si="4"/>
        <v>1</v>
      </c>
      <c r="AC39" s="2679">
        <f t="shared" si="5"/>
        <v>1</v>
      </c>
    </row>
    <row r="40" spans="1:29" ht="15">
      <c r="A40" s="473"/>
      <c r="B40" s="423" t="s">
        <v>2663</v>
      </c>
      <c r="C40" s="461" t="s">
        <v>3070</v>
      </c>
      <c r="D40" s="436">
        <v>100</v>
      </c>
      <c r="E40" s="461" t="s">
        <v>3070</v>
      </c>
      <c r="F40" s="462">
        <f>SUMIF(117:117,E40,118:118)-SUMIF(117:117,C40,118:118)+100</f>
        <v>100</v>
      </c>
      <c r="G40" s="461" t="s">
        <v>3070</v>
      </c>
      <c r="H40" s="436">
        <f>SUMIF(117:117,G40,118:118)-SUMIF(117:117,C40,118:118)+100</f>
        <v>100</v>
      </c>
      <c r="I40" s="461" t="s">
        <v>3070</v>
      </c>
      <c r="J40" s="436">
        <f>SUMIF(117:117,I40,118:118)-SUMIF(117:117,C40,118:118)+100</f>
        <v>100</v>
      </c>
      <c r="K40" s="613"/>
      <c r="L40" s="1143"/>
      <c r="M40" s="1134"/>
      <c r="N40" s="1134"/>
      <c r="O40" s="1134"/>
      <c r="P40" s="3173"/>
      <c r="Q40" s="1814" t="str">
        <f t="shared" si="11"/>
        <v>市政基础设施</v>
      </c>
      <c r="R40" s="774" t="s">
        <v>17</v>
      </c>
      <c r="S40" s="775">
        <f t="shared" si="12"/>
        <v>100</v>
      </c>
      <c r="T40" s="774" t="s">
        <v>17</v>
      </c>
      <c r="U40" s="775">
        <f t="shared" si="13"/>
        <v>100</v>
      </c>
      <c r="V40" s="774" t="s">
        <v>17</v>
      </c>
      <c r="W40" s="775">
        <f t="shared" si="14"/>
        <v>100</v>
      </c>
      <c r="X40" s="1817"/>
      <c r="Y40" s="3175"/>
      <c r="Z40" s="1818" t="str">
        <f t="shared" si="15"/>
        <v>市政基础设施</v>
      </c>
      <c r="AA40" s="1815">
        <f t="shared" si="3"/>
        <v>1</v>
      </c>
      <c r="AB40" s="1815">
        <f t="shared" si="4"/>
        <v>1</v>
      </c>
      <c r="AC40" s="2679">
        <f t="shared" si="5"/>
        <v>1</v>
      </c>
    </row>
    <row r="41" spans="1:29" ht="15">
      <c r="A41" s="473"/>
      <c r="B41" s="423" t="s">
        <v>2665</v>
      </c>
      <c r="C41" s="617" t="s">
        <v>3081</v>
      </c>
      <c r="D41" s="436">
        <v>100</v>
      </c>
      <c r="E41" s="617" t="s">
        <v>3081</v>
      </c>
      <c r="F41" s="462">
        <f>SUMIF(119:119,E41,120:120)-SUMIF(119:119,C41,120:120)+100</f>
        <v>100</v>
      </c>
      <c r="G41" s="617" t="s">
        <v>3081</v>
      </c>
      <c r="H41" s="436">
        <f>SUMIF(119:119,G41,120:120)-SUMIF(119:119,C41,120:120)+100</f>
        <v>100</v>
      </c>
      <c r="I41" s="617" t="s">
        <v>3081</v>
      </c>
      <c r="J41" s="436">
        <f>SUMIF(119:119,I41,120:120)-SUMIF(119:119,C41,120:120)+100</f>
        <v>100</v>
      </c>
      <c r="K41" s="613"/>
      <c r="L41" s="1143"/>
      <c r="M41" s="1134"/>
      <c r="N41" s="1134"/>
      <c r="O41" s="1134"/>
      <c r="P41" s="3173"/>
      <c r="Q41" s="1814" t="str">
        <f t="shared" si="11"/>
        <v>层高</v>
      </c>
      <c r="R41" s="774" t="s">
        <v>17</v>
      </c>
      <c r="S41" s="775">
        <f t="shared" si="12"/>
        <v>100</v>
      </c>
      <c r="T41" s="774" t="s">
        <v>17</v>
      </c>
      <c r="U41" s="775">
        <f t="shared" si="13"/>
        <v>100</v>
      </c>
      <c r="V41" s="774" t="s">
        <v>17</v>
      </c>
      <c r="W41" s="775">
        <f t="shared" si="14"/>
        <v>100</v>
      </c>
      <c r="X41" s="1817"/>
      <c r="Y41" s="3175"/>
      <c r="Z41" s="1818" t="str">
        <f t="shared" si="15"/>
        <v>层高</v>
      </c>
      <c r="AA41" s="1815">
        <f t="shared" si="3"/>
        <v>1</v>
      </c>
      <c r="AB41" s="1815">
        <f t="shared" si="4"/>
        <v>1</v>
      </c>
      <c r="AC41" s="2679">
        <f t="shared" si="5"/>
        <v>1</v>
      </c>
    </row>
    <row r="42" spans="1:29" s="472" customFormat="1" ht="15">
      <c r="A42" s="469"/>
      <c r="B42" s="1816"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73"/>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5">
        <f t="shared" si="3"/>
        <v>1</v>
      </c>
      <c r="AB42" s="1815">
        <f t="shared" si="4"/>
        <v>1</v>
      </c>
      <c r="AC42" s="2679">
        <f t="shared" si="5"/>
        <v>1</v>
      </c>
    </row>
    <row r="43" spans="1:29" ht="15">
      <c r="A43" s="473"/>
      <c r="B43" s="423" t="s">
        <v>2668</v>
      </c>
      <c r="C43" s="461" t="s">
        <v>3083</v>
      </c>
      <c r="D43" s="436">
        <v>100</v>
      </c>
      <c r="E43" s="461" t="s">
        <v>3077</v>
      </c>
      <c r="F43" s="462">
        <f>SUMIF(123:123,E43,124:124)-SUMIF(123:123,C43,124:124)+100</f>
        <v>103</v>
      </c>
      <c r="G43" s="461" t="s">
        <v>3077</v>
      </c>
      <c r="H43" s="436">
        <f>SUMIF(123:123,G43,124:124)-SUMIF(123:123,C43,124:124)+100</f>
        <v>103</v>
      </c>
      <c r="I43" s="461" t="s">
        <v>3077</v>
      </c>
      <c r="J43" s="436">
        <f>SUMIF(123:123,I43,124:124)-SUMIF(123:123,C43,124:124)+100</f>
        <v>103</v>
      </c>
      <c r="K43" s="613">
        <v>1</v>
      </c>
      <c r="L43" s="1143"/>
      <c r="M43" s="1134"/>
      <c r="N43" s="1134"/>
      <c r="O43" s="1134"/>
      <c r="P43" s="3173"/>
      <c r="Q43" s="1814" t="str">
        <f t="shared" si="11"/>
        <v>内部装修</v>
      </c>
      <c r="R43" s="774" t="s">
        <v>17</v>
      </c>
      <c r="S43" s="775">
        <f t="shared" si="12"/>
        <v>103</v>
      </c>
      <c r="T43" s="774" t="s">
        <v>17</v>
      </c>
      <c r="U43" s="775">
        <f t="shared" si="13"/>
        <v>103</v>
      </c>
      <c r="V43" s="774" t="s">
        <v>17</v>
      </c>
      <c r="W43" s="775">
        <f t="shared" si="14"/>
        <v>103</v>
      </c>
      <c r="X43" s="1817"/>
      <c r="Y43" s="3175"/>
      <c r="Z43" s="1818" t="str">
        <f t="shared" si="15"/>
        <v>内部装修</v>
      </c>
      <c r="AA43" s="1815">
        <f t="shared" si="3"/>
        <v>0.970873786407767</v>
      </c>
      <c r="AB43" s="1815">
        <f t="shared" si="4"/>
        <v>0.970873786407767</v>
      </c>
      <c r="AC43" s="2679">
        <f t="shared" si="5"/>
        <v>0.970873786407767</v>
      </c>
    </row>
    <row r="44" spans="1:29" ht="15">
      <c r="A44" s="473"/>
      <c r="B44" s="423" t="s">
        <v>2576</v>
      </c>
      <c r="C44" s="461" t="s">
        <v>3071</v>
      </c>
      <c r="D44" s="436">
        <v>100</v>
      </c>
      <c r="E44" s="461" t="s">
        <v>3071</v>
      </c>
      <c r="F44" s="462">
        <f>SUMIF(125:125,E44,126:126)-SUMIF(125:125,C44,126:126)+100</f>
        <v>100</v>
      </c>
      <c r="G44" s="461" t="s">
        <v>3071</v>
      </c>
      <c r="H44" s="436">
        <f>SUMIF(125:125,G44,126:126)-SUMIF(125:125,C44,126:126)+100</f>
        <v>100</v>
      </c>
      <c r="I44" s="461" t="s">
        <v>3071</v>
      </c>
      <c r="J44" s="436">
        <f>SUMIF(125:125,I44,126:126)-SUMIF(125:125,C44,126:126)+100</f>
        <v>100</v>
      </c>
      <c r="K44" s="613"/>
      <c r="L44" s="1143"/>
      <c r="M44" s="1134"/>
      <c r="N44" s="1134"/>
      <c r="O44" s="1134"/>
      <c r="P44" s="3173"/>
      <c r="Q44" s="1814" t="str">
        <f t="shared" si="11"/>
        <v>内部装修维护情况</v>
      </c>
      <c r="R44" s="774" t="s">
        <v>17</v>
      </c>
      <c r="S44" s="775">
        <f t="shared" si="12"/>
        <v>100</v>
      </c>
      <c r="T44" s="774" t="s">
        <v>17</v>
      </c>
      <c r="U44" s="775">
        <f t="shared" si="13"/>
        <v>100</v>
      </c>
      <c r="V44" s="774" t="s">
        <v>17</v>
      </c>
      <c r="W44" s="775">
        <f t="shared" si="14"/>
        <v>100</v>
      </c>
      <c r="X44" s="1817"/>
      <c r="Y44" s="3175"/>
      <c r="Z44" s="1818" t="str">
        <f t="shared" si="15"/>
        <v>内部装修维护情况</v>
      </c>
      <c r="AA44" s="1815">
        <f t="shared" si="3"/>
        <v>1</v>
      </c>
      <c r="AB44" s="1815">
        <f t="shared" si="4"/>
        <v>1</v>
      </c>
      <c r="AC44" s="2679">
        <f t="shared" si="5"/>
        <v>1</v>
      </c>
    </row>
    <row r="45" spans="1:29" s="117" customFormat="1" ht="15">
      <c r="A45" s="474"/>
      <c r="B45" s="2936" t="s">
        <v>3096</v>
      </c>
      <c r="C45" s="2937" t="s">
        <v>3097</v>
      </c>
      <c r="D45" s="136">
        <v>100</v>
      </c>
      <c r="E45" s="2938" t="s">
        <v>3086</v>
      </c>
      <c r="F45" s="426">
        <f>SUMIF(127:127,E45,128:128)-SUMIF(127:127,C45,128:128)+100</f>
        <v>95</v>
      </c>
      <c r="G45" s="2938" t="s">
        <v>3086</v>
      </c>
      <c r="H45" s="136">
        <f>SUMIF(127:127,G45,128:128)-SUMIF(127:127,C45,128:128)+100</f>
        <v>95</v>
      </c>
      <c r="I45" s="2938" t="s">
        <v>3086</v>
      </c>
      <c r="J45" s="136">
        <f>SUMIF(127:127,I45,128:128)-SUMIF(127:127,C45,128:128)+100</f>
        <v>95</v>
      </c>
      <c r="K45" s="614"/>
      <c r="L45" s="1135"/>
      <c r="M45" s="1136"/>
      <c r="N45" s="1136"/>
      <c r="O45" s="1136"/>
      <c r="P45" s="3173"/>
      <c r="Q45" s="1799" t="str">
        <f t="shared" si="11"/>
        <v>地下室</v>
      </c>
      <c r="R45" s="770" t="s">
        <v>17</v>
      </c>
      <c r="S45" s="771">
        <f t="shared" si="12"/>
        <v>95</v>
      </c>
      <c r="T45" s="770" t="s">
        <v>17</v>
      </c>
      <c r="U45" s="771">
        <f t="shared" si="13"/>
        <v>95</v>
      </c>
      <c r="V45" s="770" t="s">
        <v>17</v>
      </c>
      <c r="W45" s="771">
        <f t="shared" si="14"/>
        <v>95</v>
      </c>
      <c r="X45" s="772"/>
      <c r="Y45" s="3175"/>
      <c r="Z45" s="55" t="str">
        <f t="shared" si="15"/>
        <v>地下室</v>
      </c>
      <c r="AA45" s="773">
        <f t="shared" si="3"/>
        <v>1.0526315789473684</v>
      </c>
      <c r="AB45" s="773">
        <f t="shared" si="4"/>
        <v>1.0526315789473684</v>
      </c>
      <c r="AC45" s="2676">
        <f t="shared" si="5"/>
        <v>1.0526315789473684</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73"/>
      <c r="Q46" s="1814">
        <f t="shared" si="11"/>
        <v>111</v>
      </c>
      <c r="R46" s="774" t="s">
        <v>17</v>
      </c>
      <c r="S46" s="775">
        <f t="shared" si="12"/>
        <v>100</v>
      </c>
      <c r="T46" s="774" t="s">
        <v>17</v>
      </c>
      <c r="U46" s="775">
        <f t="shared" si="13"/>
        <v>100</v>
      </c>
      <c r="V46" s="774" t="s">
        <v>17</v>
      </c>
      <c r="W46" s="775">
        <f t="shared" si="14"/>
        <v>100</v>
      </c>
      <c r="X46" s="1817"/>
      <c r="Y46" s="3175"/>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74"/>
      <c r="Q47" s="1814">
        <f t="shared" si="11"/>
        <v>111</v>
      </c>
      <c r="R47" s="774" t="s">
        <v>17</v>
      </c>
      <c r="S47" s="775">
        <f t="shared" si="12"/>
        <v>100</v>
      </c>
      <c r="T47" s="774" t="s">
        <v>17</v>
      </c>
      <c r="U47" s="775">
        <f t="shared" si="13"/>
        <v>100</v>
      </c>
      <c r="V47" s="774" t="s">
        <v>17</v>
      </c>
      <c r="W47" s="775">
        <f t="shared" si="14"/>
        <v>100</v>
      </c>
      <c r="X47" s="1817"/>
      <c r="Y47" s="3176"/>
      <c r="Z47" s="1818">
        <f t="shared" si="15"/>
        <v>111</v>
      </c>
      <c r="AA47" s="1815">
        <f t="shared" si="3"/>
        <v>1</v>
      </c>
      <c r="AB47" s="1815">
        <f t="shared" si="4"/>
        <v>1</v>
      </c>
      <c r="AC47" s="2679">
        <f t="shared" si="5"/>
        <v>1</v>
      </c>
    </row>
    <row r="48" spans="1:29" ht="15">
      <c r="A48" s="480" t="s">
        <v>2577</v>
      </c>
      <c r="B48" s="481"/>
      <c r="C48" s="1410" t="s">
        <v>1</v>
      </c>
      <c r="D48" s="1411"/>
      <c r="E48" s="1412">
        <v>33000</v>
      </c>
      <c r="F48" s="1413"/>
      <c r="G48" s="1414">
        <v>31000</v>
      </c>
      <c r="H48" s="1415"/>
      <c r="I48" s="1412">
        <v>29000</v>
      </c>
      <c r="J48" s="486"/>
      <c r="K48" s="783"/>
      <c r="L48" s="1146"/>
      <c r="M48" s="1134"/>
      <c r="N48" s="1134"/>
      <c r="O48" s="1134"/>
      <c r="P48" s="3148" t="str">
        <f>A48</f>
        <v>成交单价（元/平方米）</v>
      </c>
      <c r="Q48" s="3177"/>
      <c r="R48" s="3178">
        <f>E48</f>
        <v>33000</v>
      </c>
      <c r="S48" s="3178"/>
      <c r="T48" s="3178">
        <f>G48</f>
        <v>31000</v>
      </c>
      <c r="U48" s="3178"/>
      <c r="V48" s="3178">
        <f>I48</f>
        <v>29000</v>
      </c>
      <c r="W48" s="3178"/>
      <c r="X48" s="447"/>
      <c r="Y48" s="781"/>
      <c r="Z48" s="447"/>
      <c r="AA48" s="447"/>
      <c r="AB48" s="447"/>
      <c r="AC48" s="631"/>
    </row>
    <row r="49" spans="1:29" ht="15.75" thickBot="1">
      <c r="A49" s="487" t="s">
        <v>2669</v>
      </c>
      <c r="B49" s="488"/>
      <c r="C49" s="1416">
        <f>R50</f>
        <v>31060</v>
      </c>
      <c r="D49" s="1417"/>
      <c r="E49" s="1418">
        <f>R49</f>
        <v>33064</v>
      </c>
      <c r="F49" s="1418"/>
      <c r="G49" s="1416">
        <f>T49</f>
        <v>31060</v>
      </c>
      <c r="H49" s="1417"/>
      <c r="I49" s="1418">
        <f>V49</f>
        <v>29056</v>
      </c>
      <c r="J49" s="490"/>
      <c r="K49" s="784"/>
      <c r="L49" s="1146"/>
      <c r="M49" s="1134"/>
      <c r="N49" s="1134"/>
      <c r="O49" s="1134"/>
      <c r="P49" s="3148" t="str">
        <f>A49</f>
        <v>比较价值（元/平方米）</v>
      </c>
      <c r="Q49" s="3177"/>
      <c r="R49" s="3178">
        <f>IF(F1="售价",ROUND(PRODUCT(R48,AA7:AA47),0),ROUND(PRODUCT(R48,AA7:AA47),1))</f>
        <v>33064</v>
      </c>
      <c r="S49" s="3178"/>
      <c r="T49" s="3178">
        <f>IF(F1="售价",ROUND(PRODUCT(T48,AB7:AB47),0),ROUND(PRODUCT(T48,AB7:AB47),1))</f>
        <v>31060</v>
      </c>
      <c r="U49" s="3178"/>
      <c r="V49" s="3178">
        <f>IF(F1="售价",ROUND(PRODUCT(V48,AC7:AC47),0),ROUND(PRODUCT(V48,AC7:AC47),1))</f>
        <v>29056</v>
      </c>
      <c r="W49" s="3178"/>
      <c r="X49" s="447"/>
      <c r="Y49" s="447"/>
      <c r="Z49" s="447"/>
      <c r="AA49" s="447"/>
      <c r="AB49" s="447"/>
      <c r="AC49" s="631"/>
    </row>
    <row r="50" spans="1:29" ht="15.75" thickBot="1">
      <c r="A50" s="493" t="s">
        <v>2670</v>
      </c>
      <c r="B50" s="494"/>
      <c r="C50" s="1420">
        <f>R50</f>
        <v>31060</v>
      </c>
      <c r="D50" s="1420"/>
      <c r="E50" s="1420"/>
      <c r="F50" s="1420"/>
      <c r="G50" s="1420"/>
      <c r="H50" s="1420"/>
      <c r="I50" s="1420"/>
      <c r="J50" s="495"/>
      <c r="K50" s="785"/>
      <c r="L50" s="1146"/>
      <c r="M50" s="1134"/>
      <c r="N50" s="1134"/>
      <c r="O50" s="1134"/>
      <c r="P50" s="3179" t="str">
        <f>A50</f>
        <v>估价对象XX用房的比较价值（楼面单价，元/平方米）</v>
      </c>
      <c r="Q50" s="3180"/>
      <c r="R50" s="3181">
        <f>IF(F1="售价",ROUND(AVERAGE(R49:V49),0),ROUND(AVERAGE(R49:V49),1))</f>
        <v>31060</v>
      </c>
      <c r="S50" s="3181"/>
      <c r="T50" s="3181"/>
      <c r="U50" s="3181"/>
      <c r="V50" s="3181"/>
      <c r="W50" s="318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2671</v>
      </c>
      <c r="D53" s="499"/>
      <c r="E53" s="500">
        <f>IF(E48&lt;E49,E49/E48-1,E48/E49-1)</f>
        <v>1.9393939393939075E-3</v>
      </c>
      <c r="F53" s="501" t="str">
        <f>IF(OR(E53&gt;=0.3,E53&lt;=-0.3),"超过30%","")</f>
        <v/>
      </c>
      <c r="G53" s="500">
        <f>IF(G48&lt;G49,G49/G48-1,G48/G49-1)</f>
        <v>1.935483870967758E-3</v>
      </c>
      <c r="H53" s="501" t="str">
        <f>IF(OR(G53&gt;=0.3,G53&lt;=-0.3),"超过30%","")</f>
        <v/>
      </c>
      <c r="I53" s="500">
        <f>IF(I48&lt;I49,I49/I48-1,I48/I49-1)</f>
        <v>1.9310344827585535E-3</v>
      </c>
      <c r="J53" s="501" t="str">
        <f>IF(OR(I53&gt;=0.3,I53&lt;=-0.3),"超过30%","")</f>
        <v/>
      </c>
      <c r="K53" s="1108"/>
      <c r="L53" s="1109"/>
      <c r="M53" s="1147"/>
      <c r="N53" s="1147"/>
      <c r="O53" s="1147"/>
    </row>
    <row r="54" spans="1:29" ht="13.5" customHeight="1">
      <c r="A54" s="1147"/>
      <c r="B54" s="1147"/>
      <c r="C54" s="498" t="s">
        <v>2672</v>
      </c>
      <c r="D54" s="502"/>
      <c r="E54" s="500">
        <f>IF(E49&lt;G49,G49/E49-1,E49/G49-1)</f>
        <v>6.4520283322601513E-2</v>
      </c>
      <c r="F54" s="501" t="str">
        <f>IF(OR(E54&gt;=0.2,E54&lt;=-0.2),"超过20%","")</f>
        <v/>
      </c>
      <c r="G54" s="500">
        <f>IF(G49&lt;I49,I49/G49-1,G49/I49-1)</f>
        <v>6.8970264317180563E-2</v>
      </c>
      <c r="H54" s="501" t="str">
        <f>IF(OR(G54&gt;=0.2,G54&lt;=-0.2),"超过20%","")</f>
        <v/>
      </c>
      <c r="I54" s="500">
        <f>IF(I49&lt;E49,E49/I49-1,I49/E49-1)</f>
        <v>0.13794052863436113</v>
      </c>
      <c r="J54" s="501" t="str">
        <f>IF(OR(I54&gt;=0.2,I54&lt;=-0.2),"超过20%","")</f>
        <v/>
      </c>
      <c r="K54" s="1108"/>
      <c r="L54" s="1109"/>
      <c r="M54" s="1147"/>
      <c r="N54" s="1147"/>
      <c r="O54" s="1147"/>
    </row>
    <row r="55" spans="1:29" s="503" customFormat="1" ht="13.5" customHeight="1">
      <c r="A55" s="1148"/>
      <c r="B55" s="1148"/>
      <c r="C55" s="498" t="s">
        <v>2673</v>
      </c>
      <c r="D55" s="502"/>
      <c r="E55" s="500">
        <f>IF(E48&lt;G48,G48/E48-1,E48/G48-1)</f>
        <v>6.4516129032258007E-2</v>
      </c>
      <c r="F55" s="501" t="str">
        <f>IF(OR(E55&gt;=0.3,E55&lt;=-0.3),"超过30%","")</f>
        <v/>
      </c>
      <c r="G55" s="500">
        <f>IF(G48&lt;I48,I48/G48-1,G48/I48-1)</f>
        <v>6.8965517241379226E-2</v>
      </c>
      <c r="H55" s="501" t="str">
        <f>IF(OR(G55&gt;=0.3,G55&lt;=-0.3),"超过30%","")</f>
        <v/>
      </c>
      <c r="I55" s="500">
        <f>IF(I48&lt;E48,E48/I48-1,I48/E48-1)</f>
        <v>0.13793103448275867</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6"/>
      <c r="Q58" s="505"/>
    </row>
    <row r="59" spans="1:29" s="509" customFormat="1" ht="15">
      <c r="A59" s="506" t="s">
        <v>2548</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7"/>
    </row>
    <row r="61" spans="1:29" s="117" customFormat="1" ht="15.75" thickBot="1">
      <c r="A61" s="516" t="s">
        <v>2585</v>
      </c>
      <c r="B61" s="517"/>
      <c r="C61" s="518"/>
      <c r="D61" s="519"/>
      <c r="E61" s="519"/>
      <c r="F61" s="519"/>
      <c r="G61" s="519"/>
      <c r="H61" s="519"/>
      <c r="I61" s="519"/>
      <c r="J61" s="519"/>
      <c r="K61" s="519"/>
      <c r="L61" s="519"/>
      <c r="M61" s="520"/>
      <c r="N61" s="519"/>
      <c r="O61" s="520"/>
      <c r="P61" s="2687"/>
      <c r="Q61" s="505"/>
    </row>
    <row r="62" spans="1:29" s="117" customFormat="1" ht="15">
      <c r="A62" s="522" t="s">
        <v>2550</v>
      </c>
      <c r="B62" s="511"/>
      <c r="C62" s="523" t="s">
        <v>2652</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2588</v>
      </c>
      <c r="B64" s="529" t="s">
        <v>2554</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2558</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2689</v>
      </c>
      <c r="C83" s="661" t="s">
        <v>2675</v>
      </c>
      <c r="D83" s="661" t="s">
        <v>2676</v>
      </c>
      <c r="E83" s="661" t="s">
        <v>2677</v>
      </c>
      <c r="F83" s="661" t="s">
        <v>2678</v>
      </c>
      <c r="G83" s="661" t="s">
        <v>2679</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2699</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3074</v>
      </c>
      <c r="D89" s="555" t="s">
        <v>3073</v>
      </c>
      <c r="E89" s="555" t="s">
        <v>3072</v>
      </c>
      <c r="F89" s="555"/>
      <c r="G89" s="555"/>
      <c r="H89" s="555"/>
      <c r="I89" s="555"/>
      <c r="J89" s="555"/>
      <c r="K89" s="555"/>
      <c r="L89" s="555"/>
      <c r="M89" s="582"/>
      <c r="N89" s="1154"/>
      <c r="O89" s="1154"/>
      <c r="P89" s="2689"/>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2563</v>
      </c>
      <c r="B101" s="529" t="s">
        <v>2612</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2613</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101</v>
      </c>
      <c r="E105" s="537">
        <v>102</v>
      </c>
      <c r="F105" s="537">
        <v>103</v>
      </c>
      <c r="G105" s="537">
        <v>104</v>
      </c>
      <c r="H105" s="537"/>
      <c r="I105" s="537"/>
      <c r="J105" s="537"/>
      <c r="K105" s="537"/>
      <c r="L105" s="537"/>
      <c r="M105" s="538"/>
      <c r="N105" s="1156"/>
      <c r="O105" s="1156"/>
      <c r="P105" s="2690"/>
      <c r="Q105" s="560"/>
    </row>
    <row r="106" spans="1:17" ht="15" thickTop="1">
      <c r="A106" s="600"/>
      <c r="B106" s="539" t="s">
        <v>2614</v>
      </c>
      <c r="C106" s="2933" t="s">
        <v>3076</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2616</v>
      </c>
      <c r="C108" s="2933" t="s">
        <v>3078</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2700</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2617</v>
      </c>
      <c r="C115" s="2933" t="s">
        <v>3079</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2618</v>
      </c>
      <c r="C117" s="2933" t="s">
        <v>3080</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2701</v>
      </c>
      <c r="C119" s="2934" t="s">
        <v>3082</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2684</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2620</v>
      </c>
      <c r="C123" s="2934" t="s">
        <v>3078</v>
      </c>
      <c r="D123" s="2933" t="s">
        <v>3084</v>
      </c>
      <c r="E123" s="2933" t="s">
        <v>3118</v>
      </c>
      <c r="F123" s="2934" t="s">
        <v>3119</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6"/>
      <c r="O124" s="1156"/>
      <c r="P124" s="2689"/>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地下室</v>
      </c>
      <c r="C127" s="2933" t="s">
        <v>3085</v>
      </c>
      <c r="D127" s="2933" t="s">
        <v>3086</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95</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5" sqref="H5"/>
    </sheetView>
  </sheetViews>
  <sheetFormatPr defaultRowHeight="12.75"/>
  <cols>
    <col min="1" max="1" width="11.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3007</v>
      </c>
      <c r="C1" s="3183" t="s">
        <v>3008</v>
      </c>
      <c r="D1" s="3184"/>
      <c r="E1" s="3184"/>
      <c r="F1" s="3184"/>
      <c r="G1" s="3184"/>
      <c r="H1" s="3184"/>
      <c r="I1" s="3184"/>
      <c r="J1" s="3184"/>
      <c r="K1" s="3184"/>
      <c r="L1" s="3184"/>
      <c r="M1" s="3184"/>
      <c r="N1" s="3184"/>
      <c r="O1" s="3184"/>
      <c r="P1" s="3184"/>
      <c r="Q1" s="3184"/>
      <c r="R1" s="3184"/>
      <c r="S1" s="3185"/>
      <c r="T1" s="1207" t="s">
        <v>3009</v>
      </c>
    </row>
    <row r="2" spans="1:45" s="708" customFormat="1" ht="25.5">
      <c r="A2" s="1208"/>
      <c r="B2" s="704" t="s">
        <v>3010</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103</v>
      </c>
      <c r="E4" s="710">
        <v>106</v>
      </c>
      <c r="F4" s="710">
        <v>109</v>
      </c>
      <c r="G4" s="710">
        <v>111</v>
      </c>
      <c r="H4" s="1712">
        <v>114</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3011</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3012</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3013</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3017</v>
      </c>
      <c r="B17" s="2922"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3019</v>
      </c>
      <c r="E19" s="1796"/>
      <c r="F19" s="1796"/>
      <c r="G19" s="1796"/>
      <c r="H19" s="1283"/>
      <c r="I19" s="169"/>
      <c r="J19" s="169"/>
      <c r="K19" s="169"/>
      <c r="L19" s="169"/>
      <c r="M19" s="169"/>
      <c r="N19" s="169"/>
      <c r="O19" s="169"/>
      <c r="P19" s="169"/>
      <c r="Q19" s="169"/>
      <c r="R19" s="788"/>
      <c r="S19" s="138"/>
    </row>
    <row r="20" spans="1:45" ht="16.5" thickBot="1">
      <c r="A20" s="715" t="s">
        <v>3020</v>
      </c>
      <c r="B20" s="339">
        <f>IF(D20="——",S22,S22-F20)</f>
        <v>8681</v>
      </c>
      <c r="C20" s="169"/>
      <c r="D20" s="2924" t="s">
        <v>70</v>
      </c>
      <c r="E20" s="1797"/>
      <c r="F20" s="1207" t="e">
        <f ca="1">SUMIF(INDIRECT("'"&amp;H20&amp;"'"&amp;"!A:A"),"承租人权益价值",INDIRECT("'"&amp;H20&amp;"'"&amp;"!c:c"))</f>
        <v>#REF!</v>
      </c>
      <c r="G20" s="1207" t="s">
        <v>3021</v>
      </c>
      <c r="H20" s="2925"/>
      <c r="I20" s="169"/>
      <c r="J20" s="169"/>
      <c r="K20" s="169"/>
      <c r="L20" s="169"/>
      <c r="M20" s="169"/>
      <c r="N20" s="169"/>
      <c r="O20" s="169"/>
      <c r="P20" s="169"/>
      <c r="Q20" s="169"/>
      <c r="R20" s="788"/>
      <c r="S20" s="138"/>
    </row>
    <row r="21" spans="1:45" ht="15.75">
      <c r="A21" s="715" t="s">
        <v>3022</v>
      </c>
      <c r="B21" s="339">
        <f>R22</f>
        <v>32955</v>
      </c>
      <c r="C21" s="169"/>
      <c r="D21" s="169"/>
      <c r="E21" s="169"/>
      <c r="F21" s="169"/>
      <c r="G21" s="169"/>
      <c r="H21" s="169"/>
      <c r="I21" s="169"/>
      <c r="J21" s="169"/>
      <c r="K21" s="169"/>
      <c r="L21" s="169"/>
      <c r="M21" s="169"/>
      <c r="N21" s="169"/>
      <c r="O21" s="169"/>
      <c r="P21" s="169"/>
      <c r="Q21" s="169"/>
      <c r="R21" s="788"/>
      <c r="S21" s="138"/>
    </row>
    <row r="22" spans="1:45">
      <c r="A22" s="362" t="s">
        <v>3023</v>
      </c>
      <c r="B22" s="24">
        <f>SUM(B24:B10000)</f>
        <v>2634.21</v>
      </c>
      <c r="C22" s="3043" t="s">
        <v>33</v>
      </c>
      <c r="D22" s="3044"/>
      <c r="E22" s="3044"/>
      <c r="F22" s="3044"/>
      <c r="G22" s="3044"/>
      <c r="H22" s="3044"/>
      <c r="I22" s="3044"/>
      <c r="J22" s="3044"/>
      <c r="K22" s="3044"/>
      <c r="L22" s="3044"/>
      <c r="M22" s="3044"/>
      <c r="N22" s="3044"/>
      <c r="O22" s="3044"/>
      <c r="P22" s="3044"/>
      <c r="Q22" s="3182"/>
      <c r="R22" s="716">
        <f>ROUND(S22*10000/B22,0)</f>
        <v>32955</v>
      </c>
      <c r="S22" s="24">
        <f>SUM(S24:S10000)</f>
        <v>8681</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31060</v>
      </c>
      <c r="S24" s="719">
        <f t="shared" ref="S24:S54" si="11">ROUND(R24*B24/10000,0)</f>
        <v>250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31060</v>
      </c>
      <c r="S25" s="362">
        <f t="shared" si="11"/>
        <v>250</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31060</v>
      </c>
      <c r="S26" s="362">
        <f t="shared" si="11"/>
        <v>143</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31060</v>
      </c>
      <c r="S27" s="362">
        <f t="shared" si="11"/>
        <v>210</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31060</v>
      </c>
      <c r="S28" s="362">
        <f t="shared" si="11"/>
        <v>134</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31060</v>
      </c>
      <c r="S29" s="362">
        <f t="shared" si="11"/>
        <v>260</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31060</v>
      </c>
      <c r="S30" s="362">
        <f t="shared" si="11"/>
        <v>213</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31060</v>
      </c>
      <c r="S31" s="362">
        <f t="shared" si="11"/>
        <v>210</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31060</v>
      </c>
      <c r="S32" s="362">
        <f t="shared" si="11"/>
        <v>258</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31060</v>
      </c>
      <c r="S33" s="362">
        <f t="shared" si="11"/>
        <v>206</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31060</v>
      </c>
      <c r="S34" s="362">
        <f t="shared" si="11"/>
        <v>258</v>
      </c>
    </row>
    <row r="35" spans="1:19">
      <c r="A35" s="2935" t="str">
        <f>'数据-基础表'!C24</f>
        <v>海淀区白家疃尚水园4号楼1层103</v>
      </c>
      <c r="B35" s="2935">
        <f>'数据-基础表'!I24</f>
        <v>331.02</v>
      </c>
      <c r="C35" s="24">
        <f t="shared" si="12"/>
        <v>1.0900000000000001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33855</v>
      </c>
      <c r="S35" s="362">
        <f t="shared" si="11"/>
        <v>1121</v>
      </c>
    </row>
    <row r="36" spans="1:19">
      <c r="A36" s="2935" t="str">
        <f>'数据-基础表'!C25</f>
        <v>海淀区白家疃尚水园4号楼1层111</v>
      </c>
      <c r="B36" s="2935">
        <f>'数据-基础表'!I25</f>
        <v>331.02</v>
      </c>
      <c r="C36" s="24">
        <f t="shared" si="12"/>
        <v>1.0900000000000001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33855</v>
      </c>
      <c r="S36" s="362">
        <f t="shared" si="11"/>
        <v>1121</v>
      </c>
    </row>
    <row r="37" spans="1:19">
      <c r="A37" s="2935" t="str">
        <f>'数据-基础表'!C26</f>
        <v>海淀区白家疃尚水园4号楼1层113</v>
      </c>
      <c r="B37" s="2935">
        <f>'数据-基础表'!I26</f>
        <v>341.55</v>
      </c>
      <c r="C37" s="24">
        <f t="shared" si="12"/>
        <v>1.0900000000000001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33855</v>
      </c>
      <c r="S37" s="362">
        <f t="shared" si="11"/>
        <v>1156</v>
      </c>
    </row>
    <row r="38" spans="1:19">
      <c r="A38" s="2935" t="str">
        <f>'数据-基础表'!C27</f>
        <v>海淀区白家疃尚水园4号楼1层116</v>
      </c>
      <c r="B38" s="2935">
        <f>'数据-基础表'!I27</f>
        <v>316.2</v>
      </c>
      <c r="C38" s="24">
        <f t="shared" si="12"/>
        <v>1.0900000000000001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33855</v>
      </c>
      <c r="S38" s="362">
        <f t="shared" si="11"/>
        <v>1070</v>
      </c>
    </row>
    <row r="39" spans="1:19">
      <c r="A39" s="2935" t="str">
        <f>'数据-基础表'!C28</f>
        <v>海淀区白家疃尚水园4号楼1层117</v>
      </c>
      <c r="B39" s="2935">
        <f>'数据-基础表'!I28</f>
        <v>210.38</v>
      </c>
      <c r="C39" s="24">
        <f t="shared" si="12"/>
        <v>1.06</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32924</v>
      </c>
      <c r="S39" s="362">
        <f t="shared" si="11"/>
        <v>693</v>
      </c>
    </row>
    <row r="40" spans="1:19">
      <c r="A40" s="2935" t="str">
        <f>'数据-基础表'!C29</f>
        <v>海淀区白家疃尚水园4号楼1层119</v>
      </c>
      <c r="B40" s="2935">
        <f>'数据-基础表'!I29</f>
        <v>333.23</v>
      </c>
      <c r="C40" s="24">
        <f t="shared" si="12"/>
        <v>1.0900000000000001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33855</v>
      </c>
      <c r="S40" s="362">
        <f t="shared" si="11"/>
        <v>1128</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9" sqref="F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6325</v>
      </c>
      <c r="C2" s="1849" t="s">
        <v>1518</v>
      </c>
      <c r="D2" s="1849"/>
      <c r="E2" s="1850"/>
      <c r="F2" s="1851"/>
      <c r="G2" s="1852"/>
      <c r="H2" s="1844"/>
      <c r="I2" s="1844"/>
      <c r="J2" s="1844"/>
      <c r="K2" s="1845"/>
      <c r="L2" s="1844"/>
      <c r="M2" s="1844"/>
    </row>
    <row r="3" spans="1:37" ht="18" customHeight="1" thickBot="1">
      <c r="A3" s="1853" t="s">
        <v>1519</v>
      </c>
      <c r="B3" s="1854">
        <f ca="1">IF(ISERROR(B2*10000/F43),0,ROUND(B2*10000/F43,0))</f>
        <v>24011</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242</v>
      </c>
      <c r="D5" s="1826" t="s">
        <v>1403</v>
      </c>
      <c r="E5" s="1296"/>
      <c r="F5" s="1297"/>
      <c r="G5" s="1855"/>
      <c r="H5" s="345">
        <v>1</v>
      </c>
      <c r="I5" s="346" t="s">
        <v>1402</v>
      </c>
      <c r="J5" s="1295">
        <f ca="1">J6+J10+J12</f>
        <v>0</v>
      </c>
      <c r="K5" s="1826" t="s">
        <v>1403</v>
      </c>
      <c r="L5" s="1296"/>
      <c r="M5" s="1297"/>
    </row>
    <row r="6" spans="1:37" ht="18" customHeight="1">
      <c r="A6" s="1294" t="s">
        <v>1035</v>
      </c>
      <c r="B6" s="3188" t="s">
        <v>1404</v>
      </c>
      <c r="C6" s="1299">
        <f ca="1">ROUND(F6*F8*F7*(1-F9)/10000,0)</f>
        <v>242</v>
      </c>
      <c r="D6" s="165" t="s">
        <v>3034</v>
      </c>
      <c r="E6" s="348" t="s">
        <v>1406</v>
      </c>
      <c r="F6" s="349">
        <f ca="1">INDIRECT("'数据-取费表'!u"&amp;$G$1)</f>
        <v>2.8</v>
      </c>
      <c r="G6" s="1855"/>
      <c r="H6" s="1294" t="s">
        <v>1035</v>
      </c>
      <c r="I6" s="3188" t="s">
        <v>1404</v>
      </c>
      <c r="J6" s="347">
        <f ca="1">ROUND(M6*M8*M7*(1-M9)/10000,0)</f>
        <v>0</v>
      </c>
      <c r="K6" s="165" t="s">
        <v>3033</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2634.21</v>
      </c>
      <c r="G7" s="1855"/>
      <c r="H7" s="350"/>
      <c r="I7" s="3189"/>
      <c r="J7" s="352"/>
      <c r="K7" s="353"/>
      <c r="L7" s="348" t="s">
        <v>1407</v>
      </c>
      <c r="M7" s="349">
        <f ca="1">F7</f>
        <v>2634.21</v>
      </c>
    </row>
    <row r="8" spans="1:37" ht="18" customHeight="1">
      <c r="A8" s="350"/>
      <c r="B8" s="3189"/>
      <c r="C8" s="352"/>
      <c r="D8" s="353"/>
      <c r="E8" s="348" t="s">
        <v>1408</v>
      </c>
      <c r="F8" s="349">
        <f ca="1">INDIRECT("'数据-取费表'!ai"&amp;$G$1)</f>
        <v>365</v>
      </c>
      <c r="G8" s="1855"/>
      <c r="H8" s="350"/>
      <c r="I8" s="3189"/>
      <c r="J8" s="352"/>
      <c r="K8" s="353"/>
      <c r="L8" s="348" t="s">
        <v>1408</v>
      </c>
      <c r="M8" s="349">
        <f ca="1">INDIRECT("'数据-取费表'!ai"&amp;$G$1)</f>
        <v>365</v>
      </c>
    </row>
    <row r="9" spans="1:37" ht="18" customHeight="1">
      <c r="A9" s="350"/>
      <c r="B9" s="3190"/>
      <c r="C9" s="352"/>
      <c r="D9" s="353"/>
      <c r="E9" s="348" t="s">
        <v>1409</v>
      </c>
      <c r="F9" s="358">
        <f ca="1">INDIRECT("'数据-取费表'!w"&amp;$G$1)</f>
        <v>0.1</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3035</v>
      </c>
      <c r="E10" s="359" t="s">
        <v>1412</v>
      </c>
      <c r="F10" s="1369" t="s">
        <v>3090</v>
      </c>
      <c r="G10" s="1855"/>
      <c r="H10" s="1294" t="s">
        <v>1039</v>
      </c>
      <c r="I10" s="1827" t="s">
        <v>1410</v>
      </c>
      <c r="J10" s="347">
        <f ca="1">ROUND(IF(M10="押一",M6*M8*M7/12*M11,IF(M10="押二",M6*M8*M7/12*2*M11,IF(M10="押三",M6*M8*M7/12*3*M11,J11*M11)))/10000,0)</f>
        <v>0</v>
      </c>
      <c r="K10" s="1828" t="s">
        <v>3036</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812</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527</v>
      </c>
      <c r="D14" s="1804" t="s">
        <v>1420</v>
      </c>
      <c r="E14" s="1798"/>
      <c r="F14" s="365"/>
      <c r="G14" s="1855"/>
      <c r="H14" s="1204" t="s">
        <v>1035</v>
      </c>
      <c r="I14" s="348" t="s">
        <v>1421</v>
      </c>
      <c r="J14" s="24">
        <f ca="1">C29</f>
        <v>840</v>
      </c>
      <c r="K14" s="15"/>
      <c r="L14" s="982"/>
      <c r="M14" s="983"/>
    </row>
    <row r="15" spans="1:37" s="1862" customFormat="1" ht="18" customHeight="1" thickBot="1">
      <c r="A15" s="1204" t="s">
        <v>1036</v>
      </c>
      <c r="B15" s="348" t="s">
        <v>1422</v>
      </c>
      <c r="C15" s="24">
        <f ca="1">ROUND(C14*F15,0)</f>
        <v>16</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20</v>
      </c>
      <c r="K16" s="1340" t="s">
        <v>1427</v>
      </c>
      <c r="L16" s="1341"/>
      <c r="M16" s="1297"/>
    </row>
    <row r="17" spans="1:37" s="1862" customFormat="1" ht="18" customHeight="1">
      <c r="A17" s="1204" t="s">
        <v>1391</v>
      </c>
      <c r="B17" s="348" t="s">
        <v>1428</v>
      </c>
      <c r="C17" s="24">
        <f ca="1">ROUND(F17*(F43+INDIRECT("'数据-取费表'!S"&amp;$G$1))/10000,0)</f>
        <v>53</v>
      </c>
      <c r="D17" s="348" t="s">
        <v>1429</v>
      </c>
      <c r="E17" s="348" t="s">
        <v>1430</v>
      </c>
      <c r="F17" s="26">
        <f>'数据-取费表'!B35</f>
        <v>200</v>
      </c>
      <c r="G17" s="1858"/>
      <c r="H17" s="1204" t="s">
        <v>1035</v>
      </c>
      <c r="I17" s="348" t="s">
        <v>1431</v>
      </c>
      <c r="J17" s="24">
        <f ca="1">ROUND(IF(项目基本情况!B11="自然人",J5*M17,J18+J19+J20),1)</f>
        <v>7.1</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8</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6.2719999999999998E-2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604</v>
      </c>
      <c r="D19" s="140" t="s">
        <v>1438</v>
      </c>
      <c r="E19" s="1822"/>
      <c r="F19" s="26"/>
      <c r="G19" s="1855"/>
      <c r="H19" s="1204" t="s">
        <v>1036</v>
      </c>
      <c r="I19" s="348" t="s">
        <v>1439</v>
      </c>
      <c r="J19" s="24">
        <f ca="1">IF(K19="按租金收入计税",ROUND(J5*M19,2),ROUND(C29*M19*0.7,2))</f>
        <v>7.06</v>
      </c>
      <c r="K19" s="1832" t="s">
        <v>1440</v>
      </c>
      <c r="L19" s="348" t="s">
        <v>1424</v>
      </c>
      <c r="M19" s="368">
        <f>IF(K19="按租金收入计税",'数据-取费表'!B51,'数据-取费表'!B50)</f>
        <v>1.2E-2</v>
      </c>
    </row>
    <row r="20" spans="1:37" s="1862" customFormat="1" ht="18" customHeight="1">
      <c r="A20" s="1204" t="s">
        <v>1039</v>
      </c>
      <c r="B20" s="348" t="s">
        <v>1441</v>
      </c>
      <c r="C20" s="24">
        <f ca="1">ROUND(C19*F20,0)</f>
        <v>12</v>
      </c>
      <c r="D20" s="370" t="s">
        <v>1442</v>
      </c>
      <c r="E20" s="348" t="s">
        <v>1424</v>
      </c>
      <c r="F20" s="368">
        <f>'数据-取费表'!B37</f>
        <v>0.02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12.6</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30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-20</v>
      </c>
      <c r="K25" s="1348" t="s">
        <v>1466</v>
      </c>
      <c r="L25" s="1349"/>
      <c r="M25" s="1350"/>
    </row>
    <row r="26" spans="1:37">
      <c r="A26" s="1204" t="s">
        <v>1034</v>
      </c>
      <c r="B26" s="348" t="s">
        <v>1467</v>
      </c>
      <c r="C26" s="24">
        <f ca="1">ROUND((C19+C20)*F26,0)</f>
        <v>123</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4.0000000000000001E-3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5.9400000000000001E-2</v>
      </c>
      <c r="D28" s="370" t="s">
        <v>1478</v>
      </c>
      <c r="E28" s="348" t="s">
        <v>1424</v>
      </c>
      <c r="F28" s="368">
        <f>'数据-取费表'!B41</f>
        <v>6.2719999999999998E-2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840</v>
      </c>
      <c r="D29" s="1345"/>
      <c r="E29" s="1343"/>
      <c r="F29" s="1346"/>
      <c r="G29" s="1858"/>
      <c r="H29" s="381" t="s">
        <v>1033</v>
      </c>
      <c r="I29" s="382" t="s">
        <v>1481</v>
      </c>
      <c r="J29" s="383">
        <f ca="1">ROUND(J26/(1+F40)^F41,0)</f>
        <v>0</v>
      </c>
      <c r="K29" s="384" t="s">
        <v>1482</v>
      </c>
      <c r="L29" s="385"/>
      <c r="M29" s="386">
        <f ca="1">INDIRECT("'数据-取费表'!k"&amp;$G$1)</f>
        <v>2634.21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38</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21.4</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14.37</v>
      </c>
      <c r="D32" s="1802" t="s">
        <v>1436</v>
      </c>
      <c r="E32" s="348" t="s">
        <v>1424</v>
      </c>
      <c r="F32" s="378">
        <f>'数据-取费表'!B41</f>
        <v>6.2719999999999998E-2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7.06</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12.6</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1.2</v>
      </c>
      <c r="D37" s="1802" t="s">
        <v>1456</v>
      </c>
      <c r="E37" s="348" t="s">
        <v>1457</v>
      </c>
      <c r="F37" s="377">
        <f ca="1">INDIRECT("'数据-取费表'!Al"&amp;$G$1)</f>
        <v>1.5E-3</v>
      </c>
      <c r="G37" s="1855"/>
      <c r="H37" s="1863"/>
      <c r="I37" s="1864"/>
      <c r="J37" s="1865"/>
      <c r="K37" s="751"/>
      <c r="L37" s="1863"/>
      <c r="M37" s="1863"/>
    </row>
    <row r="38" spans="1:18" ht="18" customHeight="1" thickBot="1">
      <c r="A38" s="1342" t="s">
        <v>1394</v>
      </c>
      <c r="B38" s="1343" t="s">
        <v>1441</v>
      </c>
      <c r="C38" s="1344">
        <f ca="1">ROUND(C5*F38,1)</f>
        <v>2.4</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204</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6311</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23958</v>
      </c>
      <c r="D43" s="384" t="s">
        <v>1490</v>
      </c>
      <c r="E43" s="385" t="s">
        <v>1491</v>
      </c>
      <c r="F43" s="386">
        <f ca="1">INDIRECT("'数据-取费表'!k"&amp;$G$1)</f>
        <v>2634.21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-6667</v>
      </c>
      <c r="D46" s="1876" t="str">
        <f>C2</f>
        <v>万元</v>
      </c>
      <c r="E46" s="1870"/>
      <c r="F46" s="1870"/>
      <c r="I46" s="1877" t="s">
        <v>1523</v>
      </c>
      <c r="J46" s="1878"/>
      <c r="K46" s="1879"/>
      <c r="L46" s="1880">
        <f ca="1">IF(M47="住宅",0,IF(L48&gt;J51,L60,J60))</f>
        <v>14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3075</v>
      </c>
      <c r="K47" s="1886" t="s">
        <v>1529</v>
      </c>
      <c r="L47" s="1887">
        <f ca="1">INDIRECT("'数据-取费表'!d"&amp;$G$1)</f>
        <v>50</v>
      </c>
      <c r="M47" s="1842" t="str">
        <f>IF(ISNUMBER(FIND("住宅",C1)),"住宅","非住宅")</f>
        <v>非住宅</v>
      </c>
      <c r="O47" s="1888" t="s">
        <v>1040</v>
      </c>
      <c r="P47" s="1889" t="s">
        <v>1530</v>
      </c>
      <c r="Q47" s="1890">
        <f ca="1">C40+J29</f>
        <v>6311</v>
      </c>
      <c r="R47" s="1890" t="s">
        <v>1531</v>
      </c>
    </row>
    <row r="48" spans="1:18" s="1846" customFormat="1" ht="28.5" thickBot="1">
      <c r="A48" s="1363" t="s">
        <v>1135</v>
      </c>
      <c r="B48" s="346" t="s">
        <v>1402</v>
      </c>
      <c r="C48" s="1821">
        <f ca="1">C49+C53+C55</f>
        <v>0</v>
      </c>
      <c r="D48" s="1365"/>
      <c r="E48" s="1366"/>
      <c r="F48" s="1184"/>
      <c r="G48" s="792"/>
      <c r="H48" s="793"/>
      <c r="I48" s="1891" t="s">
        <v>1532</v>
      </c>
      <c r="J48" s="1892" t="s">
        <v>3091</v>
      </c>
      <c r="K48" s="1893" t="s">
        <v>1533</v>
      </c>
      <c r="L48" s="1894">
        <f ca="1">INDIRECT("'数据-取费表'!f"&amp;$G$1)</f>
        <v>38.68</v>
      </c>
      <c r="O48" s="1888" t="s">
        <v>1041</v>
      </c>
      <c r="P48" s="1889" t="s">
        <v>1534</v>
      </c>
      <c r="Q48" s="1890">
        <f ca="1">J60</f>
        <v>14</v>
      </c>
      <c r="R48" s="1890" t="s">
        <v>1535</v>
      </c>
    </row>
    <row r="49" spans="1:18" s="1846" customFormat="1" ht="13.5" thickBot="1">
      <c r="A49" s="1197" t="s">
        <v>1136</v>
      </c>
      <c r="B49" s="1833" t="s">
        <v>1492</v>
      </c>
      <c r="C49" s="1367">
        <f ca="1">ROUND(F49*F51*F50*(1-F52)/10000,0)</f>
        <v>0</v>
      </c>
      <c r="D49" s="1279" t="s">
        <v>3037</v>
      </c>
      <c r="E49" s="1834" t="s">
        <v>1493</v>
      </c>
      <c r="F49" s="1284"/>
      <c r="G49" s="1895"/>
      <c r="H49" s="793"/>
      <c r="I49" s="1891" t="s">
        <v>1536</v>
      </c>
      <c r="J49" s="1896">
        <v>2015</v>
      </c>
      <c r="K49" s="1893" t="s">
        <v>1537</v>
      </c>
      <c r="L49" s="1897"/>
      <c r="O49" s="1898" t="s">
        <v>1042</v>
      </c>
      <c r="P49" s="1889" t="s">
        <v>1538</v>
      </c>
      <c r="Q49" s="1890">
        <f ca="1">C29</f>
        <v>840</v>
      </c>
      <c r="R49" s="1890" t="s">
        <v>1531</v>
      </c>
    </row>
    <row r="50" spans="1:18" s="1846" customFormat="1" ht="13.5" thickBot="1">
      <c r="A50" s="1198"/>
      <c r="B50" s="1201"/>
      <c r="C50" s="1371"/>
      <c r="D50" s="1175"/>
      <c r="E50" s="1280" t="s">
        <v>1407</v>
      </c>
      <c r="F50" s="1281">
        <f ca="1">F7</f>
        <v>2634.21</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2527</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3035</v>
      </c>
      <c r="E53" s="359" t="s">
        <v>1412</v>
      </c>
      <c r="F53" s="1369"/>
      <c r="I53" s="1909" t="s">
        <v>1549</v>
      </c>
      <c r="J53" s="1910">
        <f ca="1">IF(M47="住宅",J51,IF(D1="——",MIN(J51,L48),IF(D1="在建（套用方法）",MIN(J51,L48-'数据-取费表'!B24),IF(D1="土地（套用方法）",MIN(J51,L48-'数据-取费表'!B20)))))</f>
        <v>38.68</v>
      </c>
      <c r="K53" s="3186" t="s">
        <v>1550</v>
      </c>
      <c r="L53" s="3187"/>
      <c r="O53" s="1888" t="s">
        <v>1046</v>
      </c>
      <c r="P53" s="1889" t="s">
        <v>1551</v>
      </c>
      <c r="Q53" s="1890">
        <f ca="1">Q47+Q48</f>
        <v>6325</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0.32200000000000001</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812</v>
      </c>
      <c r="D56" s="1918"/>
      <c r="E56" s="1919"/>
      <c r="F56" s="1911"/>
      <c r="I56" s="1920" t="s">
        <v>1556</v>
      </c>
      <c r="J56" s="1921" t="s">
        <v>3092</v>
      </c>
      <c r="K56" s="1891" t="s">
        <v>1557</v>
      </c>
      <c r="L56" s="1894" t="str">
        <f ca="1">IF(L48&lt;J51,"——",L48-J53)</f>
        <v>——</v>
      </c>
      <c r="O56" s="1888" t="s">
        <v>1040</v>
      </c>
      <c r="P56" s="1889" t="s">
        <v>1530</v>
      </c>
      <c r="Q56" s="1890">
        <f ca="1">C40+J29</f>
        <v>6311</v>
      </c>
      <c r="R56" s="1890" t="s">
        <v>1531</v>
      </c>
    </row>
    <row r="57" spans="1:18" s="1846" customFormat="1" ht="24.75" thickBot="1">
      <c r="A57" s="1922"/>
      <c r="B57" s="1172" t="s">
        <v>1480</v>
      </c>
      <c r="C57" s="283">
        <f ca="1">C29</f>
        <v>840</v>
      </c>
      <c r="D57" s="1923"/>
      <c r="E57" s="1924"/>
      <c r="F57" s="1925"/>
      <c r="I57" s="1926" t="s">
        <v>1558</v>
      </c>
      <c r="J57" s="1927">
        <f ca="1">IF(OR(M47="住宅",J51&lt;L48,J56="是"),"——",J51-L48)</f>
        <v>19.32</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21</v>
      </c>
      <c r="D58" s="1182" t="s">
        <v>1427</v>
      </c>
      <c r="E58" s="1183"/>
      <c r="F58" s="1184"/>
      <c r="I58" s="1926" t="s">
        <v>1562</v>
      </c>
      <c r="J58" s="1928">
        <f ca="1">IF(J55&lt;0.4,0.4,J55)</f>
        <v>0.4</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7.1</v>
      </c>
      <c r="D59" s="1185" t="s">
        <v>1432</v>
      </c>
      <c r="E59" s="1186" t="s">
        <v>1433</v>
      </c>
      <c r="F59" s="369" t="str">
        <f ca="1">IF(项目基本情况!B11="企业","",IF(INDIRECT("'数据-取费表'!c"&amp;$G$1)="住宅",5%,IF(F49*F50*F51/12/(1+'数据-取费表'!C42)&gt;20000,12%,7%)))</f>
        <v/>
      </c>
      <c r="I59" s="1926" t="s">
        <v>1565</v>
      </c>
      <c r="J59" s="1927">
        <f ca="1">IF(OR(M47="住宅",J51&lt;L48,J56="是"),"——",ROUND(C29*J58,0))</f>
        <v>336</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6.2719999999999998E-2</v>
      </c>
      <c r="I60" s="1929" t="s">
        <v>1567</v>
      </c>
      <c r="J60" s="1930">
        <f ca="1">IF(OR(M47="住宅",J51&lt;L48,J56="是"),"0",ROUND(J59/(1+J52)^J53,0))</f>
        <v>14</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7.06</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6311</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12.6</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1.2</v>
      </c>
      <c r="D65" s="1186" t="s">
        <v>1456</v>
      </c>
      <c r="E65" s="1172" t="s">
        <v>1457</v>
      </c>
      <c r="F65" s="377">
        <f t="shared" ca="1" si="0"/>
        <v>1.5E-3</v>
      </c>
      <c r="I65" s="1933" t="s">
        <v>1581</v>
      </c>
      <c r="J65" s="1934">
        <v>40</v>
      </c>
      <c r="K65" s="1934">
        <v>30</v>
      </c>
      <c r="L65" s="1934">
        <v>50</v>
      </c>
      <c r="M65" s="1936">
        <v>0.02</v>
      </c>
      <c r="O65" s="1888" t="s">
        <v>1040</v>
      </c>
      <c r="P65" s="1889" t="s">
        <v>1582</v>
      </c>
      <c r="Q65" s="1890">
        <f ca="1">C40+J29</f>
        <v>6311</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1560</v>
      </c>
      <c r="Q66" s="1890">
        <f ca="1">L60</f>
        <v>0</v>
      </c>
      <c r="R66" s="1890" t="s">
        <v>1583</v>
      </c>
    </row>
    <row r="67" spans="1:18" s="1846" customFormat="1" ht="16.5" thickBot="1">
      <c r="A67" s="1179" t="s">
        <v>1031</v>
      </c>
      <c r="B67" s="1189" t="s">
        <v>1465</v>
      </c>
      <c r="C67" s="362">
        <f ca="1">C48-C58</f>
        <v>-21</v>
      </c>
      <c r="D67" s="1185" t="s">
        <v>1466</v>
      </c>
      <c r="E67" s="1190"/>
      <c r="F67" s="1191"/>
      <c r="O67" s="1898" t="s">
        <v>1042</v>
      </c>
      <c r="P67" s="1889" t="s">
        <v>1564</v>
      </c>
      <c r="Q67" s="1937">
        <f ca="1">L51</f>
        <v>2527</v>
      </c>
      <c r="R67" s="1890" t="s">
        <v>1584</v>
      </c>
    </row>
    <row r="68" spans="1:18" s="1846" customFormat="1" ht="16.5" thickBot="1">
      <c r="A68" s="1169" t="s">
        <v>1032</v>
      </c>
      <c r="B68" s="1170" t="s">
        <v>1487</v>
      </c>
      <c r="C68" s="347">
        <f ca="1">ROUND(C67*(1-((1+F70)/(1+F68))^F69)/(F68-F70),0)</f>
        <v>-356</v>
      </c>
      <c r="D68" s="1187" t="s">
        <v>1471</v>
      </c>
      <c r="E68" s="1172" t="s">
        <v>1472</v>
      </c>
      <c r="F68" s="358">
        <f ca="1">F40</f>
        <v>0.05</v>
      </c>
      <c r="O68" s="1898" t="s">
        <v>1043</v>
      </c>
      <c r="P68" s="1938" t="s">
        <v>1585</v>
      </c>
      <c r="Q68" s="1890">
        <f ca="1">ROUND(Q69-Q70*Q71,0)</f>
        <v>139</v>
      </c>
      <c r="R68" s="1890" t="s">
        <v>1051</v>
      </c>
    </row>
    <row r="69" spans="1:18" s="1846" customFormat="1" ht="13.5" thickBot="1">
      <c r="A69" s="1173"/>
      <c r="B69" s="1174"/>
      <c r="C69" s="352"/>
      <c r="D69" s="1192" t="s">
        <v>1475</v>
      </c>
      <c r="E69" s="1172" t="s">
        <v>1476</v>
      </c>
      <c r="F69" s="380">
        <f ca="1">F41</f>
        <v>38.68</v>
      </c>
      <c r="O69" s="1898" t="s">
        <v>1048</v>
      </c>
      <c r="P69" s="1938" t="s">
        <v>1586</v>
      </c>
      <c r="Q69" s="1890">
        <f ca="1">C39</f>
        <v>204</v>
      </c>
      <c r="R69" s="1890" t="s">
        <v>1531</v>
      </c>
    </row>
    <row r="70" spans="1:18" s="1846" customFormat="1" ht="13.5" thickBot="1">
      <c r="A70" s="1176"/>
      <c r="B70" s="1177"/>
      <c r="C70" s="356"/>
      <c r="D70" s="1188"/>
      <c r="E70" s="1172" t="s">
        <v>1479</v>
      </c>
      <c r="F70" s="1278"/>
      <c r="O70" s="1898" t="s">
        <v>1049</v>
      </c>
      <c r="P70" s="1938" t="s">
        <v>1587</v>
      </c>
      <c r="Q70" s="1890">
        <f ca="1">C13</f>
        <v>812</v>
      </c>
      <c r="R70" s="1890" t="s">
        <v>1531</v>
      </c>
    </row>
    <row r="71" spans="1:18" s="1846" customFormat="1" ht="13.5" thickBot="1">
      <c r="A71" s="1193" t="s">
        <v>1033</v>
      </c>
      <c r="B71" s="1194" t="s">
        <v>1489</v>
      </c>
      <c r="C71" s="383">
        <f ca="1">ROUND(C68*10000/F71,0)</f>
        <v>-1351</v>
      </c>
      <c r="D71" s="1195" t="s">
        <v>1490</v>
      </c>
      <c r="E71" s="1196" t="s">
        <v>1491</v>
      </c>
      <c r="F71" s="386">
        <f ca="1">F43</f>
        <v>2634.21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65</v>
      </c>
      <c r="D75" s="1846"/>
      <c r="E75" s="1846"/>
      <c r="F75" s="1846"/>
      <c r="K75" s="1872"/>
      <c r="L75" s="1846"/>
      <c r="O75" s="1888" t="s">
        <v>1046</v>
      </c>
      <c r="P75" s="1889" t="s">
        <v>1551</v>
      </c>
      <c r="Q75" s="1890">
        <f ca="1">Q65+Q66</f>
        <v>6311</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0.68100000000000005</v>
      </c>
    </row>
    <row r="80" spans="1:18">
      <c r="B80" s="387" t="s">
        <v>1513</v>
      </c>
      <c r="C80" s="319">
        <f ca="1">ROUND(C75/C39,3)</f>
        <v>0.31900000000000001</v>
      </c>
    </row>
    <row r="81" spans="2:3">
      <c r="B81" s="315" t="s">
        <v>1514</v>
      </c>
      <c r="C81" s="283"/>
    </row>
    <row r="82" spans="2:3">
      <c r="B82" s="318" t="s">
        <v>1515</v>
      </c>
      <c r="C82" s="320">
        <f ca="1">1-C83</f>
        <v>0.871</v>
      </c>
    </row>
    <row r="83" spans="2:3">
      <c r="B83" s="318" t="s">
        <v>1516</v>
      </c>
      <c r="C83" s="319">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88" t="s">
        <v>1404</v>
      </c>
      <c r="C6" s="1299">
        <f ca="1">ROUND(F6*F8*F7*(1-F9),0)</f>
        <v>0</v>
      </c>
      <c r="D6" s="165" t="s">
        <v>3029</v>
      </c>
      <c r="E6" s="348" t="s">
        <v>1406</v>
      </c>
      <c r="F6" s="349">
        <f ca="1">INDIRECT("'数据-取费表'!u"&amp;$G$1)</f>
        <v>0</v>
      </c>
      <c r="G6" s="1855"/>
      <c r="H6" s="1294" t="s">
        <v>1035</v>
      </c>
      <c r="I6" s="3188" t="s">
        <v>1404</v>
      </c>
      <c r="J6" s="347">
        <f ca="1">ROUND(M6*M8*M7*(1-M9),0)</f>
        <v>0</v>
      </c>
      <c r="K6" s="1838" t="s">
        <v>3032</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0</v>
      </c>
      <c r="G7" s="1855"/>
      <c r="H7" s="350"/>
      <c r="I7" s="3189"/>
      <c r="J7" s="352"/>
      <c r="K7" s="353"/>
      <c r="L7" s="348" t="s">
        <v>1407</v>
      </c>
      <c r="M7" s="349">
        <f ca="1">F7</f>
        <v>0</v>
      </c>
    </row>
    <row r="8" spans="1:37" ht="18" customHeight="1">
      <c r="A8" s="350"/>
      <c r="B8" s="3189"/>
      <c r="C8" s="352"/>
      <c r="D8" s="353"/>
      <c r="E8" s="348" t="s">
        <v>1408</v>
      </c>
      <c r="F8" s="349">
        <f ca="1">INDIRECT("'数据-取费表'!ai"&amp;$G$1)</f>
        <v>0</v>
      </c>
      <c r="G8" s="1855"/>
      <c r="H8" s="350"/>
      <c r="I8" s="3189"/>
      <c r="J8" s="352"/>
      <c r="K8" s="353"/>
      <c r="L8" s="348" t="s">
        <v>1408</v>
      </c>
      <c r="M8" s="349">
        <f ca="1">INDIRECT("'数据-取费表'!ai"&amp;$G$1)</f>
        <v>0</v>
      </c>
    </row>
    <row r="9" spans="1:37" ht="18" customHeight="1">
      <c r="A9" s="350"/>
      <c r="B9" s="3190"/>
      <c r="C9" s="352"/>
      <c r="D9" s="353"/>
      <c r="E9" s="348" t="s">
        <v>1409</v>
      </c>
      <c r="F9" s="358">
        <f ca="1">INDIRECT("'数据-取费表'!w"&amp;$G$1)</f>
        <v>0</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3030</v>
      </c>
      <c r="E10" s="359" t="s">
        <v>1412</v>
      </c>
      <c r="F10" s="1369"/>
      <c r="G10" s="1855"/>
      <c r="H10" s="1294" t="s">
        <v>1039</v>
      </c>
      <c r="I10" s="1827" t="s">
        <v>1410</v>
      </c>
      <c r="J10" s="347">
        <f ca="1">ROUND(IF(M10="押一",M6*M8*M7/12*M11,IF(M10="押二",M6*M8*M7/12*2*M11,IF(M10="押三",M6*M8*M7/12*3*M11,J11*M11))),0)</f>
        <v>0</v>
      </c>
      <c r="K10" s="1839" t="s">
        <v>3031</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6.2719999999999998E-2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5.9400000000000001E-2</v>
      </c>
      <c r="D28" s="370" t="s">
        <v>1478</v>
      </c>
      <c r="E28" s="348" t="s">
        <v>1424</v>
      </c>
      <c r="F28" s="368">
        <f>'数据-取费表'!B41</f>
        <v>6.2719999999999998E-2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6.2719999999999998E-2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86" t="s">
        <v>1550</v>
      </c>
      <c r="L53" s="3187"/>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6.2719999999999998E-2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2526</v>
      </c>
      <c r="B1" s="2567"/>
      <c r="C1" s="2567"/>
      <c r="D1" s="2567"/>
      <c r="E1" s="2568"/>
    </row>
    <row r="2" spans="1:6" ht="15.75">
      <c r="A2" s="2569" t="s">
        <v>2327</v>
      </c>
      <c r="B2" s="2570">
        <f ca="1">SUMIF(B6:B13,"&lt;&gt;#ref!",B6:B13)</f>
        <v>6325</v>
      </c>
      <c r="C2" s="2571" t="s">
        <v>2519</v>
      </c>
      <c r="D2" s="2572" t="s">
        <v>2520</v>
      </c>
      <c r="E2" s="2573">
        <f>SUM(E6:E13)</f>
        <v>2634.21</v>
      </c>
    </row>
    <row r="3" spans="1:6" ht="15.75">
      <c r="A3" s="2569" t="s">
        <v>1396</v>
      </c>
      <c r="B3" s="2570">
        <f ca="1">ROUND(B2*10000/E2,0)</f>
        <v>24011</v>
      </c>
      <c r="C3" s="2571" t="s">
        <v>2527</v>
      </c>
      <c r="D3" s="2574"/>
      <c r="E3" s="2575"/>
    </row>
    <row r="4" spans="1:6" ht="15.75">
      <c r="A4" s="2576"/>
      <c r="B4" s="2574"/>
      <c r="C4" s="2574"/>
      <c r="D4" s="2574"/>
      <c r="E4" s="2575"/>
    </row>
    <row r="5" spans="1:6" ht="15">
      <c r="A5" s="2577" t="s">
        <v>2521</v>
      </c>
      <c r="B5" s="3191" t="s">
        <v>2522</v>
      </c>
      <c r="C5" s="3191"/>
      <c r="D5" s="2578"/>
      <c r="E5" s="2579" t="s">
        <v>2523</v>
      </c>
      <c r="F5" s="2580" t="s">
        <v>2524</v>
      </c>
    </row>
    <row r="6" spans="1:6">
      <c r="A6" s="2581" t="str">
        <f>'数据-取费表'!AN6</f>
        <v>收益法</v>
      </c>
      <c r="B6" s="2580">
        <f ca="1">IF(F6="是",'数据-取费表'!AO6,0)</f>
        <v>6325</v>
      </c>
      <c r="C6" s="2571" t="s">
        <v>2519</v>
      </c>
      <c r="D6" s="2574"/>
      <c r="E6" s="2582">
        <f>IF(OR(A6=0,F6="否"),0,'数据-取费表'!K6+'数据-取费表'!S6)</f>
        <v>2634.21</v>
      </c>
      <c r="F6" s="2583" t="s">
        <v>2525</v>
      </c>
    </row>
    <row r="7" spans="1:6">
      <c r="A7" s="2581">
        <f>'数据-取费表'!AN7</f>
        <v>0</v>
      </c>
      <c r="B7" s="2580" t="e">
        <f ca="1">IF(F7="是",'数据-取费表'!AO7,0)</f>
        <v>#REF!</v>
      </c>
      <c r="C7" s="2571" t="s">
        <v>2519</v>
      </c>
      <c r="D7" s="2574"/>
      <c r="E7" s="2582">
        <f>IF(OR(A7=0,F7="否"),0,'数据-取费表'!K7+'数据-取费表'!S7)</f>
        <v>0</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1076</v>
      </c>
      <c r="B1" s="3193"/>
      <c r="C1" s="3194"/>
      <c r="D1" s="3195">
        <f>SUM(I10,I15,I20,I21,I23)</f>
        <v>0</v>
      </c>
      <c r="E1" s="3195"/>
      <c r="F1" s="3195"/>
      <c r="G1" s="3195"/>
      <c r="H1" s="3195"/>
      <c r="I1" s="3196"/>
    </row>
    <row r="2" spans="1:9">
      <c r="A2" s="3197" t="s">
        <v>1077</v>
      </c>
      <c r="B2" s="3198" t="s">
        <v>1078</v>
      </c>
      <c r="C2" s="3198"/>
      <c r="D2" s="1304" t="s">
        <v>1079</v>
      </c>
      <c r="E2" s="1304" t="s">
        <v>1080</v>
      </c>
      <c r="F2" s="1304" t="s">
        <v>1081</v>
      </c>
      <c r="G2" s="1304" t="s">
        <v>1082</v>
      </c>
      <c r="H2" s="1304" t="s">
        <v>1083</v>
      </c>
      <c r="I2" s="1305" t="s">
        <v>1084</v>
      </c>
    </row>
    <row r="3" spans="1:9">
      <c r="A3" s="3197"/>
      <c r="B3" s="3198" t="s">
        <v>1085</v>
      </c>
      <c r="C3" s="3198"/>
      <c r="D3" s="1306"/>
      <c r="E3" s="1304"/>
      <c r="F3" s="1307"/>
      <c r="G3" s="1307"/>
      <c r="H3" s="1308"/>
      <c r="I3" s="1309">
        <f>ROUND(D3*E3*F3*G3*H3/10000,0)</f>
        <v>0</v>
      </c>
    </row>
    <row r="4" spans="1:9">
      <c r="A4" s="3197"/>
      <c r="B4" s="3198" t="s">
        <v>1086</v>
      </c>
      <c r="C4" s="3198"/>
      <c r="D4" s="1306"/>
      <c r="E4" s="1304"/>
      <c r="F4" s="1307"/>
      <c r="G4" s="1307"/>
      <c r="H4" s="1308"/>
      <c r="I4" s="1309">
        <f t="shared" ref="I4:I9" si="0">ROUND(D4*E4*F4*G4*H4/10000,0)</f>
        <v>0</v>
      </c>
    </row>
    <row r="5" spans="1:9">
      <c r="A5" s="3197"/>
      <c r="B5" s="3198" t="s">
        <v>1087</v>
      </c>
      <c r="C5" s="3198"/>
      <c r="D5" s="1306"/>
      <c r="E5" s="1304"/>
      <c r="F5" s="1307"/>
      <c r="G5" s="1307"/>
      <c r="H5" s="1308"/>
      <c r="I5" s="1309">
        <f t="shared" si="0"/>
        <v>0</v>
      </c>
    </row>
    <row r="6" spans="1:9">
      <c r="A6" s="3197"/>
      <c r="B6" s="3198" t="s">
        <v>1088</v>
      </c>
      <c r="C6" s="3198"/>
      <c r="D6" s="1306"/>
      <c r="E6" s="1304"/>
      <c r="F6" s="1307"/>
      <c r="G6" s="1307"/>
      <c r="H6" s="1308"/>
      <c r="I6" s="1309">
        <f t="shared" si="0"/>
        <v>0</v>
      </c>
    </row>
    <row r="7" spans="1:9">
      <c r="A7" s="3197"/>
      <c r="B7" s="3198" t="s">
        <v>1089</v>
      </c>
      <c r="C7" s="3198"/>
      <c r="D7" s="1306"/>
      <c r="E7" s="1304"/>
      <c r="F7" s="1307"/>
      <c r="G7" s="1307"/>
      <c r="H7" s="1308"/>
      <c r="I7" s="1309">
        <f t="shared" si="0"/>
        <v>0</v>
      </c>
    </row>
    <row r="8" spans="1:9">
      <c r="A8" s="3197"/>
      <c r="B8" s="3198" t="s">
        <v>1090</v>
      </c>
      <c r="C8" s="3198"/>
      <c r="D8" s="1306"/>
      <c r="E8" s="1304"/>
      <c r="F8" s="1307"/>
      <c r="G8" s="1307"/>
      <c r="H8" s="1308"/>
      <c r="I8" s="1309">
        <f t="shared" si="0"/>
        <v>0</v>
      </c>
    </row>
    <row r="9" spans="1:9">
      <c r="A9" s="3197"/>
      <c r="B9" s="3198" t="s">
        <v>1091</v>
      </c>
      <c r="C9" s="3198"/>
      <c r="D9" s="1306"/>
      <c r="E9" s="1304"/>
      <c r="F9" s="1307"/>
      <c r="G9" s="1307"/>
      <c r="H9" s="1308"/>
      <c r="I9" s="1309">
        <f t="shared" si="0"/>
        <v>0</v>
      </c>
    </row>
    <row r="10" spans="1:9">
      <c r="A10" s="3197"/>
      <c r="B10" s="3199" t="s">
        <v>1092</v>
      </c>
      <c r="C10" s="3199"/>
      <c r="D10" s="1310"/>
      <c r="E10" s="1310" t="e">
        <f>ROUND(D1*10000/D10/H9,0)</f>
        <v>#DIV/0!</v>
      </c>
      <c r="F10" s="1311"/>
      <c r="G10" s="1311"/>
      <c r="H10" s="1312"/>
      <c r="I10" s="1313">
        <f>SUM(I3:I9)</f>
        <v>0</v>
      </c>
    </row>
    <row r="11" spans="1:9" ht="14.25">
      <c r="A11" s="3197" t="s">
        <v>1093</v>
      </c>
      <c r="B11" s="3198" t="s">
        <v>1094</v>
      </c>
      <c r="C11" s="3198"/>
      <c r="D11" s="1306" t="s">
        <v>1095</v>
      </c>
      <c r="E11" s="1306" t="s">
        <v>1096</v>
      </c>
      <c r="F11" s="1307" t="s">
        <v>1097</v>
      </c>
      <c r="G11" s="1307" t="s">
        <v>1083</v>
      </c>
      <c r="H11" s="1314" t="s">
        <v>1098</v>
      </c>
      <c r="I11" s="1305" t="s">
        <v>1084</v>
      </c>
    </row>
    <row r="12" spans="1:9">
      <c r="A12" s="3197"/>
      <c r="B12" s="3198" t="s">
        <v>1099</v>
      </c>
      <c r="C12" s="3198"/>
      <c r="D12" s="1306"/>
      <c r="E12" s="1306"/>
      <c r="F12" s="1307"/>
      <c r="G12" s="1308"/>
      <c r="H12" s="1315"/>
      <c r="I12" s="1305">
        <f>ROUND(D12*E12*F12*G12/10000,0)</f>
        <v>0</v>
      </c>
    </row>
    <row r="13" spans="1:9">
      <c r="A13" s="3197"/>
      <c r="B13" s="3198" t="s">
        <v>1100</v>
      </c>
      <c r="C13" s="3198"/>
      <c r="D13" s="1306"/>
      <c r="E13" s="1306"/>
      <c r="F13" s="1307"/>
      <c r="G13" s="1308"/>
      <c r="H13" s="1315"/>
      <c r="I13" s="1305">
        <f>ROUND(D13*E13*F13*G13/10000,0)</f>
        <v>0</v>
      </c>
    </row>
    <row r="14" spans="1:9">
      <c r="A14" s="3197"/>
      <c r="B14" s="3198" t="s">
        <v>1101</v>
      </c>
      <c r="C14" s="3198"/>
      <c r="D14" s="1306"/>
      <c r="E14" s="1306"/>
      <c r="F14" s="1307"/>
      <c r="G14" s="1308"/>
      <c r="H14" s="1315"/>
      <c r="I14" s="1305">
        <f>ROUND(D14*E14*F14*G14/10000,0)</f>
        <v>0</v>
      </c>
    </row>
    <row r="15" spans="1:9">
      <c r="A15" s="3197"/>
      <c r="B15" s="3199" t="s">
        <v>1092</v>
      </c>
      <c r="C15" s="3199"/>
      <c r="D15" s="1310"/>
      <c r="E15" s="1310">
        <f>SUM(E12:E14)</f>
        <v>0</v>
      </c>
      <c r="F15" s="1311"/>
      <c r="G15" s="1308"/>
      <c r="H15" s="1315"/>
      <c r="I15" s="1316">
        <f>SUM(I12:I14)</f>
        <v>0</v>
      </c>
    </row>
    <row r="16" spans="1:9" ht="24">
      <c r="A16" s="3197" t="s">
        <v>1102</v>
      </c>
      <c r="B16" s="3198" t="s">
        <v>1103</v>
      </c>
      <c r="C16" s="3198"/>
      <c r="D16" s="1306" t="s">
        <v>1079</v>
      </c>
      <c r="E16" s="1317" t="s">
        <v>1104</v>
      </c>
      <c r="F16" s="1307" t="s">
        <v>1105</v>
      </c>
      <c r="G16" s="1308" t="s">
        <v>1083</v>
      </c>
      <c r="H16" s="1314" t="s">
        <v>1098</v>
      </c>
      <c r="I16" s="1305" t="s">
        <v>1084</v>
      </c>
    </row>
    <row r="17" spans="1:9" ht="14.25">
      <c r="A17" s="3197"/>
      <c r="B17" s="3198" t="s">
        <v>1106</v>
      </c>
      <c r="C17" s="3198"/>
      <c r="D17" s="1306"/>
      <c r="E17" s="1306"/>
      <c r="F17" s="1307"/>
      <c r="G17" s="1308"/>
      <c r="H17" s="1318"/>
      <c r="I17" s="1319">
        <f>ROUND(D17*E17*F17*G17/10000,0)</f>
        <v>0</v>
      </c>
    </row>
    <row r="18" spans="1:9" ht="14.25">
      <c r="A18" s="3197"/>
      <c r="B18" s="3198" t="s">
        <v>1107</v>
      </c>
      <c r="C18" s="3198"/>
      <c r="D18" s="1306"/>
      <c r="E18" s="1306"/>
      <c r="F18" s="1307"/>
      <c r="G18" s="1308"/>
      <c r="H18" s="1318"/>
      <c r="I18" s="1319">
        <f>ROUND(D18*E18*F18*G18/10000,0)</f>
        <v>0</v>
      </c>
    </row>
    <row r="19" spans="1:9" ht="14.25">
      <c r="A19" s="3197"/>
      <c r="B19" s="3198" t="s">
        <v>1108</v>
      </c>
      <c r="C19" s="3198"/>
      <c r="D19" s="1306"/>
      <c r="E19" s="1306"/>
      <c r="F19" s="1307"/>
      <c r="G19" s="1308"/>
      <c r="H19" s="1318"/>
      <c r="I19" s="1319">
        <f>ROUND(D19*E19*F19*G19/10000,0)</f>
        <v>0</v>
      </c>
    </row>
    <row r="20" spans="1:9">
      <c r="A20" s="3197"/>
      <c r="B20" s="3199" t="s">
        <v>1092</v>
      </c>
      <c r="C20" s="3199"/>
      <c r="D20" s="1310">
        <f>SUM(D17:D19)</f>
        <v>0</v>
      </c>
      <c r="E20" s="1310"/>
      <c r="F20" s="1311"/>
      <c r="G20" s="1308"/>
      <c r="H20" s="1315"/>
      <c r="I20" s="1316">
        <f>SUM(I17:I19)</f>
        <v>0</v>
      </c>
    </row>
    <row r="21" spans="1:9">
      <c r="A21" s="3197" t="s">
        <v>1109</v>
      </c>
      <c r="B21" s="3201"/>
      <c r="C21" s="3201"/>
      <c r="D21" s="3201"/>
      <c r="E21" s="3201"/>
      <c r="F21" s="3201"/>
      <c r="G21" s="3201"/>
      <c r="H21" s="1769">
        <v>0.1</v>
      </c>
      <c r="I21" s="1313">
        <f>ROUND(I10*H21,0)</f>
        <v>0</v>
      </c>
    </row>
    <row r="22" spans="1:9" ht="14.25">
      <c r="A22" s="3202" t="s">
        <v>1110</v>
      </c>
      <c r="B22" s="3203"/>
      <c r="C22" s="3204"/>
      <c r="D22" s="1320" t="s">
        <v>1111</v>
      </c>
      <c r="E22" s="1320" t="s">
        <v>1112</v>
      </c>
      <c r="F22" s="1321" t="s">
        <v>1113</v>
      </c>
      <c r="G22" s="1321" t="s">
        <v>1114</v>
      </c>
      <c r="H22" s="1314" t="s">
        <v>1115</v>
      </c>
      <c r="I22" s="1305" t="s">
        <v>1116</v>
      </c>
    </row>
    <row r="23" spans="1:9" ht="14.25" thickBot="1">
      <c r="A23" s="3205"/>
      <c r="B23" s="3206"/>
      <c r="C23" s="3207"/>
      <c r="D23" s="1322"/>
      <c r="E23" s="1322"/>
      <c r="F23" s="1322"/>
      <c r="G23" s="1323"/>
      <c r="H23" s="1324"/>
      <c r="I23" s="1325">
        <f>ROUND(E23*D23*F23*(1-G23)/10000,0)</f>
        <v>0</v>
      </c>
    </row>
    <row r="26" spans="1:9">
      <c r="A26" s="1326" t="s">
        <v>1117</v>
      </c>
      <c r="B26" s="1326"/>
      <c r="C26" s="1326"/>
      <c r="D26" s="1326"/>
      <c r="E26" s="3208">
        <f>C27-C30-C31-C32</f>
        <v>0</v>
      </c>
      <c r="F26" s="3208"/>
      <c r="G26" s="3208"/>
      <c r="H26" s="1741" t="s">
        <v>1341</v>
      </c>
    </row>
    <row r="27" spans="1:9">
      <c r="A27" s="1327">
        <v>1</v>
      </c>
      <c r="B27" s="1328" t="s">
        <v>1118</v>
      </c>
      <c r="C27" s="1328">
        <f>C28+C29</f>
        <v>0</v>
      </c>
      <c r="D27" s="1328"/>
      <c r="E27" s="3209"/>
      <c r="F27" s="3209"/>
      <c r="G27" s="3209"/>
    </row>
    <row r="28" spans="1:9">
      <c r="A28" s="1329" t="s">
        <v>1119</v>
      </c>
      <c r="B28" s="1328" t="s">
        <v>1120</v>
      </c>
      <c r="C28" s="1328"/>
      <c r="D28" s="1328"/>
      <c r="E28" s="3209"/>
      <c r="F28" s="3209"/>
      <c r="G28" s="320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0"/>
      <c r="F32" s="3200"/>
      <c r="G32" s="3200"/>
    </row>
    <row r="33" spans="1:7" hidden="1">
      <c r="A33" s="3210" t="s">
        <v>1129</v>
      </c>
      <c r="B33" s="3211"/>
      <c r="C33" s="3211"/>
      <c r="D33" s="3212"/>
      <c r="E33" s="3208"/>
      <c r="F33" s="3208"/>
      <c r="G33" s="3208"/>
    </row>
    <row r="34" spans="1:7" hidden="1">
      <c r="A34" s="1331">
        <v>1</v>
      </c>
      <c r="B34" s="1328" t="s">
        <v>1130</v>
      </c>
      <c r="C34" s="1328"/>
      <c r="D34" s="1328"/>
      <c r="E34" s="3209"/>
      <c r="F34" s="3209"/>
      <c r="G34" s="3209"/>
    </row>
    <row r="35" spans="1:7" hidden="1">
      <c r="A35" s="1331">
        <v>2</v>
      </c>
      <c r="B35" s="1328" t="s">
        <v>1131</v>
      </c>
      <c r="C35" s="1328"/>
      <c r="D35" s="1328"/>
      <c r="E35" s="3209"/>
      <c r="F35" s="3209"/>
      <c r="G35" s="3209"/>
    </row>
    <row r="36" spans="1:7" hidden="1">
      <c r="A36" s="1331">
        <v>3</v>
      </c>
      <c r="B36" s="1328" t="s">
        <v>1132</v>
      </c>
      <c r="C36" s="1328"/>
      <c r="D36" s="1328"/>
      <c r="E36" s="3209"/>
      <c r="F36" s="3209"/>
      <c r="G36" s="3209"/>
    </row>
    <row r="37" spans="1:7" hidden="1">
      <c r="A37" s="1331">
        <v>4</v>
      </c>
      <c r="B37" s="1328" t="s">
        <v>1133</v>
      </c>
      <c r="C37" s="1328"/>
      <c r="D37" s="1328"/>
      <c r="E37" s="3209"/>
      <c r="F37" s="3209"/>
      <c r="G37" s="3209"/>
    </row>
    <row r="38" spans="1:7" hidden="1">
      <c r="A38" s="3210" t="s">
        <v>1134</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587" t="s">
        <v>2529</v>
      </c>
      <c r="C1" s="1638" t="s">
        <v>2530</v>
      </c>
      <c r="D1" s="1625"/>
      <c r="E1" s="2588"/>
      <c r="F1" s="2589" t="s">
        <v>2531</v>
      </c>
      <c r="G1" s="1635" t="s">
        <v>2532</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2533</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2534</v>
      </c>
      <c r="D3" s="400">
        <f>IF(D1="",'数据-汇总表'!E3,SUMIF('数据-汇总表'!$C19:$C33,D1,'数据-汇总表'!$E19:$E33))</f>
        <v>2634.21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2535</v>
      </c>
      <c r="B4" s="403"/>
      <c r="C4" s="3152" t="s">
        <v>2536</v>
      </c>
      <c r="D4" s="3153"/>
      <c r="E4" s="3154" t="s">
        <v>2537</v>
      </c>
      <c r="F4" s="3155"/>
      <c r="G4" s="3152" t="s">
        <v>2538</v>
      </c>
      <c r="H4" s="3153"/>
      <c r="I4" s="3152" t="s">
        <v>2539</v>
      </c>
      <c r="J4" s="3153"/>
      <c r="K4" s="2601" t="s">
        <v>2540</v>
      </c>
      <c r="L4" s="1133"/>
      <c r="M4" s="1134"/>
      <c r="N4" s="1134"/>
      <c r="O4" s="1134"/>
      <c r="P4" s="3217" t="s">
        <v>2541</v>
      </c>
      <c r="Q4" s="3218"/>
      <c r="R4" s="3214" t="s">
        <v>2537</v>
      </c>
      <c r="S4" s="3215"/>
      <c r="T4" s="3214" t="s">
        <v>2538</v>
      </c>
      <c r="U4" s="3215"/>
      <c r="V4" s="3165" t="s">
        <v>2539</v>
      </c>
      <c r="W4" s="3165"/>
      <c r="X4" s="1817"/>
      <c r="Y4" s="3214" t="s">
        <v>2541</v>
      </c>
      <c r="Z4" s="3215"/>
      <c r="AA4" s="3213" t="s">
        <v>2537</v>
      </c>
      <c r="AB4" s="3213" t="s">
        <v>2538</v>
      </c>
      <c r="AC4" s="3213" t="s">
        <v>2539</v>
      </c>
    </row>
    <row r="5" spans="1:29" ht="15">
      <c r="A5" s="405"/>
      <c r="B5" s="406"/>
      <c r="C5" s="3142" t="s">
        <v>2542</v>
      </c>
      <c r="D5" s="3143"/>
      <c r="E5" s="3216" t="s">
        <v>2543</v>
      </c>
      <c r="F5" s="3141"/>
      <c r="G5" s="3142" t="s">
        <v>2544</v>
      </c>
      <c r="H5" s="3143"/>
      <c r="I5" s="3142" t="s">
        <v>2545</v>
      </c>
      <c r="J5" s="3143"/>
      <c r="K5" s="2602"/>
      <c r="L5" s="1133"/>
      <c r="M5" s="1134"/>
      <c r="N5" s="1134"/>
      <c r="O5" s="1134"/>
      <c r="P5" s="3219"/>
      <c r="Q5" s="3159"/>
      <c r="R5" s="3138"/>
      <c r="S5" s="3139"/>
      <c r="T5" s="3138"/>
      <c r="U5" s="3139"/>
      <c r="V5" s="3165"/>
      <c r="W5" s="3165"/>
      <c r="X5" s="1817"/>
      <c r="Y5" s="3138"/>
      <c r="Z5" s="3139"/>
      <c r="AA5" s="3132"/>
      <c r="AB5" s="3132"/>
      <c r="AC5" s="3132"/>
    </row>
    <row r="6" spans="1:29" ht="15.75" thickBot="1">
      <c r="A6" s="407"/>
      <c r="B6" s="408"/>
      <c r="C6" s="3144" t="s">
        <v>2546</v>
      </c>
      <c r="D6" s="3145"/>
      <c r="E6" s="3146" t="s">
        <v>2546</v>
      </c>
      <c r="F6" s="3147"/>
      <c r="G6" s="3144" t="s">
        <v>2546</v>
      </c>
      <c r="H6" s="3145"/>
      <c r="I6" s="3144" t="s">
        <v>2546</v>
      </c>
      <c r="J6" s="3145"/>
      <c r="K6" s="2602" t="s">
        <v>2547</v>
      </c>
      <c r="L6" s="1133"/>
      <c r="M6" s="1134"/>
      <c r="N6" s="1134"/>
      <c r="O6" s="1134"/>
      <c r="P6" s="3220"/>
      <c r="Q6" s="3161"/>
      <c r="R6" s="3138"/>
      <c r="S6" s="3139"/>
      <c r="T6" s="3162"/>
      <c r="U6" s="3163"/>
      <c r="V6" s="3165"/>
      <c r="W6" s="3165"/>
      <c r="X6" s="1817"/>
      <c r="Y6" s="3162"/>
      <c r="Z6" s="3163"/>
      <c r="AA6" s="3133"/>
      <c r="AB6" s="3133"/>
      <c r="AC6" s="3133"/>
    </row>
    <row r="7" spans="1:29" s="117" customFormat="1" ht="15.75" thickBot="1">
      <c r="A7" s="409" t="s">
        <v>2548</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34" t="s">
        <v>2549</v>
      </c>
      <c r="Q7" s="3167"/>
      <c r="R7" s="770" t="s">
        <v>23</v>
      </c>
      <c r="S7" s="771">
        <f t="shared" ref="S7:S15" si="0">F7</f>
        <v>0</v>
      </c>
      <c r="T7" s="770" t="s">
        <v>23</v>
      </c>
      <c r="U7" s="771">
        <f t="shared" ref="U7:U15" si="1">H7</f>
        <v>0</v>
      </c>
      <c r="V7" s="770" t="s">
        <v>23</v>
      </c>
      <c r="W7" s="771">
        <f t="shared" ref="W7:W15" si="2">J7</f>
        <v>0</v>
      </c>
      <c r="X7" s="772"/>
      <c r="Y7" s="3134" t="s">
        <v>2549</v>
      </c>
      <c r="Z7" s="3135"/>
      <c r="AA7" s="773" t="e">
        <f>D7/F7</f>
        <v>#DIV/0!</v>
      </c>
      <c r="AB7" s="773" t="e">
        <f>D7/H7</f>
        <v>#DIV/0!</v>
      </c>
      <c r="AC7" s="773" t="e">
        <f>D7/J7</f>
        <v>#DIV/0!</v>
      </c>
    </row>
    <row r="8" spans="1:29" s="117" customFormat="1" ht="15.75" thickBot="1">
      <c r="A8" s="409" t="s">
        <v>2550</v>
      </c>
      <c r="B8" s="410"/>
      <c r="C8" s="415" t="s">
        <v>2551</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34" t="s">
        <v>2552</v>
      </c>
      <c r="Q8" s="3135"/>
      <c r="R8" s="770" t="s">
        <v>23</v>
      </c>
      <c r="S8" s="771">
        <f t="shared" si="0"/>
        <v>0</v>
      </c>
      <c r="T8" s="770" t="s">
        <v>23</v>
      </c>
      <c r="U8" s="771">
        <f t="shared" si="1"/>
        <v>0</v>
      </c>
      <c r="V8" s="770" t="s">
        <v>23</v>
      </c>
      <c r="W8" s="771">
        <f t="shared" si="2"/>
        <v>0</v>
      </c>
      <c r="X8" s="772"/>
      <c r="Y8" s="3134" t="s">
        <v>2552</v>
      </c>
      <c r="Z8" s="3135"/>
      <c r="AA8" s="773" t="e">
        <f t="shared" ref="AA8:AA19" si="3">D8/F8</f>
        <v>#DIV/0!</v>
      </c>
      <c r="AB8" s="773" t="e">
        <f t="shared" ref="AB8:AB19" si="4">D8/H8</f>
        <v>#DIV/0!</v>
      </c>
      <c r="AC8" s="773"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48" t="s">
        <v>2555</v>
      </c>
      <c r="Q9" s="1799" t="str">
        <f t="shared" ref="Q9:Q15" si="6">B9</f>
        <v>用途</v>
      </c>
      <c r="R9" s="770" t="s">
        <v>17</v>
      </c>
      <c r="S9" s="771">
        <f t="shared" si="0"/>
        <v>100</v>
      </c>
      <c r="T9" s="770" t="s">
        <v>17</v>
      </c>
      <c r="U9" s="771">
        <f t="shared" si="1"/>
        <v>100</v>
      </c>
      <c r="V9" s="770" t="s">
        <v>17</v>
      </c>
      <c r="W9" s="771">
        <f t="shared" si="2"/>
        <v>100</v>
      </c>
      <c r="X9" s="772"/>
      <c r="Y9" s="3008" t="s">
        <v>2556</v>
      </c>
      <c r="Z9" s="55" t="str">
        <f t="shared" ref="Z9:Z15" si="7">Q9</f>
        <v>用途</v>
      </c>
      <c r="AA9" s="773">
        <f t="shared" si="3"/>
        <v>1</v>
      </c>
      <c r="AB9" s="773">
        <f t="shared" si="4"/>
        <v>1</v>
      </c>
      <c r="AC9" s="773">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48"/>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48"/>
      <c r="Q11" s="1799"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48"/>
      <c r="Q12" s="1799">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48"/>
      <c r="Q13" s="1799">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48"/>
      <c r="Q14" s="1799">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1" t="s">
        <v>2559</v>
      </c>
      <c r="B15" s="69" t="s">
        <v>2084</v>
      </c>
      <c r="C15" s="2608"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68" t="s">
        <v>2560</v>
      </c>
      <c r="Q15" s="1814" t="str">
        <f t="shared" si="6"/>
        <v>居住社区成熟度</v>
      </c>
      <c r="R15" s="774" t="s">
        <v>21</v>
      </c>
      <c r="S15" s="775">
        <f t="shared" si="0"/>
        <v>100</v>
      </c>
      <c r="T15" s="774" t="s">
        <v>21</v>
      </c>
      <c r="U15" s="775">
        <f t="shared" si="1"/>
        <v>100</v>
      </c>
      <c r="V15" s="774" t="s">
        <v>21</v>
      </c>
      <c r="W15" s="775">
        <f t="shared" si="2"/>
        <v>100</v>
      </c>
      <c r="X15" s="1817"/>
      <c r="Y15" s="3170" t="s">
        <v>2560</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69"/>
      <c r="Q16" s="1814"/>
      <c r="R16" s="774"/>
      <c r="S16" s="775"/>
      <c r="T16" s="774"/>
      <c r="U16" s="775"/>
      <c r="V16" s="774"/>
      <c r="W16" s="775"/>
      <c r="X16" s="1817"/>
      <c r="Y16" s="3171"/>
      <c r="Z16" s="1818"/>
      <c r="AA16" s="1815">
        <v>1</v>
      </c>
      <c r="AB16" s="1815">
        <v>1</v>
      </c>
      <c r="AC16" s="1815">
        <v>1</v>
      </c>
    </row>
    <row r="17" spans="1:29" ht="85.5">
      <c r="A17" s="429"/>
      <c r="B17" s="452" t="s">
        <v>2096</v>
      </c>
      <c r="C17" s="2612"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69"/>
      <c r="Q17" s="1814" t="str">
        <f>B17</f>
        <v>交通便捷度</v>
      </c>
      <c r="R17" s="774" t="s">
        <v>21</v>
      </c>
      <c r="S17" s="775">
        <f>F17</f>
        <v>100</v>
      </c>
      <c r="T17" s="774" t="s">
        <v>21</v>
      </c>
      <c r="U17" s="775">
        <f>H17</f>
        <v>100</v>
      </c>
      <c r="V17" s="774" t="s">
        <v>21</v>
      </c>
      <c r="W17" s="775">
        <f>J17</f>
        <v>100</v>
      </c>
      <c r="X17" s="1817"/>
      <c r="Y17" s="3171"/>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69"/>
      <c r="Q18" s="1814"/>
      <c r="R18" s="774"/>
      <c r="S18" s="775"/>
      <c r="T18" s="774"/>
      <c r="U18" s="775"/>
      <c r="V18" s="774"/>
      <c r="W18" s="775"/>
      <c r="X18" s="1817"/>
      <c r="Y18" s="3171"/>
      <c r="Z18" s="1818"/>
      <c r="AA18" s="1815">
        <v>1</v>
      </c>
      <c r="AB18" s="1815">
        <v>1</v>
      </c>
      <c r="AC18" s="1815">
        <v>1</v>
      </c>
    </row>
    <row r="19" spans="1:29" ht="42.75">
      <c r="A19" s="429"/>
      <c r="B19" s="452" t="s">
        <v>2094</v>
      </c>
      <c r="C19" s="2612"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69"/>
      <c r="Q19" s="1814" t="str">
        <f>B19</f>
        <v>公共配套设施</v>
      </c>
      <c r="R19" s="774" t="s">
        <v>21</v>
      </c>
      <c r="S19" s="775">
        <f>F19</f>
        <v>100</v>
      </c>
      <c r="T19" s="774" t="s">
        <v>21</v>
      </c>
      <c r="U19" s="775">
        <f>H19</f>
        <v>100</v>
      </c>
      <c r="V19" s="774" t="s">
        <v>21</v>
      </c>
      <c r="W19" s="775">
        <f>J19</f>
        <v>100</v>
      </c>
      <c r="X19" s="1817"/>
      <c r="Y19" s="3171"/>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69"/>
      <c r="Q20" s="1814"/>
      <c r="R20" s="774"/>
      <c r="S20" s="775"/>
      <c r="T20" s="774"/>
      <c r="U20" s="775"/>
      <c r="V20" s="774"/>
      <c r="W20" s="775"/>
      <c r="X20" s="1817"/>
      <c r="Y20" s="3171"/>
      <c r="Z20" s="1818"/>
      <c r="AA20" s="1815">
        <v>1</v>
      </c>
      <c r="AB20" s="1815">
        <v>1</v>
      </c>
      <c r="AC20" s="1815">
        <v>1</v>
      </c>
    </row>
    <row r="21" spans="1:29" ht="28.5">
      <c r="A21" s="429"/>
      <c r="B21" s="1387" t="s">
        <v>2097</v>
      </c>
      <c r="C21" s="2612"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69"/>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69"/>
      <c r="Q22" s="1814"/>
      <c r="R22" s="774"/>
      <c r="S22" s="775"/>
      <c r="T22" s="774"/>
      <c r="U22" s="775"/>
      <c r="V22" s="774"/>
      <c r="W22" s="775"/>
      <c r="X22" s="1817"/>
      <c r="Y22" s="3171"/>
      <c r="Z22" s="1818"/>
      <c r="AA22" s="1815">
        <v>1</v>
      </c>
      <c r="AB22" s="1815">
        <v>1</v>
      </c>
      <c r="AC22" s="1815">
        <v>1</v>
      </c>
    </row>
    <row r="23" spans="1:29" ht="57">
      <c r="A23" s="429"/>
      <c r="B23" s="452" t="s">
        <v>2101</v>
      </c>
      <c r="C23" s="2612"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69"/>
      <c r="Q23" s="1814" t="str">
        <f>B23</f>
        <v>自然及人文环境</v>
      </c>
      <c r="R23" s="774" t="s">
        <v>21</v>
      </c>
      <c r="S23" s="775">
        <f>F23</f>
        <v>100</v>
      </c>
      <c r="T23" s="774" t="s">
        <v>21</v>
      </c>
      <c r="U23" s="775">
        <f>H23</f>
        <v>100</v>
      </c>
      <c r="V23" s="774" t="s">
        <v>21</v>
      </c>
      <c r="W23" s="775">
        <f>J23</f>
        <v>100</v>
      </c>
      <c r="X23" s="1817"/>
      <c r="Y23" s="3171"/>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69"/>
      <c r="Q24" s="1814"/>
      <c r="R24" s="774"/>
      <c r="S24" s="775"/>
      <c r="T24" s="774"/>
      <c r="U24" s="775"/>
      <c r="V24" s="774"/>
      <c r="W24" s="775"/>
      <c r="X24" s="1817"/>
      <c r="Y24" s="3171"/>
      <c r="Z24" s="1818"/>
      <c r="AA24" s="1815">
        <v>1</v>
      </c>
      <c r="AB24" s="1815">
        <v>1</v>
      </c>
      <c r="AC24" s="1815">
        <v>1</v>
      </c>
    </row>
    <row r="25" spans="1:29" ht="15">
      <c r="A25" s="429"/>
      <c r="B25" s="423" t="s">
        <v>2561</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69"/>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71"/>
      <c r="Z25" s="1818" t="str">
        <f>Q25</f>
        <v>楼层-1</v>
      </c>
      <c r="AA25" s="1815">
        <f t="shared" ref="AA25:AA46" si="15">D25/F25</f>
        <v>1</v>
      </c>
      <c r="AB25" s="1815">
        <f t="shared" ref="AB25:AB46" si="16">D25/H25</f>
        <v>1</v>
      </c>
      <c r="AC25" s="1815">
        <f t="shared" ref="AC25:AC46" si="17">D25/J25</f>
        <v>1</v>
      </c>
    </row>
    <row r="26" spans="1:29" ht="15">
      <c r="A26" s="429"/>
      <c r="B26" s="423" t="s">
        <v>2562</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69"/>
      <c r="Q26" s="1814" t="str">
        <f t="shared" si="11"/>
        <v>朝向</v>
      </c>
      <c r="R26" s="774" t="s">
        <v>21</v>
      </c>
      <c r="S26" s="775">
        <f t="shared" si="12"/>
        <v>100</v>
      </c>
      <c r="T26" s="774" t="s">
        <v>21</v>
      </c>
      <c r="U26" s="775">
        <f t="shared" si="13"/>
        <v>100</v>
      </c>
      <c r="V26" s="774" t="s">
        <v>21</v>
      </c>
      <c r="W26" s="775">
        <f t="shared" si="14"/>
        <v>100</v>
      </c>
      <c r="X26" s="1817"/>
      <c r="Y26" s="3171"/>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69"/>
      <c r="Q27" s="1799">
        <f t="shared" si="11"/>
        <v>111</v>
      </c>
      <c r="R27" s="770" t="s">
        <v>21</v>
      </c>
      <c r="S27" s="771">
        <f t="shared" si="12"/>
        <v>100</v>
      </c>
      <c r="T27" s="770" t="s">
        <v>21</v>
      </c>
      <c r="U27" s="771">
        <f t="shared" si="13"/>
        <v>100</v>
      </c>
      <c r="V27" s="770" t="s">
        <v>21</v>
      </c>
      <c r="W27" s="771">
        <f t="shared" si="14"/>
        <v>100</v>
      </c>
      <c r="X27" s="772"/>
      <c r="Y27" s="3171"/>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69"/>
      <c r="Q28" s="1814">
        <f t="shared" si="11"/>
        <v>111</v>
      </c>
      <c r="R28" s="774" t="s">
        <v>21</v>
      </c>
      <c r="S28" s="775">
        <f t="shared" si="12"/>
        <v>100</v>
      </c>
      <c r="T28" s="774" t="s">
        <v>21</v>
      </c>
      <c r="U28" s="775">
        <f t="shared" si="13"/>
        <v>100</v>
      </c>
      <c r="V28" s="774" t="s">
        <v>21</v>
      </c>
      <c r="W28" s="775">
        <f t="shared" si="14"/>
        <v>100</v>
      </c>
      <c r="X28" s="1817"/>
      <c r="Y28" s="3171"/>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69"/>
      <c r="Q29" s="1814">
        <f t="shared" si="11"/>
        <v>111</v>
      </c>
      <c r="R29" s="774" t="s">
        <v>21</v>
      </c>
      <c r="S29" s="775">
        <f t="shared" si="12"/>
        <v>100</v>
      </c>
      <c r="T29" s="774" t="s">
        <v>21</v>
      </c>
      <c r="U29" s="775">
        <f t="shared" si="13"/>
        <v>100</v>
      </c>
      <c r="V29" s="774" t="s">
        <v>21</v>
      </c>
      <c r="W29" s="775">
        <f t="shared" si="14"/>
        <v>100</v>
      </c>
      <c r="X29" s="1817"/>
      <c r="Y29" s="3171"/>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69"/>
      <c r="Q30" s="1814">
        <f t="shared" si="11"/>
        <v>111</v>
      </c>
      <c r="R30" s="774" t="s">
        <v>21</v>
      </c>
      <c r="S30" s="775">
        <f t="shared" si="12"/>
        <v>100</v>
      </c>
      <c r="T30" s="774" t="s">
        <v>21</v>
      </c>
      <c r="U30" s="775">
        <f t="shared" si="13"/>
        <v>100</v>
      </c>
      <c r="V30" s="774" t="s">
        <v>21</v>
      </c>
      <c r="W30" s="775">
        <f t="shared" si="14"/>
        <v>100</v>
      </c>
      <c r="X30" s="1817"/>
      <c r="Y30" s="3171"/>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69"/>
      <c r="Q31" s="1814">
        <f t="shared" si="11"/>
        <v>111</v>
      </c>
      <c r="R31" s="774" t="s">
        <v>21</v>
      </c>
      <c r="S31" s="775">
        <f t="shared" si="12"/>
        <v>100</v>
      </c>
      <c r="T31" s="774" t="s">
        <v>21</v>
      </c>
      <c r="U31" s="775">
        <f t="shared" si="13"/>
        <v>100</v>
      </c>
      <c r="V31" s="774" t="s">
        <v>21</v>
      </c>
      <c r="W31" s="775">
        <f t="shared" si="14"/>
        <v>100</v>
      </c>
      <c r="X31" s="1817"/>
      <c r="Y31" s="3171"/>
      <c r="Z31" s="1818">
        <f t="shared" si="18"/>
        <v>111</v>
      </c>
      <c r="AA31" s="1815">
        <f t="shared" si="15"/>
        <v>1</v>
      </c>
      <c r="AB31" s="1815">
        <f t="shared" si="16"/>
        <v>1</v>
      </c>
      <c r="AC31" s="1815">
        <f t="shared" si="17"/>
        <v>1</v>
      </c>
    </row>
    <row r="32" spans="1:29" ht="15">
      <c r="A32" s="441" t="s">
        <v>2563</v>
      </c>
      <c r="B32" s="71" t="s">
        <v>2564</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72" t="s">
        <v>2565</v>
      </c>
      <c r="Q32" s="1814" t="str">
        <f t="shared" si="11"/>
        <v>建筑类型</v>
      </c>
      <c r="R32" s="774" t="s">
        <v>21</v>
      </c>
      <c r="S32" s="775">
        <f t="shared" si="12"/>
        <v>100</v>
      </c>
      <c r="T32" s="774" t="s">
        <v>21</v>
      </c>
      <c r="U32" s="775">
        <f t="shared" si="13"/>
        <v>100</v>
      </c>
      <c r="V32" s="774" t="s">
        <v>21</v>
      </c>
      <c r="W32" s="775">
        <f t="shared" si="14"/>
        <v>100</v>
      </c>
      <c r="X32" s="1817"/>
      <c r="Y32" s="3175" t="s">
        <v>2565</v>
      </c>
      <c r="Z32" s="1818" t="str">
        <f t="shared" si="18"/>
        <v>建筑类型</v>
      </c>
      <c r="AA32" s="1815">
        <f t="shared" si="15"/>
        <v>1</v>
      </c>
      <c r="AB32" s="1815">
        <f t="shared" si="16"/>
        <v>1</v>
      </c>
      <c r="AC32" s="1815">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73"/>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5" t="e">
        <f t="shared" si="15"/>
        <v>#N/A</v>
      </c>
      <c r="AB33" s="1815" t="e">
        <f t="shared" si="16"/>
        <v>#N/A</v>
      </c>
      <c r="AC33" s="1815" t="e">
        <f t="shared" si="17"/>
        <v>#N/A</v>
      </c>
    </row>
    <row r="34" spans="1:29" ht="15">
      <c r="A34" s="473"/>
      <c r="B34" s="423" t="s">
        <v>2567</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73"/>
      <c r="Q34" s="1814" t="str">
        <f t="shared" si="11"/>
        <v>建筑结构</v>
      </c>
      <c r="R34" s="774" t="s">
        <v>21</v>
      </c>
      <c r="S34" s="775">
        <f t="shared" si="12"/>
        <v>100</v>
      </c>
      <c r="T34" s="774" t="s">
        <v>21</v>
      </c>
      <c r="U34" s="775">
        <f t="shared" si="13"/>
        <v>100</v>
      </c>
      <c r="V34" s="774" t="s">
        <v>21</v>
      </c>
      <c r="W34" s="775">
        <f t="shared" si="14"/>
        <v>100</v>
      </c>
      <c r="X34" s="1817"/>
      <c r="Y34" s="3175"/>
      <c r="Z34" s="1818" t="str">
        <f t="shared" si="18"/>
        <v>建筑结构</v>
      </c>
      <c r="AA34" s="1815">
        <f t="shared" si="15"/>
        <v>1</v>
      </c>
      <c r="AB34" s="1815">
        <f t="shared" si="16"/>
        <v>1</v>
      </c>
      <c r="AC34" s="1815">
        <f t="shared" si="17"/>
        <v>1</v>
      </c>
    </row>
    <row r="35" spans="1:29" ht="15">
      <c r="A35" s="473"/>
      <c r="B35" s="423" t="s">
        <v>2568</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73"/>
      <c r="Q35" s="1814" t="str">
        <f t="shared" si="11"/>
        <v>建筑品质</v>
      </c>
      <c r="R35" s="774" t="s">
        <v>21</v>
      </c>
      <c r="S35" s="775">
        <f t="shared" si="12"/>
        <v>100</v>
      </c>
      <c r="T35" s="774" t="s">
        <v>21</v>
      </c>
      <c r="U35" s="775">
        <f t="shared" si="13"/>
        <v>100</v>
      </c>
      <c r="V35" s="774" t="s">
        <v>21</v>
      </c>
      <c r="W35" s="775">
        <f t="shared" si="14"/>
        <v>100</v>
      </c>
      <c r="X35" s="1817"/>
      <c r="Y35" s="3175"/>
      <c r="Z35" s="1818" t="str">
        <f t="shared" si="18"/>
        <v>建筑品质</v>
      </c>
      <c r="AA35" s="1815">
        <f t="shared" si="15"/>
        <v>1</v>
      </c>
      <c r="AB35" s="1815">
        <f t="shared" si="16"/>
        <v>1</v>
      </c>
      <c r="AC35" s="1815">
        <f t="shared" si="17"/>
        <v>1</v>
      </c>
    </row>
    <row r="36" spans="1:29" ht="15">
      <c r="A36" s="473"/>
      <c r="B36" s="423" t="s">
        <v>2569</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73"/>
      <c r="Q36" s="1814" t="str">
        <f t="shared" si="11"/>
        <v>公共部分装修</v>
      </c>
      <c r="R36" s="774" t="s">
        <v>21</v>
      </c>
      <c r="S36" s="775">
        <f t="shared" si="12"/>
        <v>100</v>
      </c>
      <c r="T36" s="774" t="s">
        <v>21</v>
      </c>
      <c r="U36" s="775">
        <f t="shared" si="13"/>
        <v>100</v>
      </c>
      <c r="V36" s="774" t="s">
        <v>21</v>
      </c>
      <c r="W36" s="775">
        <f t="shared" si="14"/>
        <v>100</v>
      </c>
      <c r="X36" s="1817"/>
      <c r="Y36" s="3175"/>
      <c r="Z36" s="1818" t="str">
        <f t="shared" si="18"/>
        <v>公共部分装修</v>
      </c>
      <c r="AA36" s="1815">
        <f t="shared" si="15"/>
        <v>1</v>
      </c>
      <c r="AB36" s="1815">
        <f t="shared" si="16"/>
        <v>1</v>
      </c>
      <c r="AC36" s="1815">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73"/>
      <c r="Q37" s="1799"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3"/>
      <c r="B38" s="423" t="s">
        <v>2571</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73" t="s">
        <v>2565</v>
      </c>
      <c r="Q38" s="1814" t="str">
        <f t="shared" si="11"/>
        <v>物业管理</v>
      </c>
      <c r="R38" s="774" t="s">
        <v>21</v>
      </c>
      <c r="S38" s="775">
        <f t="shared" si="12"/>
        <v>100</v>
      </c>
      <c r="T38" s="774" t="s">
        <v>21</v>
      </c>
      <c r="U38" s="775">
        <f t="shared" si="13"/>
        <v>100</v>
      </c>
      <c r="V38" s="774" t="s">
        <v>21</v>
      </c>
      <c r="W38" s="775">
        <f t="shared" si="14"/>
        <v>100</v>
      </c>
      <c r="X38" s="1817"/>
      <c r="Y38" s="3175" t="s">
        <v>2565</v>
      </c>
      <c r="Z38" s="1818" t="str">
        <f t="shared" si="18"/>
        <v>物业管理</v>
      </c>
      <c r="AA38" s="1815">
        <f t="shared" si="15"/>
        <v>1</v>
      </c>
      <c r="AB38" s="1815">
        <f t="shared" si="16"/>
        <v>1</v>
      </c>
      <c r="AC38" s="1815">
        <f t="shared" si="17"/>
        <v>1</v>
      </c>
    </row>
    <row r="39" spans="1:29" ht="15">
      <c r="A39" s="473"/>
      <c r="B39" s="423" t="s">
        <v>2572</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73"/>
      <c r="Q39" s="1814" t="str">
        <f t="shared" si="11"/>
        <v>市政基础设施</v>
      </c>
      <c r="R39" s="774" t="s">
        <v>21</v>
      </c>
      <c r="S39" s="775">
        <f t="shared" si="12"/>
        <v>100</v>
      </c>
      <c r="T39" s="774" t="s">
        <v>21</v>
      </c>
      <c r="U39" s="775">
        <f t="shared" si="13"/>
        <v>100</v>
      </c>
      <c r="V39" s="774" t="s">
        <v>21</v>
      </c>
      <c r="W39" s="775">
        <f t="shared" si="14"/>
        <v>100</v>
      </c>
      <c r="X39" s="1817"/>
      <c r="Y39" s="3175"/>
      <c r="Z39" s="1818" t="str">
        <f t="shared" si="18"/>
        <v>市政基础设施</v>
      </c>
      <c r="AA39" s="1815">
        <f t="shared" si="15"/>
        <v>1</v>
      </c>
      <c r="AB39" s="1815">
        <f t="shared" si="16"/>
        <v>1</v>
      </c>
      <c r="AC39" s="1815">
        <f t="shared" si="17"/>
        <v>1</v>
      </c>
    </row>
    <row r="40" spans="1:29" ht="15">
      <c r="A40" s="473"/>
      <c r="B40" s="423" t="s">
        <v>2573</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73"/>
      <c r="Q40" s="1814" t="str">
        <f t="shared" si="11"/>
        <v>房型</v>
      </c>
      <c r="R40" s="774" t="s">
        <v>21</v>
      </c>
      <c r="S40" s="775">
        <f t="shared" si="12"/>
        <v>100</v>
      </c>
      <c r="T40" s="774" t="s">
        <v>21</v>
      </c>
      <c r="U40" s="775">
        <f t="shared" si="13"/>
        <v>100</v>
      </c>
      <c r="V40" s="774" t="s">
        <v>21</v>
      </c>
      <c r="W40" s="775">
        <f t="shared" si="14"/>
        <v>100</v>
      </c>
      <c r="X40" s="1817"/>
      <c r="Y40" s="3175"/>
      <c r="Z40" s="1818" t="str">
        <f t="shared" si="18"/>
        <v>房型</v>
      </c>
      <c r="AA40" s="1815">
        <f t="shared" si="15"/>
        <v>1</v>
      </c>
      <c r="AB40" s="1815">
        <f t="shared" si="16"/>
        <v>1</v>
      </c>
      <c r="AC40" s="1815">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73"/>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5">
        <f t="shared" si="15"/>
        <v>1</v>
      </c>
      <c r="AB41" s="1815">
        <f t="shared" si="16"/>
        <v>1</v>
      </c>
      <c r="AC41" s="1815">
        <f t="shared" si="17"/>
        <v>1</v>
      </c>
    </row>
    <row r="42" spans="1:29" ht="15">
      <c r="A42" s="473"/>
      <c r="B42" s="423" t="s">
        <v>2575</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73"/>
      <c r="Q42" s="1814" t="str">
        <f t="shared" si="11"/>
        <v>内部装修</v>
      </c>
      <c r="R42" s="774" t="s">
        <v>21</v>
      </c>
      <c r="S42" s="775">
        <f t="shared" si="12"/>
        <v>100</v>
      </c>
      <c r="T42" s="774" t="s">
        <v>21</v>
      </c>
      <c r="U42" s="775">
        <f t="shared" si="13"/>
        <v>100</v>
      </c>
      <c r="V42" s="774" t="s">
        <v>21</v>
      </c>
      <c r="W42" s="775">
        <f t="shared" si="14"/>
        <v>100</v>
      </c>
      <c r="X42" s="1817"/>
      <c r="Y42" s="3175"/>
      <c r="Z42" s="1818" t="str">
        <f t="shared" si="18"/>
        <v>内部装修</v>
      </c>
      <c r="AA42" s="1815">
        <f t="shared" si="15"/>
        <v>1</v>
      </c>
      <c r="AB42" s="1815">
        <f t="shared" si="16"/>
        <v>1</v>
      </c>
      <c r="AC42" s="1815">
        <f t="shared" si="17"/>
        <v>1</v>
      </c>
    </row>
    <row r="43" spans="1:29" ht="15">
      <c r="A43" s="473"/>
      <c r="B43" s="423" t="s">
        <v>2576</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73"/>
      <c r="Q43" s="1814" t="str">
        <f t="shared" si="11"/>
        <v>内部装修维护情况</v>
      </c>
      <c r="R43" s="774" t="s">
        <v>21</v>
      </c>
      <c r="S43" s="775">
        <f t="shared" si="12"/>
        <v>100</v>
      </c>
      <c r="T43" s="774" t="s">
        <v>21</v>
      </c>
      <c r="U43" s="775">
        <f t="shared" si="13"/>
        <v>100</v>
      </c>
      <c r="V43" s="774" t="s">
        <v>21</v>
      </c>
      <c r="W43" s="775">
        <f t="shared" si="14"/>
        <v>100</v>
      </c>
      <c r="X43" s="1817"/>
      <c r="Y43" s="3175"/>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73"/>
      <c r="Q44" s="1799">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73"/>
      <c r="Q45" s="1814">
        <f t="shared" si="11"/>
        <v>111</v>
      </c>
      <c r="R45" s="774" t="s">
        <v>21</v>
      </c>
      <c r="S45" s="775">
        <f t="shared" si="12"/>
        <v>100</v>
      </c>
      <c r="T45" s="774" t="s">
        <v>21</v>
      </c>
      <c r="U45" s="775">
        <f t="shared" si="13"/>
        <v>100</v>
      </c>
      <c r="V45" s="774" t="s">
        <v>21</v>
      </c>
      <c r="W45" s="775">
        <f t="shared" si="14"/>
        <v>100</v>
      </c>
      <c r="X45" s="1817"/>
      <c r="Y45" s="3175"/>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74"/>
      <c r="Q46" s="1814">
        <f t="shared" si="11"/>
        <v>111</v>
      </c>
      <c r="R46" s="774" t="s">
        <v>20</v>
      </c>
      <c r="S46" s="775">
        <f t="shared" si="12"/>
        <v>100</v>
      </c>
      <c r="T46" s="774" t="s">
        <v>20</v>
      </c>
      <c r="U46" s="775">
        <f t="shared" si="13"/>
        <v>100</v>
      </c>
      <c r="V46" s="774" t="s">
        <v>20</v>
      </c>
      <c r="W46" s="775">
        <f t="shared" si="14"/>
        <v>100</v>
      </c>
      <c r="X46" s="1817"/>
      <c r="Y46" s="3176"/>
      <c r="Z46" s="1818">
        <f t="shared" si="18"/>
        <v>111</v>
      </c>
      <c r="AA46" s="1815">
        <f t="shared" si="15"/>
        <v>1</v>
      </c>
      <c r="AB46" s="1815">
        <f t="shared" si="16"/>
        <v>1</v>
      </c>
      <c r="AC46" s="1815">
        <f t="shared" si="17"/>
        <v>1</v>
      </c>
    </row>
    <row r="47" spans="1:29" ht="15">
      <c r="A47" s="480" t="s">
        <v>2577</v>
      </c>
      <c r="B47" s="481"/>
      <c r="C47" s="1410" t="s">
        <v>19</v>
      </c>
      <c r="D47" s="1411"/>
      <c r="E47" s="1412"/>
      <c r="F47" s="1413"/>
      <c r="G47" s="1414"/>
      <c r="H47" s="1415"/>
      <c r="I47" s="1412"/>
      <c r="J47" s="1415"/>
      <c r="K47" s="2626"/>
      <c r="L47" s="1146"/>
      <c r="M47" s="1147"/>
      <c r="N47" s="1134"/>
      <c r="O47" s="1147"/>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7" t="s">
        <v>2578</v>
      </c>
      <c r="B48" s="488"/>
      <c r="C48" s="1416" t="e">
        <f>R49</f>
        <v>#DIV/0!</v>
      </c>
      <c r="D48" s="1417"/>
      <c r="E48" s="1418" t="e">
        <f>R48</f>
        <v>#DIV/0!</v>
      </c>
      <c r="F48" s="1418"/>
      <c r="G48" s="1416" t="e">
        <f>T48</f>
        <v>#DIV/0!</v>
      </c>
      <c r="H48" s="1417"/>
      <c r="I48" s="1418" t="e">
        <f>V48</f>
        <v>#DIV/0!</v>
      </c>
      <c r="J48" s="1417"/>
      <c r="K48" s="2627"/>
      <c r="L48" s="1146"/>
      <c r="M48" s="1147"/>
      <c r="N48" s="1147"/>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3" t="s">
        <v>2579</v>
      </c>
      <c r="B49" s="494"/>
      <c r="C49" s="1419" t="e">
        <f>R49</f>
        <v>#DIV/0!</v>
      </c>
      <c r="D49" s="1420"/>
      <c r="E49" s="1420"/>
      <c r="F49" s="1420"/>
      <c r="G49" s="1420"/>
      <c r="H49" s="1420"/>
      <c r="I49" s="1420"/>
      <c r="J49" s="1420"/>
      <c r="K49" s="2628"/>
      <c r="L49" s="1146"/>
      <c r="M49" s="1147"/>
      <c r="N49" s="1147"/>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1"/>
      <c r="Q57" s="505"/>
    </row>
    <row r="58" spans="1:29" s="509" customFormat="1" ht="15">
      <c r="A58" s="506" t="s">
        <v>2584</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2585</v>
      </c>
      <c r="B60" s="517"/>
      <c r="C60" s="518"/>
      <c r="D60" s="519"/>
      <c r="E60" s="519"/>
      <c r="F60" s="519"/>
      <c r="G60" s="519"/>
      <c r="H60" s="519"/>
      <c r="I60" s="519"/>
      <c r="J60" s="519"/>
      <c r="K60" s="519"/>
      <c r="L60" s="519"/>
      <c r="M60" s="520"/>
      <c r="N60" s="519"/>
      <c r="O60" s="520"/>
      <c r="P60" s="2633"/>
      <c r="Q60" s="505"/>
    </row>
    <row r="61" spans="1:29" s="117" customFormat="1" ht="15">
      <c r="A61" s="522" t="s">
        <v>2586</v>
      </c>
      <c r="B61" s="511"/>
      <c r="C61" s="523" t="s">
        <v>2587</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2588</v>
      </c>
      <c r="B63" s="529" t="s">
        <v>2554</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2097</v>
      </c>
      <c r="C82" s="540" t="s">
        <v>2604</v>
      </c>
      <c r="D82" s="540" t="s">
        <v>2605</v>
      </c>
      <c r="E82" s="540" t="s">
        <v>2606</v>
      </c>
      <c r="F82" s="540" t="s">
        <v>2607</v>
      </c>
      <c r="G82" s="540" t="s">
        <v>2608</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2610</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2611</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2563</v>
      </c>
      <c r="B100" s="529" t="s">
        <v>2612</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2614</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2615</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2616</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2617</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2618</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2619</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2574</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2620</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7">
        <v>6</v>
      </c>
      <c r="C139" s="1088">
        <v>96</v>
      </c>
      <c r="D139" s="2653" t="s">
        <v>2631</v>
      </c>
      <c r="E139" s="1089">
        <v>100</v>
      </c>
      <c r="F139" s="1090">
        <v>102.5</v>
      </c>
      <c r="G139" s="2653" t="s">
        <v>2631</v>
      </c>
      <c r="H139" s="1091">
        <v>105</v>
      </c>
      <c r="I139" s="2654" t="s">
        <v>2632</v>
      </c>
      <c r="J139" s="1088">
        <v>20</v>
      </c>
      <c r="K139" s="1092">
        <f>C145/(J139-2)</f>
        <v>4.0555555555555553E-3</v>
      </c>
    </row>
    <row r="140" spans="1:17" ht="15">
      <c r="B140" s="1093">
        <v>5</v>
      </c>
      <c r="C140" s="1094">
        <v>100</v>
      </c>
      <c r="D140" s="1094"/>
      <c r="E140" s="1095"/>
      <c r="F140" s="1096">
        <v>102</v>
      </c>
      <c r="G140" s="1094"/>
      <c r="H140" s="1097"/>
      <c r="I140" s="2655" t="s">
        <v>2633</v>
      </c>
      <c r="J140" s="316">
        <f>ROUNDUP((J139-1)/2,0)</f>
        <v>10</v>
      </c>
      <c r="K140" s="1098">
        <v>100</v>
      </c>
    </row>
    <row r="141" spans="1:17" ht="15">
      <c r="B141" s="1093">
        <v>4</v>
      </c>
      <c r="C141" s="1094">
        <v>102</v>
      </c>
      <c r="D141" s="1094"/>
      <c r="E141" s="1095"/>
      <c r="F141" s="1096">
        <v>101.5</v>
      </c>
      <c r="G141" s="1094"/>
      <c r="H141" s="1097"/>
      <c r="I141" s="2655" t="s">
        <v>2634</v>
      </c>
      <c r="J141" s="316">
        <v>1</v>
      </c>
      <c r="K141" s="1099">
        <f>ROUND(100+(J141-J140)*K139*100,1)</f>
        <v>96.4</v>
      </c>
    </row>
    <row r="142" spans="1:17" ht="15">
      <c r="B142" s="1093">
        <v>3</v>
      </c>
      <c r="C142" s="1094">
        <v>103</v>
      </c>
      <c r="D142" s="1094"/>
      <c r="E142" s="1095"/>
      <c r="F142" s="1096">
        <v>101</v>
      </c>
      <c r="G142" s="1094"/>
      <c r="H142" s="1097"/>
      <c r="I142" s="2655" t="s">
        <v>2635</v>
      </c>
      <c r="J142" s="316">
        <f>J139</f>
        <v>20</v>
      </c>
      <c r="K142" s="1100">
        <v>95</v>
      </c>
    </row>
    <row r="143" spans="1:17" ht="15">
      <c r="B143" s="1093">
        <v>2</v>
      </c>
      <c r="C143" s="1094">
        <v>100</v>
      </c>
      <c r="D143" s="1094"/>
      <c r="E143" s="1095"/>
      <c r="F143" s="1096">
        <v>100.5</v>
      </c>
      <c r="G143" s="1094"/>
      <c r="H143" s="1097"/>
      <c r="I143" s="2655" t="s">
        <v>2636</v>
      </c>
      <c r="J143" s="1094">
        <v>15</v>
      </c>
      <c r="K143" s="1099">
        <f>ROUND(100+(J143-J140)*K139*100,1)</f>
        <v>102</v>
      </c>
    </row>
    <row r="144" spans="1:17" ht="15">
      <c r="B144" s="1093">
        <v>1</v>
      </c>
      <c r="C144" s="1094">
        <v>98</v>
      </c>
      <c r="D144" s="2656" t="s">
        <v>2637</v>
      </c>
      <c r="E144" s="1095">
        <v>102</v>
      </c>
      <c r="F144" s="1101">
        <v>100</v>
      </c>
      <c r="G144" s="2656" t="s">
        <v>2637</v>
      </c>
      <c r="H144" s="1097">
        <v>105</v>
      </c>
      <c r="I144" s="2655" t="s">
        <v>2636</v>
      </c>
      <c r="J144" s="1094">
        <v>18</v>
      </c>
      <c r="K144" s="1099">
        <f>ROUND(100+(J144-J140)*K139*100,1)</f>
        <v>103.2</v>
      </c>
    </row>
    <row r="145" spans="2:11" ht="15.75" thickBot="1">
      <c r="B145" s="2657" t="s">
        <v>2638</v>
      </c>
      <c r="C145" s="1102">
        <f>ROUND(MAX(C139:C144)/MIN(C139:C144)-1,3)</f>
        <v>7.2999999999999995E-2</v>
      </c>
      <c r="D145" s="1103"/>
      <c r="E145" s="1103"/>
      <c r="F145" s="2658" t="s">
        <v>2639</v>
      </c>
      <c r="G145" s="2659"/>
      <c r="H145" s="2660"/>
      <c r="I145" s="2661" t="s">
        <v>2636</v>
      </c>
      <c r="J145" s="1104">
        <v>8</v>
      </c>
      <c r="K145" s="1105">
        <f>ROUND(100+(J145-J140)*K139*100,1)</f>
        <v>99.2</v>
      </c>
    </row>
    <row r="147" spans="2:11">
      <c r="B147" s="2642" t="s">
        <v>2640</v>
      </c>
    </row>
    <row r="148" spans="2:11">
      <c r="B148" s="264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587" t="s">
        <v>2642</v>
      </c>
      <c r="C1" s="1638" t="s">
        <v>2530</v>
      </c>
      <c r="D1" s="1625"/>
      <c r="E1" s="2662"/>
      <c r="F1" s="2589"/>
      <c r="G1" s="1635" t="s">
        <v>2643</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2327</v>
      </c>
      <c r="B2" s="1421" t="e">
        <f ca="1">IF(C2="——",ROUND(C49*D3/10000,0),ROUND(C49*D3/10000,0)-D2)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2329</v>
      </c>
      <c r="B3" s="610" t="e">
        <f ca="1">IF(C2="——",C49,ROUND(B2*10000/D3,0))</f>
        <v>#DIV/0!</v>
      </c>
      <c r="C3" s="401" t="s">
        <v>2644</v>
      </c>
      <c r="D3" s="400">
        <f>IF(D1="",'数据-汇总表'!E3,SUMIF('数据-汇总表'!$C19:$C33,D1,'数据-汇总表'!$E19:$E33))</f>
        <v>2634.21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2645</v>
      </c>
      <c r="B4" s="403"/>
      <c r="C4" s="3152" t="s">
        <v>2646</v>
      </c>
      <c r="D4" s="3153"/>
      <c r="E4" s="3154" t="s">
        <v>2647</v>
      </c>
      <c r="F4" s="3155"/>
      <c r="G4" s="3152" t="s">
        <v>2648</v>
      </c>
      <c r="H4" s="3153"/>
      <c r="I4" s="3152" t="s">
        <v>2649</v>
      </c>
      <c r="J4" s="3153"/>
      <c r="K4" s="611" t="s">
        <v>2650</v>
      </c>
      <c r="L4" s="1133"/>
      <c r="M4" s="1134"/>
      <c r="N4" s="1134"/>
      <c r="O4" s="1134"/>
      <c r="P4" s="3217" t="s">
        <v>2651</v>
      </c>
      <c r="Q4" s="3218"/>
      <c r="R4" s="3214" t="s">
        <v>2647</v>
      </c>
      <c r="S4" s="3215"/>
      <c r="T4" s="3214" t="s">
        <v>2648</v>
      </c>
      <c r="U4" s="3215"/>
      <c r="V4" s="3165" t="s">
        <v>2649</v>
      </c>
      <c r="W4" s="3165"/>
      <c r="X4" s="1817"/>
      <c r="Y4" s="3214" t="s">
        <v>2651</v>
      </c>
      <c r="Z4" s="3215"/>
      <c r="AA4" s="3213" t="s">
        <v>2647</v>
      </c>
      <c r="AB4" s="3165" t="s">
        <v>2648</v>
      </c>
      <c r="AC4" s="3213" t="s">
        <v>2649</v>
      </c>
    </row>
    <row r="5" spans="1:29" ht="15">
      <c r="A5" s="405"/>
      <c r="B5" s="406"/>
      <c r="C5" s="3142" t="s">
        <v>2542</v>
      </c>
      <c r="D5" s="3143"/>
      <c r="E5" s="3216" t="s">
        <v>2543</v>
      </c>
      <c r="F5" s="3141"/>
      <c r="G5" s="3142" t="s">
        <v>2544</v>
      </c>
      <c r="H5" s="3143"/>
      <c r="I5" s="3142" t="s">
        <v>2545</v>
      </c>
      <c r="J5" s="3143"/>
      <c r="K5" s="611"/>
      <c r="L5" s="1133"/>
      <c r="M5" s="1134"/>
      <c r="N5" s="1134"/>
      <c r="O5" s="1134"/>
      <c r="P5" s="3219"/>
      <c r="Q5" s="3159"/>
      <c r="R5" s="3138"/>
      <c r="S5" s="3139"/>
      <c r="T5" s="3138"/>
      <c r="U5" s="3139"/>
      <c r="V5" s="3165"/>
      <c r="W5" s="3165"/>
      <c r="X5" s="1817"/>
      <c r="Y5" s="3138"/>
      <c r="Z5" s="3139"/>
      <c r="AA5" s="3132"/>
      <c r="AB5" s="3165"/>
      <c r="AC5" s="3132"/>
    </row>
    <row r="6" spans="1:29" ht="15.75" thickBot="1">
      <c r="A6" s="407"/>
      <c r="B6" s="408"/>
      <c r="C6" s="3144" t="s">
        <v>2546</v>
      </c>
      <c r="D6" s="3145"/>
      <c r="E6" s="3146" t="s">
        <v>2546</v>
      </c>
      <c r="F6" s="3147"/>
      <c r="G6" s="3144" t="s">
        <v>2546</v>
      </c>
      <c r="H6" s="3145"/>
      <c r="I6" s="3144" t="s">
        <v>2546</v>
      </c>
      <c r="J6" s="3145"/>
      <c r="K6" s="611" t="s">
        <v>2547</v>
      </c>
      <c r="L6" s="1133"/>
      <c r="M6" s="1134"/>
      <c r="N6" s="1134"/>
      <c r="O6" s="1134"/>
      <c r="P6" s="3220"/>
      <c r="Q6" s="3161"/>
      <c r="R6" s="3138"/>
      <c r="S6" s="3139"/>
      <c r="T6" s="3162"/>
      <c r="U6" s="3163"/>
      <c r="V6" s="3165"/>
      <c r="W6" s="3165"/>
      <c r="X6" s="1817"/>
      <c r="Y6" s="3162"/>
      <c r="Z6" s="3163"/>
      <c r="AA6" s="3133"/>
      <c r="AB6" s="3165"/>
      <c r="AC6" s="3133"/>
    </row>
    <row r="7" spans="1:29" s="117" customFormat="1" ht="15.75" thickBot="1">
      <c r="A7" s="409" t="s">
        <v>2548</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34" t="s">
        <v>2549</v>
      </c>
      <c r="Q7" s="3167"/>
      <c r="R7" s="770" t="s">
        <v>17</v>
      </c>
      <c r="S7" s="771">
        <f t="shared" ref="S7:S15" si="0">F7</f>
        <v>0</v>
      </c>
      <c r="T7" s="770" t="s">
        <v>17</v>
      </c>
      <c r="U7" s="771">
        <f t="shared" ref="U7:U15" si="1">H7</f>
        <v>0</v>
      </c>
      <c r="V7" s="770" t="s">
        <v>17</v>
      </c>
      <c r="W7" s="771">
        <f t="shared" ref="W7:W15" si="2">J7</f>
        <v>0</v>
      </c>
      <c r="X7" s="772"/>
      <c r="Y7" s="3134" t="s">
        <v>2549</v>
      </c>
      <c r="Z7" s="3135"/>
      <c r="AA7" s="773" t="e">
        <f>D7/F7</f>
        <v>#DIV/0!</v>
      </c>
      <c r="AB7" s="773" t="e">
        <f>D7/H7</f>
        <v>#DIV/0!</v>
      </c>
      <c r="AC7" s="773" t="e">
        <f>D7/J7</f>
        <v>#DIV/0!</v>
      </c>
    </row>
    <row r="8" spans="1:29" s="117" customFormat="1" ht="15.75" thickBot="1">
      <c r="A8" s="409" t="s">
        <v>2550</v>
      </c>
      <c r="B8" s="410"/>
      <c r="C8" s="415" t="s">
        <v>2652</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34" t="s">
        <v>2552</v>
      </c>
      <c r="Q8" s="3135"/>
      <c r="R8" s="770" t="s">
        <v>17</v>
      </c>
      <c r="S8" s="771">
        <f t="shared" si="0"/>
        <v>0</v>
      </c>
      <c r="T8" s="770" t="s">
        <v>17</v>
      </c>
      <c r="U8" s="771">
        <f t="shared" si="1"/>
        <v>0</v>
      </c>
      <c r="V8" s="770" t="s">
        <v>17</v>
      </c>
      <c r="W8" s="771">
        <f t="shared" si="2"/>
        <v>0</v>
      </c>
      <c r="X8" s="772"/>
      <c r="Y8" s="3134" t="s">
        <v>2552</v>
      </c>
      <c r="Z8" s="3135"/>
      <c r="AA8" s="773" t="e">
        <f t="shared" ref="AA8:AA46" si="3">D8/F8</f>
        <v>#DIV/0!</v>
      </c>
      <c r="AB8" s="773" t="e">
        <f t="shared" ref="AB8:AB46" si="4">D8/H8</f>
        <v>#DIV/0!</v>
      </c>
      <c r="AC8" s="773" t="e">
        <f t="shared" ref="AC8:AC46" si="5">D8/J8</f>
        <v>#DIV/0!</v>
      </c>
    </row>
    <row r="9" spans="1:29" s="117" customFormat="1">
      <c r="A9" s="416" t="s">
        <v>2553</v>
      </c>
      <c r="B9" s="71" t="s">
        <v>2554</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48" t="s">
        <v>2555</v>
      </c>
      <c r="Q9" s="1799" t="str">
        <f t="shared" ref="Q9:Q15" si="6">B9</f>
        <v>用途</v>
      </c>
      <c r="R9" s="770" t="s">
        <v>17</v>
      </c>
      <c r="S9" s="771">
        <f t="shared" si="0"/>
        <v>100</v>
      </c>
      <c r="T9" s="770" t="s">
        <v>17</v>
      </c>
      <c r="U9" s="771">
        <f t="shared" si="1"/>
        <v>100</v>
      </c>
      <c r="V9" s="770" t="s">
        <v>17</v>
      </c>
      <c r="W9" s="771">
        <f t="shared" si="2"/>
        <v>100</v>
      </c>
      <c r="X9" s="772"/>
      <c r="Y9" s="3008" t="s">
        <v>2556</v>
      </c>
      <c r="Z9" s="55" t="str">
        <f t="shared" ref="Z9:Z15" si="7">Q9</f>
        <v>用途</v>
      </c>
      <c r="AA9" s="773">
        <f t="shared" si="3"/>
        <v>1</v>
      </c>
      <c r="AB9" s="773">
        <f t="shared" si="4"/>
        <v>1</v>
      </c>
      <c r="AC9" s="773">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48"/>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48"/>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48"/>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48"/>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48"/>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1" t="s">
        <v>2559</v>
      </c>
      <c r="B15" s="69" t="s">
        <v>2653</v>
      </c>
      <c r="C15" s="2608"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68" t="s">
        <v>2560</v>
      </c>
      <c r="Q15" s="1814" t="str">
        <f t="shared" si="6"/>
        <v>商业繁华度</v>
      </c>
      <c r="R15" s="774" t="s">
        <v>17</v>
      </c>
      <c r="S15" s="775">
        <f t="shared" si="0"/>
        <v>100</v>
      </c>
      <c r="T15" s="774" t="s">
        <v>17</v>
      </c>
      <c r="U15" s="775">
        <f t="shared" si="1"/>
        <v>100</v>
      </c>
      <c r="V15" s="774" t="s">
        <v>17</v>
      </c>
      <c r="W15" s="775">
        <f t="shared" si="2"/>
        <v>100</v>
      </c>
      <c r="X15" s="1817"/>
      <c r="Y15" s="3170" t="s">
        <v>2560</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69"/>
      <c r="Q16" s="1814"/>
      <c r="R16" s="774"/>
      <c r="S16" s="775"/>
      <c r="T16" s="774"/>
      <c r="U16" s="775"/>
      <c r="V16" s="774"/>
      <c r="W16" s="775"/>
      <c r="X16" s="1817"/>
      <c r="Y16" s="3171"/>
      <c r="Z16" s="1818"/>
      <c r="AA16" s="1815">
        <v>1</v>
      </c>
      <c r="AB16" s="1815">
        <v>1</v>
      </c>
      <c r="AC16" s="1815">
        <v>1</v>
      </c>
    </row>
    <row r="17" spans="1:29" ht="85.5">
      <c r="A17" s="429"/>
      <c r="B17" s="452" t="s">
        <v>2096</v>
      </c>
      <c r="C17" s="2612"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69"/>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69"/>
      <c r="Q18" s="1814"/>
      <c r="R18" s="774"/>
      <c r="S18" s="775"/>
      <c r="T18" s="774"/>
      <c r="U18" s="775"/>
      <c r="V18" s="774"/>
      <c r="W18" s="775"/>
      <c r="X18" s="1817"/>
      <c r="Y18" s="3171"/>
      <c r="Z18" s="1818"/>
      <c r="AA18" s="1815">
        <v>1</v>
      </c>
      <c r="AB18" s="1815">
        <v>1</v>
      </c>
      <c r="AC18" s="1815">
        <v>1</v>
      </c>
    </row>
    <row r="19" spans="1:29" ht="42.75">
      <c r="A19" s="429"/>
      <c r="B19" s="452" t="s">
        <v>2654</v>
      </c>
      <c r="C19" s="2612"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69"/>
      <c r="Q19" s="1814" t="str">
        <f>B19</f>
        <v>公共配套设施</v>
      </c>
      <c r="R19" s="774" t="s">
        <v>17</v>
      </c>
      <c r="S19" s="775">
        <f>F19</f>
        <v>100</v>
      </c>
      <c r="T19" s="774" t="s">
        <v>17</v>
      </c>
      <c r="U19" s="775">
        <f>H19</f>
        <v>100</v>
      </c>
      <c r="V19" s="774" t="s">
        <v>17</v>
      </c>
      <c r="W19" s="775">
        <f>J19</f>
        <v>100</v>
      </c>
      <c r="X19" s="1817"/>
      <c r="Y19" s="3171"/>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69"/>
      <c r="Q20" s="1814"/>
      <c r="R20" s="774"/>
      <c r="S20" s="775"/>
      <c r="T20" s="774"/>
      <c r="U20" s="775"/>
      <c r="V20" s="774"/>
      <c r="W20" s="775"/>
      <c r="X20" s="1817"/>
      <c r="Y20" s="3171"/>
      <c r="Z20" s="1818"/>
      <c r="AA20" s="1815">
        <v>1</v>
      </c>
      <c r="AB20" s="1815">
        <v>1</v>
      </c>
      <c r="AC20" s="1815">
        <v>1</v>
      </c>
    </row>
    <row r="21" spans="1:29" ht="28.5">
      <c r="A21" s="429"/>
      <c r="B21" s="1387" t="s">
        <v>2655</v>
      </c>
      <c r="C21" s="2612"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69"/>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69"/>
      <c r="Q22" s="1814"/>
      <c r="R22" s="774"/>
      <c r="S22" s="775"/>
      <c r="T22" s="774"/>
      <c r="U22" s="775"/>
      <c r="V22" s="774"/>
      <c r="W22" s="775"/>
      <c r="X22" s="1817"/>
      <c r="Y22" s="3171"/>
      <c r="Z22" s="1818"/>
      <c r="AA22" s="1815">
        <v>1</v>
      </c>
      <c r="AB22" s="1815">
        <v>1</v>
      </c>
      <c r="AC22" s="1815">
        <v>1</v>
      </c>
    </row>
    <row r="23" spans="1:29" ht="57">
      <c r="A23" s="429"/>
      <c r="B23" s="452" t="s">
        <v>2101</v>
      </c>
      <c r="C23" s="2669"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69"/>
      <c r="Q23" s="1814" t="str">
        <f>B23</f>
        <v>自然及人文环境</v>
      </c>
      <c r="R23" s="774" t="s">
        <v>17</v>
      </c>
      <c r="S23" s="775">
        <f>F23</f>
        <v>100</v>
      </c>
      <c r="T23" s="774" t="s">
        <v>17</v>
      </c>
      <c r="U23" s="775">
        <f>H23</f>
        <v>100</v>
      </c>
      <c r="V23" s="774" t="s">
        <v>17</v>
      </c>
      <c r="W23" s="775">
        <f>J23</f>
        <v>100</v>
      </c>
      <c r="X23" s="1817"/>
      <c r="Y23" s="3171"/>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69"/>
      <c r="Q24" s="1814"/>
      <c r="R24" s="774"/>
      <c r="S24" s="775"/>
      <c r="T24" s="774"/>
      <c r="U24" s="775"/>
      <c r="V24" s="774"/>
      <c r="W24" s="775"/>
      <c r="X24" s="1817"/>
      <c r="Y24" s="3171"/>
      <c r="Z24" s="1818"/>
      <c r="AA24" s="1815">
        <v>1</v>
      </c>
      <c r="AB24" s="1815">
        <v>1</v>
      </c>
      <c r="AC24" s="1815">
        <v>1</v>
      </c>
    </row>
    <row r="25" spans="1:29" ht="15">
      <c r="A25" s="429"/>
      <c r="B25" s="423" t="s">
        <v>2656</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69"/>
      <c r="Q25" s="1814" t="str">
        <f t="shared" ref="Q25:Q46" si="11">B25</f>
        <v>临街状况</v>
      </c>
      <c r="R25" s="774" t="s">
        <v>17</v>
      </c>
      <c r="S25" s="775">
        <f>F25</f>
        <v>100</v>
      </c>
      <c r="T25" s="774" t="s">
        <v>17</v>
      </c>
      <c r="U25" s="775">
        <f>H25</f>
        <v>100</v>
      </c>
      <c r="V25" s="774" t="s">
        <v>17</v>
      </c>
      <c r="W25" s="775">
        <f>J25</f>
        <v>100</v>
      </c>
      <c r="X25" s="1817"/>
      <c r="Y25" s="3171"/>
      <c r="Z25" s="1818" t="str">
        <f>Q25</f>
        <v>临街状况</v>
      </c>
      <c r="AA25" s="1815">
        <f t="shared" si="3"/>
        <v>1</v>
      </c>
      <c r="AB25" s="1815">
        <f t="shared" si="4"/>
        <v>1</v>
      </c>
      <c r="AC25" s="1815">
        <f t="shared" si="5"/>
        <v>1</v>
      </c>
    </row>
    <row r="26" spans="1:29" ht="15">
      <c r="A26" s="429"/>
      <c r="B26" s="1389" t="s">
        <v>2657</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69"/>
      <c r="Q26" s="1814" t="str">
        <f t="shared" si="11"/>
        <v>平面位置/可视性</v>
      </c>
      <c r="R26" s="774" t="s">
        <v>17</v>
      </c>
      <c r="S26" s="775">
        <f>F26</f>
        <v>100</v>
      </c>
      <c r="T26" s="774" t="s">
        <v>17</v>
      </c>
      <c r="U26" s="775">
        <f>H26</f>
        <v>100</v>
      </c>
      <c r="V26" s="774" t="s">
        <v>17</v>
      </c>
      <c r="W26" s="775">
        <f>J26</f>
        <v>100</v>
      </c>
      <c r="X26" s="1817"/>
      <c r="Y26" s="3171"/>
      <c r="Z26" s="1818" t="str">
        <f>Q26</f>
        <v>平面位置/可视性</v>
      </c>
      <c r="AA26" s="1815">
        <f t="shared" si="3"/>
        <v>1</v>
      </c>
      <c r="AB26" s="1815">
        <f t="shared" si="4"/>
        <v>1</v>
      </c>
      <c r="AC26" s="1815">
        <f t="shared" si="5"/>
        <v>1</v>
      </c>
    </row>
    <row r="27" spans="1:29" s="117" customFormat="1" ht="15">
      <c r="A27" s="432"/>
      <c r="B27" s="452" t="s">
        <v>2658</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69"/>
      <c r="Q27" s="1799" t="str">
        <f t="shared" si="11"/>
        <v>人流量</v>
      </c>
      <c r="R27" s="770" t="s">
        <v>17</v>
      </c>
      <c r="S27" s="771">
        <f>F27</f>
        <v>100</v>
      </c>
      <c r="T27" s="770" t="s">
        <v>17</v>
      </c>
      <c r="U27" s="771">
        <f>H27</f>
        <v>100</v>
      </c>
      <c r="V27" s="770" t="s">
        <v>17</v>
      </c>
      <c r="W27" s="771">
        <f>J27</f>
        <v>100</v>
      </c>
      <c r="X27" s="772"/>
      <c r="Y27" s="3171"/>
      <c r="Z27" s="55" t="str">
        <f>Q27</f>
        <v>人流量</v>
      </c>
      <c r="AA27" s="1815">
        <f>D27/F27</f>
        <v>1</v>
      </c>
      <c r="AB27" s="1815">
        <f>D27/H27</f>
        <v>1</v>
      </c>
      <c r="AC27" s="1815">
        <f>D27/J27</f>
        <v>1</v>
      </c>
    </row>
    <row r="28" spans="1:29" ht="15">
      <c r="A28" s="429"/>
      <c r="B28" s="423" t="s">
        <v>2659</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69"/>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71"/>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69"/>
      <c r="Q29" s="1814">
        <f t="shared" si="11"/>
        <v>111</v>
      </c>
      <c r="R29" s="774" t="s">
        <v>17</v>
      </c>
      <c r="S29" s="775">
        <f t="shared" si="12"/>
        <v>100</v>
      </c>
      <c r="T29" s="774" t="s">
        <v>17</v>
      </c>
      <c r="U29" s="775">
        <f t="shared" si="13"/>
        <v>100</v>
      </c>
      <c r="V29" s="774" t="s">
        <v>17</v>
      </c>
      <c r="W29" s="775">
        <f t="shared" si="14"/>
        <v>100</v>
      </c>
      <c r="X29" s="1817"/>
      <c r="Y29" s="3171"/>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69"/>
      <c r="Q30" s="1814">
        <f t="shared" si="11"/>
        <v>111</v>
      </c>
      <c r="R30" s="774" t="s">
        <v>17</v>
      </c>
      <c r="S30" s="775">
        <f t="shared" si="12"/>
        <v>100</v>
      </c>
      <c r="T30" s="774" t="s">
        <v>17</v>
      </c>
      <c r="U30" s="775">
        <f t="shared" si="13"/>
        <v>100</v>
      </c>
      <c r="V30" s="774" t="s">
        <v>17</v>
      </c>
      <c r="W30" s="775">
        <f t="shared" si="14"/>
        <v>100</v>
      </c>
      <c r="X30" s="1817"/>
      <c r="Y30" s="3171"/>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69"/>
      <c r="Q31" s="1814">
        <f t="shared" si="11"/>
        <v>111</v>
      </c>
      <c r="R31" s="774" t="s">
        <v>17</v>
      </c>
      <c r="S31" s="775">
        <f t="shared" si="12"/>
        <v>100</v>
      </c>
      <c r="T31" s="774" t="s">
        <v>17</v>
      </c>
      <c r="U31" s="775">
        <f t="shared" si="13"/>
        <v>100</v>
      </c>
      <c r="V31" s="774" t="s">
        <v>17</v>
      </c>
      <c r="W31" s="775">
        <f t="shared" si="14"/>
        <v>100</v>
      </c>
      <c r="X31" s="1817"/>
      <c r="Y31" s="3171"/>
      <c r="Z31" s="1818">
        <f t="shared" si="15"/>
        <v>111</v>
      </c>
      <c r="AA31" s="1815">
        <f t="shared" si="3"/>
        <v>1</v>
      </c>
      <c r="AB31" s="1815">
        <f t="shared" si="4"/>
        <v>1</v>
      </c>
      <c r="AC31" s="1815">
        <f t="shared" si="5"/>
        <v>1</v>
      </c>
    </row>
    <row r="32" spans="1:29" ht="15">
      <c r="A32" s="441" t="s">
        <v>2563</v>
      </c>
      <c r="B32" s="71" t="s">
        <v>2660</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72" t="s">
        <v>2565</v>
      </c>
      <c r="Q32" s="1814" t="str">
        <f t="shared" si="11"/>
        <v>商业类型</v>
      </c>
      <c r="R32" s="774" t="s">
        <v>17</v>
      </c>
      <c r="S32" s="775">
        <f t="shared" si="12"/>
        <v>100</v>
      </c>
      <c r="T32" s="774" t="s">
        <v>17</v>
      </c>
      <c r="U32" s="775">
        <f t="shared" si="13"/>
        <v>100</v>
      </c>
      <c r="V32" s="774" t="s">
        <v>17</v>
      </c>
      <c r="W32" s="775">
        <f t="shared" si="14"/>
        <v>100</v>
      </c>
      <c r="X32" s="1817"/>
      <c r="Y32" s="3175" t="s">
        <v>2565</v>
      </c>
      <c r="Z32" s="1818" t="str">
        <f t="shared" si="15"/>
        <v>商业类型</v>
      </c>
      <c r="AA32" s="1815">
        <f t="shared" si="3"/>
        <v>1</v>
      </c>
      <c r="AB32" s="1815">
        <f t="shared" si="4"/>
        <v>1</v>
      </c>
      <c r="AC32" s="1815">
        <f t="shared" si="5"/>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73"/>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5" t="e">
        <f t="shared" si="3"/>
        <v>#N/A</v>
      </c>
      <c r="AB33" s="1815" t="e">
        <f t="shared" si="4"/>
        <v>#N/A</v>
      </c>
      <c r="AC33" s="1815" t="e">
        <f t="shared" si="5"/>
        <v>#N/A</v>
      </c>
    </row>
    <row r="34" spans="1:29" ht="15">
      <c r="A34" s="473"/>
      <c r="B34" s="423" t="s">
        <v>2567</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73"/>
      <c r="Q34" s="1814" t="str">
        <f t="shared" si="11"/>
        <v>建筑结构</v>
      </c>
      <c r="R34" s="774" t="s">
        <v>17</v>
      </c>
      <c r="S34" s="775">
        <f t="shared" si="12"/>
        <v>100</v>
      </c>
      <c r="T34" s="774" t="s">
        <v>17</v>
      </c>
      <c r="U34" s="775">
        <f t="shared" si="13"/>
        <v>100</v>
      </c>
      <c r="V34" s="774" t="s">
        <v>17</v>
      </c>
      <c r="W34" s="775">
        <f t="shared" si="14"/>
        <v>100</v>
      </c>
      <c r="X34" s="1817"/>
      <c r="Y34" s="3175"/>
      <c r="Z34" s="1818" t="str">
        <f t="shared" si="15"/>
        <v>建筑结构</v>
      </c>
      <c r="AA34" s="1815">
        <f t="shared" si="3"/>
        <v>1</v>
      </c>
      <c r="AB34" s="1815">
        <f t="shared" si="4"/>
        <v>1</v>
      </c>
      <c r="AC34" s="1815">
        <f t="shared" si="5"/>
        <v>1</v>
      </c>
    </row>
    <row r="35" spans="1:29" ht="15">
      <c r="A35" s="473"/>
      <c r="B35" s="423" t="s">
        <v>2661</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73"/>
      <c r="Q35" s="1814" t="str">
        <f t="shared" si="11"/>
        <v>公共部分装修</v>
      </c>
      <c r="R35" s="774" t="s">
        <v>17</v>
      </c>
      <c r="S35" s="775">
        <f t="shared" si="12"/>
        <v>100</v>
      </c>
      <c r="T35" s="774" t="s">
        <v>17</v>
      </c>
      <c r="U35" s="775">
        <f t="shared" si="13"/>
        <v>100</v>
      </c>
      <c r="V35" s="774" t="s">
        <v>17</v>
      </c>
      <c r="W35" s="775">
        <f t="shared" si="14"/>
        <v>100</v>
      </c>
      <c r="X35" s="1817"/>
      <c r="Y35" s="3175"/>
      <c r="Z35" s="1818" t="str">
        <f t="shared" si="15"/>
        <v>公共部分装修</v>
      </c>
      <c r="AA35" s="1815">
        <f t="shared" si="3"/>
        <v>1</v>
      </c>
      <c r="AB35" s="1815">
        <f t="shared" si="4"/>
        <v>1</v>
      </c>
      <c r="AC35" s="1815">
        <f t="shared" si="5"/>
        <v>1</v>
      </c>
    </row>
    <row r="36" spans="1:29" ht="15">
      <c r="A36" s="473"/>
      <c r="B36" s="423" t="s">
        <v>2662</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73"/>
      <c r="Q36" s="1814" t="str">
        <f t="shared" si="11"/>
        <v>成新度</v>
      </c>
      <c r="R36" s="774" t="s">
        <v>17</v>
      </c>
      <c r="S36" s="775" t="e">
        <f t="shared" si="12"/>
        <v>#N/A</v>
      </c>
      <c r="T36" s="774" t="s">
        <v>17</v>
      </c>
      <c r="U36" s="775" t="e">
        <f t="shared" si="13"/>
        <v>#N/A</v>
      </c>
      <c r="V36" s="774" t="s">
        <v>17</v>
      </c>
      <c r="W36" s="775" t="e">
        <f t="shared" si="14"/>
        <v>#N/A</v>
      </c>
      <c r="X36" s="1817"/>
      <c r="Y36" s="3175"/>
      <c r="Z36" s="1818" t="str">
        <f t="shared" si="15"/>
        <v>成新度</v>
      </c>
      <c r="AA36" s="1815" t="e">
        <f t="shared" si="3"/>
        <v>#N/A</v>
      </c>
      <c r="AB36" s="1815" t="e">
        <f t="shared" si="4"/>
        <v>#N/A</v>
      </c>
      <c r="AC36" s="1815" t="e">
        <f t="shared" si="5"/>
        <v>#N/A</v>
      </c>
    </row>
    <row r="37" spans="1:29" s="117" customFormat="1" ht="15">
      <c r="A37" s="474"/>
      <c r="B37" s="423" t="s">
        <v>2663</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73"/>
      <c r="Q37" s="1799"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3"/>
      <c r="B38" s="423" t="s">
        <v>2664</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73" t="s">
        <v>2565</v>
      </c>
      <c r="Q38" s="1814" t="str">
        <f t="shared" si="11"/>
        <v>业态</v>
      </c>
      <c r="R38" s="774" t="s">
        <v>17</v>
      </c>
      <c r="S38" s="775">
        <f t="shared" si="12"/>
        <v>100</v>
      </c>
      <c r="T38" s="774" t="s">
        <v>17</v>
      </c>
      <c r="U38" s="775">
        <f t="shared" si="13"/>
        <v>100</v>
      </c>
      <c r="V38" s="774" t="s">
        <v>17</v>
      </c>
      <c r="W38" s="775">
        <f t="shared" si="14"/>
        <v>100</v>
      </c>
      <c r="X38" s="1817"/>
      <c r="Y38" s="3175" t="s">
        <v>2565</v>
      </c>
      <c r="Z38" s="1818" t="str">
        <f t="shared" si="15"/>
        <v>业态</v>
      </c>
      <c r="AA38" s="1815">
        <f t="shared" si="3"/>
        <v>1</v>
      </c>
      <c r="AB38" s="1815">
        <f t="shared" si="4"/>
        <v>1</v>
      </c>
      <c r="AC38" s="1815">
        <f t="shared" si="5"/>
        <v>1</v>
      </c>
    </row>
    <row r="39" spans="1:29" ht="15">
      <c r="A39" s="473"/>
      <c r="B39" s="423" t="s">
        <v>2665</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73"/>
      <c r="Q39" s="1814" t="str">
        <f t="shared" si="11"/>
        <v>层高</v>
      </c>
      <c r="R39" s="774" t="s">
        <v>17</v>
      </c>
      <c r="S39" s="775">
        <f t="shared" si="12"/>
        <v>100</v>
      </c>
      <c r="T39" s="774" t="s">
        <v>17</v>
      </c>
      <c r="U39" s="775">
        <f t="shared" si="13"/>
        <v>100</v>
      </c>
      <c r="V39" s="774" t="s">
        <v>17</v>
      </c>
      <c r="W39" s="775">
        <f t="shared" si="14"/>
        <v>100</v>
      </c>
      <c r="X39" s="1817"/>
      <c r="Y39" s="3175"/>
      <c r="Z39" s="1818" t="str">
        <f t="shared" si="15"/>
        <v>层高</v>
      </c>
      <c r="AA39" s="1815">
        <f t="shared" si="3"/>
        <v>1</v>
      </c>
      <c r="AB39" s="1815">
        <f t="shared" si="4"/>
        <v>1</v>
      </c>
      <c r="AC39" s="1815">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73"/>
      <c r="Q40" s="1814" t="str">
        <f t="shared" si="11"/>
        <v>单套建筑面积</v>
      </c>
      <c r="R40" s="774" t="s">
        <v>17</v>
      </c>
      <c r="S40" s="775">
        <f t="shared" si="12"/>
        <v>100</v>
      </c>
      <c r="T40" s="774" t="s">
        <v>17</v>
      </c>
      <c r="U40" s="775">
        <f t="shared" si="13"/>
        <v>100</v>
      </c>
      <c r="V40" s="774" t="s">
        <v>17</v>
      </c>
      <c r="W40" s="775">
        <f t="shared" si="14"/>
        <v>100</v>
      </c>
      <c r="X40" s="1817"/>
      <c r="Y40" s="3175"/>
      <c r="Z40" s="1818" t="str">
        <f t="shared" si="15"/>
        <v>单套建筑面积</v>
      </c>
      <c r="AA40" s="1815">
        <f t="shared" si="3"/>
        <v>1</v>
      </c>
      <c r="AB40" s="1815">
        <f t="shared" si="4"/>
        <v>1</v>
      </c>
      <c r="AC40" s="1815">
        <f t="shared" si="5"/>
        <v>1</v>
      </c>
    </row>
    <row r="41" spans="1:29" s="472" customFormat="1" ht="15">
      <c r="A41" s="469"/>
      <c r="B41" s="1816" t="s">
        <v>2667</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73"/>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5">
        <f t="shared" si="3"/>
        <v>1</v>
      </c>
      <c r="AB41" s="1815">
        <f t="shared" si="4"/>
        <v>1</v>
      </c>
      <c r="AC41" s="1815">
        <f t="shared" si="5"/>
        <v>1</v>
      </c>
    </row>
    <row r="42" spans="1:29" ht="15">
      <c r="A42" s="473"/>
      <c r="B42" s="423" t="s">
        <v>2668</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73"/>
      <c r="Q42" s="1814" t="str">
        <f t="shared" si="11"/>
        <v>内部装修</v>
      </c>
      <c r="R42" s="774" t="s">
        <v>17</v>
      </c>
      <c r="S42" s="775">
        <f t="shared" si="12"/>
        <v>100</v>
      </c>
      <c r="T42" s="774" t="s">
        <v>17</v>
      </c>
      <c r="U42" s="775">
        <f t="shared" si="13"/>
        <v>100</v>
      </c>
      <c r="V42" s="774" t="s">
        <v>17</v>
      </c>
      <c r="W42" s="775">
        <f t="shared" si="14"/>
        <v>100</v>
      </c>
      <c r="X42" s="1817"/>
      <c r="Y42" s="3175"/>
      <c r="Z42" s="1818" t="str">
        <f t="shared" si="15"/>
        <v>内部装修</v>
      </c>
      <c r="AA42" s="1815">
        <f t="shared" si="3"/>
        <v>1</v>
      </c>
      <c r="AB42" s="1815">
        <f t="shared" si="4"/>
        <v>1</v>
      </c>
      <c r="AC42" s="1815">
        <f t="shared" si="5"/>
        <v>1</v>
      </c>
    </row>
    <row r="43" spans="1:29" ht="15">
      <c r="A43" s="473"/>
      <c r="B43" s="423" t="s">
        <v>2576</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73"/>
      <c r="Q43" s="1814" t="str">
        <f t="shared" si="11"/>
        <v>内部装修维护情况</v>
      </c>
      <c r="R43" s="774" t="s">
        <v>17</v>
      </c>
      <c r="S43" s="775">
        <f t="shared" si="12"/>
        <v>100</v>
      </c>
      <c r="T43" s="774" t="s">
        <v>17</v>
      </c>
      <c r="U43" s="775">
        <f t="shared" si="13"/>
        <v>100</v>
      </c>
      <c r="V43" s="774" t="s">
        <v>17</v>
      </c>
      <c r="W43" s="775">
        <f t="shared" si="14"/>
        <v>100</v>
      </c>
      <c r="X43" s="1817"/>
      <c r="Y43" s="3175"/>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73"/>
      <c r="Q44" s="1799">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73"/>
      <c r="Q45" s="1814">
        <f t="shared" si="11"/>
        <v>111</v>
      </c>
      <c r="R45" s="774" t="s">
        <v>17</v>
      </c>
      <c r="S45" s="775">
        <f t="shared" si="12"/>
        <v>100</v>
      </c>
      <c r="T45" s="774" t="s">
        <v>17</v>
      </c>
      <c r="U45" s="775">
        <f t="shared" si="13"/>
        <v>100</v>
      </c>
      <c r="V45" s="774" t="s">
        <v>17</v>
      </c>
      <c r="W45" s="775">
        <f t="shared" si="14"/>
        <v>100</v>
      </c>
      <c r="X45" s="1817"/>
      <c r="Y45" s="3175"/>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74"/>
      <c r="Q46" s="1814">
        <f t="shared" si="11"/>
        <v>111</v>
      </c>
      <c r="R46" s="774" t="s">
        <v>17</v>
      </c>
      <c r="S46" s="775">
        <f t="shared" si="12"/>
        <v>100</v>
      </c>
      <c r="T46" s="774" t="s">
        <v>17</v>
      </c>
      <c r="U46" s="775">
        <f t="shared" si="13"/>
        <v>100</v>
      </c>
      <c r="V46" s="774" t="s">
        <v>17</v>
      </c>
      <c r="W46" s="775">
        <f t="shared" si="14"/>
        <v>100</v>
      </c>
      <c r="X46" s="1817"/>
      <c r="Y46" s="3176"/>
      <c r="Z46" s="1818">
        <f t="shared" si="15"/>
        <v>111</v>
      </c>
      <c r="AA46" s="1815">
        <f t="shared" si="3"/>
        <v>1</v>
      </c>
      <c r="AB46" s="1815">
        <f t="shared" si="4"/>
        <v>1</v>
      </c>
      <c r="AC46" s="1815">
        <f t="shared" si="5"/>
        <v>1</v>
      </c>
    </row>
    <row r="47" spans="1:29" ht="15">
      <c r="A47" s="480" t="s">
        <v>2577</v>
      </c>
      <c r="B47" s="481"/>
      <c r="C47" s="1410" t="s">
        <v>1</v>
      </c>
      <c r="D47" s="1411"/>
      <c r="E47" s="1412"/>
      <c r="F47" s="1413"/>
      <c r="G47" s="1414"/>
      <c r="H47" s="1415"/>
      <c r="I47" s="1412"/>
      <c r="J47" s="1415"/>
      <c r="K47" s="783"/>
      <c r="L47" s="1146"/>
      <c r="M47" s="1147"/>
      <c r="N47" s="1134"/>
      <c r="O47" s="1147"/>
      <c r="P47" s="3177" t="str">
        <f>A47</f>
        <v>成交单价（元/平方米）</v>
      </c>
      <c r="Q47" s="3177"/>
      <c r="R47" s="3165">
        <f>E47</f>
        <v>0</v>
      </c>
      <c r="S47" s="3165"/>
      <c r="T47" s="3165">
        <f>G47</f>
        <v>0</v>
      </c>
      <c r="U47" s="3165"/>
      <c r="V47" s="3165">
        <f>I47</f>
        <v>0</v>
      </c>
      <c r="W47" s="3165"/>
      <c r="X47" s="759"/>
      <c r="Y47" s="781"/>
      <c r="Z47" s="759"/>
      <c r="AA47" s="759"/>
      <c r="AB47" s="759"/>
      <c r="AC47" s="759"/>
    </row>
    <row r="48" spans="1:29" ht="15.75" thickBot="1">
      <c r="A48" s="487" t="s">
        <v>2669</v>
      </c>
      <c r="B48" s="488"/>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3" t="s">
        <v>2670</v>
      </c>
      <c r="B49" s="494"/>
      <c r="C49" s="1420" t="e">
        <f>R49</f>
        <v>#DIV/0!</v>
      </c>
      <c r="D49" s="1420"/>
      <c r="E49" s="1420"/>
      <c r="F49" s="1420"/>
      <c r="G49" s="1420"/>
      <c r="H49" s="1420"/>
      <c r="I49" s="1420"/>
      <c r="J49" s="1420"/>
      <c r="K49" s="785"/>
      <c r="L49" s="1146"/>
      <c r="M49" s="1147"/>
      <c r="N49" s="1134"/>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2671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2672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2673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2548</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2585</v>
      </c>
      <c r="B60" s="517"/>
      <c r="C60" s="518"/>
      <c r="D60" s="519"/>
      <c r="E60" s="519"/>
      <c r="F60" s="519"/>
      <c r="G60" s="519"/>
      <c r="H60" s="519"/>
      <c r="I60" s="519"/>
      <c r="J60" s="519"/>
      <c r="K60" s="519"/>
      <c r="L60" s="519"/>
      <c r="M60" s="520"/>
      <c r="N60" s="519"/>
      <c r="O60" s="520"/>
      <c r="P60" s="2633"/>
      <c r="Q60" s="505"/>
    </row>
    <row r="61" spans="1:29" s="117" customFormat="1" ht="15">
      <c r="A61" s="522" t="s">
        <v>2550</v>
      </c>
      <c r="B61" s="511"/>
      <c r="C61" s="523" t="s">
        <v>2652</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2588</v>
      </c>
      <c r="B63" s="529" t="s">
        <v>2554</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2655</v>
      </c>
      <c r="C82" s="661" t="s">
        <v>2675</v>
      </c>
      <c r="D82" s="661" t="s">
        <v>2676</v>
      </c>
      <c r="E82" s="661" t="s">
        <v>2677</v>
      </c>
      <c r="F82" s="661" t="s">
        <v>2678</v>
      </c>
      <c r="G82" s="661" t="s">
        <v>2679</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2680</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2563</v>
      </c>
      <c r="B100" s="529" t="s">
        <v>2681</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2613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2614</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2616</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2618</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2682</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2683</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2684</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2685</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2620</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36">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估价对象为北京市北京市海淀区白家疃尚峰园3号楼101号等17套房地产，为北京世纪正源房地产开发有限公司所有。根据，估价对象（分摊）出让国有建设用地使用权面积为0平方米，建筑面积为2634.21平方米。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2528</v>
      </c>
      <c r="B1" s="2674" t="s">
        <v>2702</v>
      </c>
      <c r="C1" s="1624" t="s">
        <v>2530</v>
      </c>
      <c r="D1" s="1625"/>
      <c r="E1" s="1634"/>
      <c r="F1" s="2589"/>
      <c r="G1" s="1635" t="s">
        <v>2643</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2327</v>
      </c>
      <c r="B2" s="1421" t="e">
        <f ca="1">IF(C2="——",ROUND(C43*D3/10000,0),ROUND(C43*D3/10000,0)-D2)</f>
        <v>#DIV/0!</v>
      </c>
      <c r="C2" s="2591"/>
      <c r="D2" s="1127"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2329</v>
      </c>
      <c r="B3" s="610" t="e">
        <f ca="1">IF(C2="——",C43,ROUND(B2*10000/D3,0))</f>
        <v>#DIV/0!</v>
      </c>
      <c r="C3" s="401" t="s">
        <v>2644</v>
      </c>
      <c r="D3" s="400">
        <f>IF(D1="",'数据-汇总表'!E3,SUMIF('数据-汇总表'!$C19:$C33,D1,'数据-汇总表'!$E19:$E33))</f>
        <v>2634.21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2645</v>
      </c>
      <c r="B4" s="403"/>
      <c r="C4" s="3152" t="s">
        <v>2646</v>
      </c>
      <c r="D4" s="3153"/>
      <c r="E4" s="3154" t="s">
        <v>2647</v>
      </c>
      <c r="F4" s="3155"/>
      <c r="G4" s="3152" t="s">
        <v>2648</v>
      </c>
      <c r="H4" s="3153"/>
      <c r="I4" s="3152" t="s">
        <v>2649</v>
      </c>
      <c r="J4" s="3153"/>
      <c r="K4" s="611" t="s">
        <v>2650</v>
      </c>
      <c r="L4" s="1133"/>
      <c r="M4" s="1134"/>
      <c r="N4" s="1134"/>
      <c r="O4" s="1134"/>
      <c r="P4" s="3217" t="s">
        <v>2651</v>
      </c>
      <c r="Q4" s="3218"/>
      <c r="R4" s="3214" t="s">
        <v>2647</v>
      </c>
      <c r="S4" s="3215"/>
      <c r="T4" s="3214" t="s">
        <v>2648</v>
      </c>
      <c r="U4" s="3215"/>
      <c r="V4" s="3165" t="s">
        <v>2649</v>
      </c>
      <c r="W4" s="3165"/>
      <c r="X4" s="1817"/>
      <c r="Y4" s="3214" t="s">
        <v>2651</v>
      </c>
      <c r="Z4" s="3215"/>
      <c r="AA4" s="3213" t="s">
        <v>2647</v>
      </c>
      <c r="AB4" s="3132" t="s">
        <v>2648</v>
      </c>
      <c r="AC4" s="3213" t="s">
        <v>2649</v>
      </c>
    </row>
    <row r="5" spans="1:29" ht="15">
      <c r="A5" s="405"/>
      <c r="B5" s="406"/>
      <c r="C5" s="3142" t="s">
        <v>2542</v>
      </c>
      <c r="D5" s="3143"/>
      <c r="E5" s="3216" t="s">
        <v>2543</v>
      </c>
      <c r="F5" s="3141"/>
      <c r="G5" s="3142" t="s">
        <v>2544</v>
      </c>
      <c r="H5" s="3143"/>
      <c r="I5" s="3142" t="s">
        <v>2545</v>
      </c>
      <c r="J5" s="3143"/>
      <c r="K5" s="611"/>
      <c r="L5" s="1133"/>
      <c r="M5" s="1134"/>
      <c r="N5" s="1134"/>
      <c r="O5" s="1134"/>
      <c r="P5" s="3219"/>
      <c r="Q5" s="3159"/>
      <c r="R5" s="3138"/>
      <c r="S5" s="3139"/>
      <c r="T5" s="3138"/>
      <c r="U5" s="3139"/>
      <c r="V5" s="3165"/>
      <c r="W5" s="3165"/>
      <c r="X5" s="1817"/>
      <c r="Y5" s="3138"/>
      <c r="Z5" s="3139"/>
      <c r="AA5" s="3132"/>
      <c r="AB5" s="3132"/>
      <c r="AC5" s="3132"/>
    </row>
    <row r="6" spans="1:29" ht="15.75" thickBot="1">
      <c r="A6" s="407"/>
      <c r="B6" s="408"/>
      <c r="C6" s="3144" t="s">
        <v>2546</v>
      </c>
      <c r="D6" s="3145"/>
      <c r="E6" s="3146" t="s">
        <v>2546</v>
      </c>
      <c r="F6" s="3147"/>
      <c r="G6" s="3144" t="s">
        <v>2546</v>
      </c>
      <c r="H6" s="3145"/>
      <c r="I6" s="3144" t="s">
        <v>2546</v>
      </c>
      <c r="J6" s="3145"/>
      <c r="K6" s="611" t="s">
        <v>2547</v>
      </c>
      <c r="L6" s="1133"/>
      <c r="M6" s="1134"/>
      <c r="N6" s="1134"/>
      <c r="O6" s="1134"/>
      <c r="P6" s="3220"/>
      <c r="Q6" s="3161"/>
      <c r="R6" s="3138"/>
      <c r="S6" s="3139"/>
      <c r="T6" s="3162"/>
      <c r="U6" s="3163"/>
      <c r="V6" s="3165"/>
      <c r="W6" s="3165"/>
      <c r="X6" s="1817"/>
      <c r="Y6" s="3162"/>
      <c r="Z6" s="3163"/>
      <c r="AA6" s="3133"/>
      <c r="AB6" s="3133"/>
      <c r="AC6" s="3133"/>
    </row>
    <row r="7" spans="1:29" s="117" customFormat="1" ht="15.75" thickBot="1">
      <c r="A7" s="409" t="s">
        <v>2548</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34" t="s">
        <v>2549</v>
      </c>
      <c r="Q7" s="3167"/>
      <c r="R7" s="770" t="s">
        <v>17</v>
      </c>
      <c r="S7" s="771">
        <f t="shared" ref="S7:S15" si="0">F7</f>
        <v>0</v>
      </c>
      <c r="T7" s="770" t="s">
        <v>17</v>
      </c>
      <c r="U7" s="771">
        <f t="shared" ref="U7:U15" si="1">H7</f>
        <v>0</v>
      </c>
      <c r="V7" s="770" t="s">
        <v>17</v>
      </c>
      <c r="W7" s="771">
        <f t="shared" ref="W7:W15" si="2">J7</f>
        <v>0</v>
      </c>
      <c r="X7" s="772"/>
      <c r="Y7" s="3134" t="s">
        <v>2549</v>
      </c>
      <c r="Z7" s="3135"/>
      <c r="AA7" s="773" t="e">
        <f>D7/F7</f>
        <v>#DIV/0!</v>
      </c>
      <c r="AB7" s="773" t="e">
        <f>D7/H7</f>
        <v>#DIV/0!</v>
      </c>
      <c r="AC7" s="773"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34" t="s">
        <v>2552</v>
      </c>
      <c r="Q8" s="3135"/>
      <c r="R8" s="770" t="s">
        <v>17</v>
      </c>
      <c r="S8" s="771">
        <f t="shared" si="0"/>
        <v>0</v>
      </c>
      <c r="T8" s="770" t="s">
        <v>17</v>
      </c>
      <c r="U8" s="771">
        <f t="shared" si="1"/>
        <v>0</v>
      </c>
      <c r="V8" s="770" t="s">
        <v>17</v>
      </c>
      <c r="W8" s="771">
        <f t="shared" si="2"/>
        <v>0</v>
      </c>
      <c r="X8" s="772"/>
      <c r="Y8" s="3134" t="s">
        <v>2552</v>
      </c>
      <c r="Z8" s="3135"/>
      <c r="AA8" s="773" t="e">
        <f t="shared" ref="AA8:AA40" si="3">D8/F8</f>
        <v>#DIV/0!</v>
      </c>
      <c r="AB8" s="773" t="e">
        <f t="shared" ref="AB8:AB40" si="4">D8/H8</f>
        <v>#DIV/0!</v>
      </c>
      <c r="AC8" s="773"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77" t="s">
        <v>2555</v>
      </c>
      <c r="Q9" s="1799" t="str">
        <f t="shared" ref="Q9:Q15" si="6">B9</f>
        <v>用途</v>
      </c>
      <c r="R9" s="770" t="s">
        <v>17</v>
      </c>
      <c r="S9" s="771">
        <f t="shared" si="0"/>
        <v>100</v>
      </c>
      <c r="T9" s="770" t="s">
        <v>17</v>
      </c>
      <c r="U9" s="771">
        <f t="shared" si="1"/>
        <v>100</v>
      </c>
      <c r="V9" s="770" t="s">
        <v>17</v>
      </c>
      <c r="W9" s="771">
        <f t="shared" si="2"/>
        <v>100</v>
      </c>
      <c r="X9" s="772"/>
      <c r="Y9" s="3008" t="s">
        <v>2556</v>
      </c>
      <c r="Z9" s="55" t="str">
        <f t="shared" ref="Z9:Z15" si="7">Q9</f>
        <v>用途</v>
      </c>
      <c r="AA9" s="773">
        <f t="shared" si="3"/>
        <v>1</v>
      </c>
      <c r="AB9" s="773">
        <f t="shared" si="4"/>
        <v>1</v>
      </c>
      <c r="AC9" s="773">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77"/>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77"/>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77"/>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77"/>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1" t="s">
        <v>2559</v>
      </c>
      <c r="B15" s="69" t="s">
        <v>2703</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70" t="s">
        <v>2560</v>
      </c>
      <c r="Q15" s="1814" t="str">
        <f t="shared" si="6"/>
        <v>产业集聚程度</v>
      </c>
      <c r="R15" s="774" t="s">
        <v>17</v>
      </c>
      <c r="S15" s="775">
        <f t="shared" si="0"/>
        <v>100</v>
      </c>
      <c r="T15" s="774" t="s">
        <v>17</v>
      </c>
      <c r="U15" s="775">
        <f t="shared" si="1"/>
        <v>100</v>
      </c>
      <c r="V15" s="774" t="s">
        <v>17</v>
      </c>
      <c r="W15" s="775">
        <f t="shared" si="2"/>
        <v>100</v>
      </c>
      <c r="X15" s="1817"/>
      <c r="Y15" s="3170" t="s">
        <v>2560</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71"/>
      <c r="Q16" s="1814"/>
      <c r="R16" s="774"/>
      <c r="S16" s="775"/>
      <c r="T16" s="774"/>
      <c r="U16" s="775"/>
      <c r="V16" s="774"/>
      <c r="W16" s="775"/>
      <c r="X16" s="1817"/>
      <c r="Y16" s="3171"/>
      <c r="Z16" s="1818"/>
      <c r="AA16" s="1815">
        <v>1</v>
      </c>
      <c r="AB16" s="1815">
        <v>1</v>
      </c>
      <c r="AC16" s="1815">
        <v>1</v>
      </c>
    </row>
    <row r="17" spans="1:29" ht="85.5">
      <c r="A17" s="429"/>
      <c r="B17" s="452" t="s">
        <v>2096</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71"/>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71"/>
      <c r="Q18" s="1814"/>
      <c r="R18" s="774"/>
      <c r="S18" s="775"/>
      <c r="T18" s="774"/>
      <c r="U18" s="775"/>
      <c r="V18" s="774"/>
      <c r="W18" s="775"/>
      <c r="X18" s="1817"/>
      <c r="Y18" s="3171"/>
      <c r="Z18" s="1818"/>
      <c r="AA18" s="1815">
        <v>1</v>
      </c>
      <c r="AB18" s="1815">
        <v>1</v>
      </c>
      <c r="AC18" s="1815">
        <v>1</v>
      </c>
    </row>
    <row r="19" spans="1:29" ht="42.75">
      <c r="A19" s="429"/>
      <c r="B19" s="452" t="s">
        <v>2688</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71"/>
      <c r="Q19" s="1814" t="str">
        <f>B19</f>
        <v>公共配套设施</v>
      </c>
      <c r="R19" s="774" t="s">
        <v>17</v>
      </c>
      <c r="S19" s="775">
        <f>F19</f>
        <v>100</v>
      </c>
      <c r="T19" s="774" t="s">
        <v>17</v>
      </c>
      <c r="U19" s="775">
        <f>H19</f>
        <v>100</v>
      </c>
      <c r="V19" s="774" t="s">
        <v>17</v>
      </c>
      <c r="W19" s="775">
        <f>J19</f>
        <v>100</v>
      </c>
      <c r="X19" s="1817"/>
      <c r="Y19" s="3171"/>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71"/>
      <c r="Q20" s="1814"/>
      <c r="R20" s="774"/>
      <c r="S20" s="775"/>
      <c r="T20" s="774"/>
      <c r="U20" s="775"/>
      <c r="V20" s="774"/>
      <c r="W20" s="775"/>
      <c r="X20" s="1817"/>
      <c r="Y20" s="3171"/>
      <c r="Z20" s="1818"/>
      <c r="AA20" s="1815">
        <v>1</v>
      </c>
      <c r="AB20" s="1815">
        <v>1</v>
      </c>
      <c r="AC20" s="1815">
        <v>1</v>
      </c>
    </row>
    <row r="21" spans="1:29" ht="28.5">
      <c r="A21" s="429"/>
      <c r="B21" s="1387" t="s">
        <v>2689</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71"/>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71"/>
      <c r="Q22" s="1814"/>
      <c r="R22" s="774"/>
      <c r="S22" s="775"/>
      <c r="T22" s="774"/>
      <c r="U22" s="775"/>
      <c r="V22" s="774"/>
      <c r="W22" s="775"/>
      <c r="X22" s="1817"/>
      <c r="Y22" s="3171"/>
      <c r="Z22" s="1818"/>
      <c r="AA22" s="1815">
        <v>1</v>
      </c>
      <c r="AB22" s="1815">
        <v>1</v>
      </c>
      <c r="AC22" s="1815">
        <v>1</v>
      </c>
    </row>
    <row r="23" spans="1:29" ht="71.25">
      <c r="A23" s="429"/>
      <c r="B23" s="452" t="s">
        <v>2690</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71"/>
      <c r="Q23" s="1814" t="str">
        <f>B23</f>
        <v>环境质量</v>
      </c>
      <c r="R23" s="774" t="s">
        <v>17</v>
      </c>
      <c r="S23" s="775">
        <f>F23</f>
        <v>100</v>
      </c>
      <c r="T23" s="774" t="s">
        <v>17</v>
      </c>
      <c r="U23" s="775">
        <f>H23</f>
        <v>100</v>
      </c>
      <c r="V23" s="774" t="s">
        <v>17</v>
      </c>
      <c r="W23" s="775">
        <f>J23</f>
        <v>100</v>
      </c>
      <c r="X23" s="1817"/>
      <c r="Y23" s="3171"/>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71"/>
      <c r="Q24" s="1814"/>
      <c r="R24" s="774"/>
      <c r="S24" s="775"/>
      <c r="T24" s="774"/>
      <c r="U24" s="775"/>
      <c r="V24" s="774"/>
      <c r="W24" s="775"/>
      <c r="X24" s="1817"/>
      <c r="Y24" s="3171"/>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71"/>
      <c r="Q25" s="1814">
        <f>B25</f>
        <v>111</v>
      </c>
      <c r="R25" s="774" t="s">
        <v>17</v>
      </c>
      <c r="S25" s="775">
        <f>F25</f>
        <v>100</v>
      </c>
      <c r="T25" s="774" t="s">
        <v>17</v>
      </c>
      <c r="U25" s="775">
        <f>H25</f>
        <v>100</v>
      </c>
      <c r="V25" s="774" t="s">
        <v>17</v>
      </c>
      <c r="W25" s="775">
        <f>J25</f>
        <v>100</v>
      </c>
      <c r="X25" s="1817"/>
      <c r="Y25" s="3171"/>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71"/>
      <c r="Q26" s="1814">
        <f t="shared" ref="Q26:Q40" si="11">B26</f>
        <v>111</v>
      </c>
      <c r="R26" s="774" t="s">
        <v>17</v>
      </c>
      <c r="S26" s="775">
        <f>F26</f>
        <v>100</v>
      </c>
      <c r="T26" s="774" t="s">
        <v>17</v>
      </c>
      <c r="U26" s="775">
        <f>H26</f>
        <v>100</v>
      </c>
      <c r="V26" s="774" t="s">
        <v>17</v>
      </c>
      <c r="W26" s="775">
        <f>J26</f>
        <v>100</v>
      </c>
      <c r="X26" s="1817"/>
      <c r="Y26" s="3171"/>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71"/>
      <c r="Q27" s="1799">
        <f t="shared" si="11"/>
        <v>111</v>
      </c>
      <c r="R27" s="770" t="s">
        <v>17</v>
      </c>
      <c r="S27" s="771">
        <f>F27</f>
        <v>100</v>
      </c>
      <c r="T27" s="770" t="s">
        <v>17</v>
      </c>
      <c r="U27" s="771">
        <f>H27</f>
        <v>100</v>
      </c>
      <c r="V27" s="770" t="s">
        <v>17</v>
      </c>
      <c r="W27" s="771">
        <f>J27</f>
        <v>100</v>
      </c>
      <c r="X27" s="772"/>
      <c r="Y27" s="3171"/>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71"/>
      <c r="Q28" s="1814">
        <f t="shared" si="11"/>
        <v>111</v>
      </c>
      <c r="R28" s="774" t="s">
        <v>17</v>
      </c>
      <c r="S28" s="775">
        <f t="shared" ref="S28:S40" si="12">F28</f>
        <v>100</v>
      </c>
      <c r="T28" s="774" t="s">
        <v>17</v>
      </c>
      <c r="U28" s="775">
        <f t="shared" ref="U28:U40" si="13">H28</f>
        <v>100</v>
      </c>
      <c r="V28" s="774" t="s">
        <v>17</v>
      </c>
      <c r="W28" s="775">
        <f t="shared" ref="W28:W40" si="14">J28</f>
        <v>100</v>
      </c>
      <c r="X28" s="1817"/>
      <c r="Y28" s="3171"/>
      <c r="Z28" s="1818">
        <f t="shared" ref="Z28:Z40" si="15">Q28</f>
        <v>111</v>
      </c>
      <c r="AA28" s="1815">
        <f t="shared" si="3"/>
        <v>1</v>
      </c>
      <c r="AB28" s="1815">
        <f t="shared" si="4"/>
        <v>1</v>
      </c>
      <c r="AC28" s="1815">
        <f t="shared" si="5"/>
        <v>1</v>
      </c>
    </row>
    <row r="29" spans="1:29" ht="15">
      <c r="A29" s="467" t="s">
        <v>2563</v>
      </c>
      <c r="B29" s="71" t="s">
        <v>2693</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24" t="s">
        <v>2565</v>
      </c>
      <c r="Q29" s="1814" t="str">
        <f t="shared" si="11"/>
        <v>建筑类型</v>
      </c>
      <c r="R29" s="774" t="s">
        <v>17</v>
      </c>
      <c r="S29" s="775">
        <f t="shared" si="12"/>
        <v>100</v>
      </c>
      <c r="T29" s="774" t="s">
        <v>17</v>
      </c>
      <c r="U29" s="775">
        <f t="shared" si="13"/>
        <v>100</v>
      </c>
      <c r="V29" s="774" t="s">
        <v>17</v>
      </c>
      <c r="W29" s="775">
        <f t="shared" si="14"/>
        <v>100</v>
      </c>
      <c r="X29" s="1817"/>
      <c r="Y29" s="3175" t="s">
        <v>2565</v>
      </c>
      <c r="Z29" s="1818" t="str">
        <f t="shared" si="15"/>
        <v>建筑类型</v>
      </c>
      <c r="AA29" s="1815">
        <f t="shared" si="3"/>
        <v>1</v>
      </c>
      <c r="AB29" s="1815">
        <f t="shared" si="4"/>
        <v>1</v>
      </c>
      <c r="AC29" s="1815">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5" t="e">
        <f t="shared" si="3"/>
        <v>#N/A</v>
      </c>
      <c r="AB30" s="1815" t="e">
        <f t="shared" si="4"/>
        <v>#N/A</v>
      </c>
      <c r="AC30" s="1815"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75"/>
      <c r="Q31" s="1814" t="str">
        <f t="shared" si="11"/>
        <v>建筑结构</v>
      </c>
      <c r="R31" s="774" t="s">
        <v>17</v>
      </c>
      <c r="S31" s="775">
        <f t="shared" si="12"/>
        <v>100</v>
      </c>
      <c r="T31" s="774" t="s">
        <v>17</v>
      </c>
      <c r="U31" s="775">
        <f t="shared" si="13"/>
        <v>100</v>
      </c>
      <c r="V31" s="774" t="s">
        <v>17</v>
      </c>
      <c r="W31" s="775">
        <f t="shared" si="14"/>
        <v>100</v>
      </c>
      <c r="X31" s="1817"/>
      <c r="Y31" s="3175"/>
      <c r="Z31" s="1818" t="str">
        <f t="shared" si="15"/>
        <v>建筑结构</v>
      </c>
      <c r="AA31" s="1815">
        <f t="shared" si="3"/>
        <v>1</v>
      </c>
      <c r="AB31" s="1815">
        <f t="shared" si="4"/>
        <v>1</v>
      </c>
      <c r="AC31" s="1815">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75"/>
      <c r="Q32" s="1814" t="str">
        <f t="shared" si="11"/>
        <v>公共部分装修</v>
      </c>
      <c r="R32" s="774" t="s">
        <v>17</v>
      </c>
      <c r="S32" s="775">
        <f t="shared" si="12"/>
        <v>100</v>
      </c>
      <c r="T32" s="774" t="s">
        <v>17</v>
      </c>
      <c r="U32" s="775">
        <f t="shared" si="13"/>
        <v>100</v>
      </c>
      <c r="V32" s="774" t="s">
        <v>17</v>
      </c>
      <c r="W32" s="775">
        <f t="shared" si="14"/>
        <v>100</v>
      </c>
      <c r="X32" s="1817"/>
      <c r="Y32" s="3175"/>
      <c r="Z32" s="1818" t="str">
        <f t="shared" si="15"/>
        <v>公共部分装修</v>
      </c>
      <c r="AA32" s="1815">
        <f t="shared" si="3"/>
        <v>1</v>
      </c>
      <c r="AB32" s="1815">
        <f t="shared" si="4"/>
        <v>1</v>
      </c>
      <c r="AC32" s="1815">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75"/>
      <c r="Q33" s="1814" t="str">
        <f t="shared" si="11"/>
        <v>成新度</v>
      </c>
      <c r="R33" s="774" t="s">
        <v>17</v>
      </c>
      <c r="S33" s="775" t="e">
        <f t="shared" si="12"/>
        <v>#N/A</v>
      </c>
      <c r="T33" s="774" t="s">
        <v>17</v>
      </c>
      <c r="U33" s="775" t="e">
        <f t="shared" si="13"/>
        <v>#N/A</v>
      </c>
      <c r="V33" s="774" t="s">
        <v>17</v>
      </c>
      <c r="W33" s="775" t="e">
        <f t="shared" si="14"/>
        <v>#N/A</v>
      </c>
      <c r="X33" s="1817"/>
      <c r="Y33" s="3175"/>
      <c r="Z33" s="1818" t="str">
        <f t="shared" si="15"/>
        <v>成新度</v>
      </c>
      <c r="AA33" s="1815" t="e">
        <f t="shared" si="3"/>
        <v>#N/A</v>
      </c>
      <c r="AB33" s="1815" t="e">
        <f t="shared" si="4"/>
        <v>#N/A</v>
      </c>
      <c r="AC33" s="1815"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75"/>
      <c r="Q34" s="1799"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75" t="s">
        <v>2565</v>
      </c>
      <c r="Q35" s="1814" t="str">
        <f t="shared" si="11"/>
        <v>市政基础设施</v>
      </c>
      <c r="R35" s="774" t="s">
        <v>17</v>
      </c>
      <c r="S35" s="775">
        <f t="shared" si="12"/>
        <v>100</v>
      </c>
      <c r="T35" s="774" t="s">
        <v>17</v>
      </c>
      <c r="U35" s="775">
        <f t="shared" si="13"/>
        <v>100</v>
      </c>
      <c r="V35" s="774" t="s">
        <v>17</v>
      </c>
      <c r="W35" s="775">
        <f t="shared" si="14"/>
        <v>100</v>
      </c>
      <c r="X35" s="1817"/>
      <c r="Y35" s="3175" t="s">
        <v>2565</v>
      </c>
      <c r="Z35" s="1818" t="str">
        <f t="shared" si="15"/>
        <v>市政基础设施</v>
      </c>
      <c r="AA35" s="1815">
        <f t="shared" si="3"/>
        <v>1</v>
      </c>
      <c r="AB35" s="1815">
        <f t="shared" si="4"/>
        <v>1</v>
      </c>
      <c r="AC35" s="1815">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75"/>
      <c r="Q36" s="1814" t="str">
        <f t="shared" si="11"/>
        <v>内部装修</v>
      </c>
      <c r="R36" s="774" t="s">
        <v>17</v>
      </c>
      <c r="S36" s="775">
        <f t="shared" si="12"/>
        <v>100</v>
      </c>
      <c r="T36" s="774" t="s">
        <v>17</v>
      </c>
      <c r="U36" s="775">
        <f t="shared" si="13"/>
        <v>100</v>
      </c>
      <c r="V36" s="774" t="s">
        <v>17</v>
      </c>
      <c r="W36" s="775">
        <f t="shared" si="14"/>
        <v>100</v>
      </c>
      <c r="X36" s="1817"/>
      <c r="Y36" s="3175"/>
      <c r="Z36" s="1818" t="str">
        <f t="shared" si="15"/>
        <v>内部装修</v>
      </c>
      <c r="AA36" s="1815">
        <f t="shared" si="3"/>
        <v>1</v>
      </c>
      <c r="AB36" s="1815">
        <f t="shared" si="4"/>
        <v>1</v>
      </c>
      <c r="AC36" s="1815">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75"/>
      <c r="Q37" s="1814" t="str">
        <f t="shared" si="11"/>
        <v>内部装修状况</v>
      </c>
      <c r="R37" s="774" t="s">
        <v>17</v>
      </c>
      <c r="S37" s="775">
        <f t="shared" si="12"/>
        <v>100</v>
      </c>
      <c r="T37" s="774" t="s">
        <v>17</v>
      </c>
      <c r="U37" s="775">
        <f t="shared" si="13"/>
        <v>100</v>
      </c>
      <c r="V37" s="774" t="s">
        <v>17</v>
      </c>
      <c r="W37" s="775">
        <f t="shared" si="14"/>
        <v>100</v>
      </c>
      <c r="X37" s="1817"/>
      <c r="Y37" s="3175"/>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75"/>
      <c r="Q39" s="1814">
        <f t="shared" si="11"/>
        <v>111</v>
      </c>
      <c r="R39" s="774" t="s">
        <v>17</v>
      </c>
      <c r="S39" s="775">
        <f t="shared" si="12"/>
        <v>100</v>
      </c>
      <c r="T39" s="774" t="s">
        <v>17</v>
      </c>
      <c r="U39" s="775">
        <f t="shared" si="13"/>
        <v>100</v>
      </c>
      <c r="V39" s="774" t="s">
        <v>17</v>
      </c>
      <c r="W39" s="775">
        <f t="shared" si="14"/>
        <v>100</v>
      </c>
      <c r="X39" s="1817"/>
      <c r="Y39" s="3175"/>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76"/>
      <c r="Q40" s="1814">
        <f t="shared" si="11"/>
        <v>111</v>
      </c>
      <c r="R40" s="774" t="s">
        <v>17</v>
      </c>
      <c r="S40" s="775">
        <f t="shared" si="12"/>
        <v>100</v>
      </c>
      <c r="T40" s="774" t="s">
        <v>17</v>
      </c>
      <c r="U40" s="775">
        <f t="shared" si="13"/>
        <v>100</v>
      </c>
      <c r="V40" s="774" t="s">
        <v>17</v>
      </c>
      <c r="W40" s="775">
        <f t="shared" si="14"/>
        <v>100</v>
      </c>
      <c r="X40" s="1817"/>
      <c r="Y40" s="3176"/>
      <c r="Z40" s="1818">
        <f t="shared" si="15"/>
        <v>111</v>
      </c>
      <c r="AA40" s="1815">
        <f t="shared" si="3"/>
        <v>1</v>
      </c>
      <c r="AB40" s="1815">
        <f t="shared" si="4"/>
        <v>1</v>
      </c>
      <c r="AC40" s="1815">
        <f t="shared" si="5"/>
        <v>1</v>
      </c>
    </row>
    <row r="41" spans="1:29" ht="15">
      <c r="A41" s="480" t="s">
        <v>2577</v>
      </c>
      <c r="B41" s="481"/>
      <c r="C41" s="1410" t="s">
        <v>1</v>
      </c>
      <c r="D41" s="1411"/>
      <c r="E41" s="1412"/>
      <c r="F41" s="1413"/>
      <c r="G41" s="1414"/>
      <c r="H41" s="1415"/>
      <c r="I41" s="1412"/>
      <c r="J41" s="1415"/>
      <c r="K41" s="783"/>
      <c r="L41" s="1146"/>
      <c r="M41" s="1147"/>
      <c r="N41" s="1134"/>
      <c r="O41" s="1147"/>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7" t="s">
        <v>2669</v>
      </c>
      <c r="B42" s="488"/>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3" t="s">
        <v>2670</v>
      </c>
      <c r="B43" s="494"/>
      <c r="C43" s="1420" t="e">
        <f>R43</f>
        <v>#DIV/0!</v>
      </c>
      <c r="D43" s="1420"/>
      <c r="E43" s="1420"/>
      <c r="F43" s="1420"/>
      <c r="G43" s="1420"/>
      <c r="H43" s="1420"/>
      <c r="I43" s="1420"/>
      <c r="J43" s="1420"/>
      <c r="K43" s="785"/>
      <c r="L43" s="1146"/>
      <c r="M43" s="1147"/>
      <c r="N43" s="1147"/>
      <c r="O43" s="1147"/>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4"/>
      <c r="Q51" s="505"/>
    </row>
    <row r="52" spans="1:17" s="509" customFormat="1" ht="15">
      <c r="A52" s="506" t="s">
        <v>2548</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2588</v>
      </c>
      <c r="B57" s="529" t="s">
        <v>2554</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2563</v>
      </c>
      <c r="B88" s="529" t="s">
        <v>2612</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2614</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2616</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2617</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2618</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2620</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2707</v>
      </c>
      <c r="B1" s="1623"/>
      <c r="C1" s="1624" t="s">
        <v>2530</v>
      </c>
      <c r="D1" s="1625"/>
      <c r="E1" s="1626"/>
      <c r="F1" s="2589"/>
      <c r="G1" s="1627" t="s">
        <v>2643</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2327</v>
      </c>
      <c r="B2" s="1421" t="e">
        <f ca="1">IF(C2="——",IF(B37="元/平方米",ROUND(C39*D3/10000,0),ROUND(F3*C39/10000,0)),IF(B37="元/平方米",ROUND(C39*D3/10000,0),ROUND(F3*C39/10000,0))-D2)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2329</v>
      </c>
      <c r="B3" s="610" t="e">
        <f ca="1">IF(AND(C2="——",B37="元/平方米"),C39,ROUND(B2*10000/D3,0))</f>
        <v>#DIV/0!</v>
      </c>
      <c r="C3" s="401" t="s">
        <v>2644</v>
      </c>
      <c r="D3" s="400">
        <f>SUMIF('数据-汇总表'!$C19:$C33,D1,'数据-汇总表'!$E19:$E33)</f>
        <v>0</v>
      </c>
      <c r="E3" s="401" t="s">
        <v>2708</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2645</v>
      </c>
      <c r="B4" s="403"/>
      <c r="C4" s="3152" t="s">
        <v>2646</v>
      </c>
      <c r="D4" s="3153"/>
      <c r="E4" s="3154" t="s">
        <v>2647</v>
      </c>
      <c r="F4" s="3155"/>
      <c r="G4" s="3152" t="s">
        <v>2648</v>
      </c>
      <c r="H4" s="3153"/>
      <c r="I4" s="3152" t="s">
        <v>2649</v>
      </c>
      <c r="J4" s="3153"/>
      <c r="K4" s="611" t="s">
        <v>2650</v>
      </c>
      <c r="L4" s="1133"/>
      <c r="M4" s="1134"/>
      <c r="N4" s="1134"/>
      <c r="O4" s="1134"/>
      <c r="P4" s="3217" t="s">
        <v>2651</v>
      </c>
      <c r="Q4" s="3218"/>
      <c r="R4" s="3214" t="s">
        <v>2647</v>
      </c>
      <c r="S4" s="3215"/>
      <c r="T4" s="3214" t="s">
        <v>2648</v>
      </c>
      <c r="U4" s="3215"/>
      <c r="V4" s="3165" t="s">
        <v>2649</v>
      </c>
      <c r="W4" s="3165"/>
      <c r="X4" s="1817"/>
      <c r="Y4" s="3214" t="s">
        <v>2651</v>
      </c>
      <c r="Z4" s="3215"/>
      <c r="AA4" s="3213" t="s">
        <v>2647</v>
      </c>
      <c r="AB4" s="3132" t="s">
        <v>2648</v>
      </c>
      <c r="AC4" s="3213" t="s">
        <v>2649</v>
      </c>
    </row>
    <row r="5" spans="1:29" ht="15">
      <c r="A5" s="405"/>
      <c r="B5" s="406"/>
      <c r="C5" s="3142" t="s">
        <v>2542</v>
      </c>
      <c r="D5" s="3143"/>
      <c r="E5" s="3216" t="s">
        <v>2543</v>
      </c>
      <c r="F5" s="3141"/>
      <c r="G5" s="3142" t="s">
        <v>2544</v>
      </c>
      <c r="H5" s="3143"/>
      <c r="I5" s="3142" t="s">
        <v>2545</v>
      </c>
      <c r="J5" s="3143"/>
      <c r="K5" s="611"/>
      <c r="L5" s="1133"/>
      <c r="M5" s="1134"/>
      <c r="N5" s="1134"/>
      <c r="O5" s="1134"/>
      <c r="P5" s="3219"/>
      <c r="Q5" s="3159"/>
      <c r="R5" s="3138"/>
      <c r="S5" s="3139"/>
      <c r="T5" s="3138"/>
      <c r="U5" s="3139"/>
      <c r="V5" s="3165"/>
      <c r="W5" s="3165"/>
      <c r="X5" s="1817"/>
      <c r="Y5" s="3138"/>
      <c r="Z5" s="3139"/>
      <c r="AA5" s="3132"/>
      <c r="AB5" s="3132"/>
      <c r="AC5" s="3132"/>
    </row>
    <row r="6" spans="1:29" ht="15.75" thickBot="1">
      <c r="A6" s="407"/>
      <c r="B6" s="408"/>
      <c r="C6" s="3144" t="s">
        <v>2546</v>
      </c>
      <c r="D6" s="3145"/>
      <c r="E6" s="3146" t="s">
        <v>2546</v>
      </c>
      <c r="F6" s="3147"/>
      <c r="G6" s="3144" t="s">
        <v>2546</v>
      </c>
      <c r="H6" s="3145"/>
      <c r="I6" s="3144" t="s">
        <v>2546</v>
      </c>
      <c r="J6" s="3145"/>
      <c r="K6" s="611" t="s">
        <v>2547</v>
      </c>
      <c r="L6" s="1133"/>
      <c r="M6" s="1134"/>
      <c r="N6" s="1134"/>
      <c r="O6" s="1134"/>
      <c r="P6" s="3220"/>
      <c r="Q6" s="3161"/>
      <c r="R6" s="3138"/>
      <c r="S6" s="3139"/>
      <c r="T6" s="3162"/>
      <c r="U6" s="3163"/>
      <c r="V6" s="3165"/>
      <c r="W6" s="3165"/>
      <c r="X6" s="1817"/>
      <c r="Y6" s="3162"/>
      <c r="Z6" s="3163"/>
      <c r="AA6" s="3133"/>
      <c r="AB6" s="3133"/>
      <c r="AC6" s="3133"/>
    </row>
    <row r="7" spans="1:29" s="117" customFormat="1" ht="15.75" thickBot="1">
      <c r="A7" s="409" t="s">
        <v>2548</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34" t="s">
        <v>2549</v>
      </c>
      <c r="Q7" s="3167"/>
      <c r="R7" s="770" t="s">
        <v>17</v>
      </c>
      <c r="S7" s="771">
        <f t="shared" ref="S7:S14" si="0">F7</f>
        <v>0</v>
      </c>
      <c r="T7" s="770" t="s">
        <v>17</v>
      </c>
      <c r="U7" s="771">
        <f t="shared" ref="U7:U14" si="1">H7</f>
        <v>0</v>
      </c>
      <c r="V7" s="770" t="s">
        <v>17</v>
      </c>
      <c r="W7" s="771">
        <f t="shared" ref="W7:W14" si="2">J7</f>
        <v>0</v>
      </c>
      <c r="X7" s="772"/>
      <c r="Y7" s="3134" t="s">
        <v>2549</v>
      </c>
      <c r="Z7" s="3135"/>
      <c r="AA7" s="773" t="e">
        <f>D7/F7</f>
        <v>#DIV/0!</v>
      </c>
      <c r="AB7" s="773" t="e">
        <f>D7/H7</f>
        <v>#DIV/0!</v>
      </c>
      <c r="AC7" s="773"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34" t="s">
        <v>2552</v>
      </c>
      <c r="Q8" s="3135"/>
      <c r="R8" s="770" t="s">
        <v>17</v>
      </c>
      <c r="S8" s="771">
        <f t="shared" si="0"/>
        <v>0</v>
      </c>
      <c r="T8" s="770" t="s">
        <v>17</v>
      </c>
      <c r="U8" s="771">
        <f t="shared" si="1"/>
        <v>0</v>
      </c>
      <c r="V8" s="770" t="s">
        <v>17</v>
      </c>
      <c r="W8" s="771">
        <f t="shared" si="2"/>
        <v>0</v>
      </c>
      <c r="X8" s="772"/>
      <c r="Y8" s="3134" t="s">
        <v>2552</v>
      </c>
      <c r="Z8" s="3135"/>
      <c r="AA8" s="773" t="e">
        <f t="shared" ref="AA8:AA36" si="3">D8/F8</f>
        <v>#DIV/0!</v>
      </c>
      <c r="AB8" s="773" t="e">
        <f t="shared" ref="AB8:AB36" si="4">D8/H8</f>
        <v>#DIV/0!</v>
      </c>
      <c r="AC8" s="773"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77" t="s">
        <v>2555</v>
      </c>
      <c r="Q9" s="1799" t="str">
        <f t="shared" ref="Q9:Q14" si="6">B9</f>
        <v>用途</v>
      </c>
      <c r="R9" s="770" t="s">
        <v>17</v>
      </c>
      <c r="S9" s="771">
        <f t="shared" si="0"/>
        <v>100</v>
      </c>
      <c r="T9" s="770" t="s">
        <v>17</v>
      </c>
      <c r="U9" s="771">
        <f t="shared" si="1"/>
        <v>100</v>
      </c>
      <c r="V9" s="770" t="s">
        <v>17</v>
      </c>
      <c r="W9" s="771">
        <f t="shared" si="2"/>
        <v>100</v>
      </c>
      <c r="X9" s="772"/>
      <c r="Y9" s="3008" t="s">
        <v>2556</v>
      </c>
      <c r="Z9" s="55" t="str">
        <f t="shared" ref="Z9:Z14" si="7">Q9</f>
        <v>用途</v>
      </c>
      <c r="AA9" s="773">
        <f t="shared" si="3"/>
        <v>1</v>
      </c>
      <c r="AB9" s="773">
        <f t="shared" si="4"/>
        <v>1</v>
      </c>
      <c r="AC9" s="773">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77"/>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77"/>
      <c r="Q11" s="1799">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77"/>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77"/>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2" t="s">
        <v>2559</v>
      </c>
      <c r="B14" s="630" t="s">
        <v>2709</v>
      </c>
      <c r="C14" s="2698"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70" t="s">
        <v>2560</v>
      </c>
      <c r="Q14" s="1814" t="str">
        <f t="shared" si="6"/>
        <v>交通便捷度</v>
      </c>
      <c r="R14" s="774" t="s">
        <v>17</v>
      </c>
      <c r="S14" s="775">
        <f t="shared" si="0"/>
        <v>100</v>
      </c>
      <c r="T14" s="774" t="s">
        <v>17</v>
      </c>
      <c r="U14" s="775">
        <f t="shared" si="1"/>
        <v>100</v>
      </c>
      <c r="V14" s="774" t="s">
        <v>17</v>
      </c>
      <c r="W14" s="775">
        <f t="shared" si="2"/>
        <v>100</v>
      </c>
      <c r="X14" s="1817"/>
      <c r="Y14" s="3170" t="s">
        <v>2560</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71"/>
      <c r="Q15" s="1814"/>
      <c r="R15" s="774"/>
      <c r="S15" s="775"/>
      <c r="T15" s="774"/>
      <c r="U15" s="775"/>
      <c r="V15" s="774"/>
      <c r="W15" s="775"/>
      <c r="X15" s="1817"/>
      <c r="Y15" s="3171"/>
      <c r="Z15" s="1818"/>
      <c r="AA15" s="1815">
        <v>1</v>
      </c>
      <c r="AB15" s="1815">
        <v>1</v>
      </c>
      <c r="AC15" s="1815">
        <v>1</v>
      </c>
    </row>
    <row r="16" spans="1:29" ht="42.75">
      <c r="A16" s="405"/>
      <c r="B16" s="632" t="s">
        <v>2688</v>
      </c>
      <c r="C16" s="2612"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71"/>
      <c r="Q16" s="1814" t="str">
        <f>B16</f>
        <v>公共配套设施</v>
      </c>
      <c r="R16" s="774" t="s">
        <v>17</v>
      </c>
      <c r="S16" s="775">
        <f>F16</f>
        <v>100</v>
      </c>
      <c r="T16" s="774" t="s">
        <v>17</v>
      </c>
      <c r="U16" s="775">
        <f>H16</f>
        <v>100</v>
      </c>
      <c r="V16" s="774" t="s">
        <v>17</v>
      </c>
      <c r="W16" s="775">
        <f>J16</f>
        <v>100</v>
      </c>
      <c r="X16" s="1817"/>
      <c r="Y16" s="3171"/>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71"/>
      <c r="Q17" s="1814"/>
      <c r="R17" s="774"/>
      <c r="S17" s="775"/>
      <c r="T17" s="774"/>
      <c r="U17" s="775"/>
      <c r="V17" s="774"/>
      <c r="W17" s="775"/>
      <c r="X17" s="1817"/>
      <c r="Y17" s="3171"/>
      <c r="Z17" s="1818"/>
      <c r="AA17" s="1815">
        <v>1</v>
      </c>
      <c r="AB17" s="1815">
        <v>1</v>
      </c>
      <c r="AC17" s="1815">
        <v>1</v>
      </c>
    </row>
    <row r="18" spans="1:29" ht="28.5">
      <c r="A18" s="405"/>
      <c r="B18" s="634" t="s">
        <v>2689</v>
      </c>
      <c r="C18" s="2612"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71"/>
      <c r="Q18" s="1814" t="str">
        <f>B18</f>
        <v>基础设施水平</v>
      </c>
      <c r="R18" s="774" t="s">
        <v>17</v>
      </c>
      <c r="S18" s="775">
        <f>F18</f>
        <v>100</v>
      </c>
      <c r="T18" s="774" t="s">
        <v>17</v>
      </c>
      <c r="U18" s="775">
        <f>H18</f>
        <v>100</v>
      </c>
      <c r="V18" s="774" t="s">
        <v>17</v>
      </c>
      <c r="W18" s="775">
        <f>J18</f>
        <v>100</v>
      </c>
      <c r="X18" s="1817"/>
      <c r="Y18" s="3171"/>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71"/>
      <c r="Q19" s="1814"/>
      <c r="R19" s="774"/>
      <c r="S19" s="775"/>
      <c r="T19" s="774"/>
      <c r="U19" s="775"/>
      <c r="V19" s="774"/>
      <c r="W19" s="775"/>
      <c r="X19" s="1817"/>
      <c r="Y19" s="3171"/>
      <c r="Z19" s="1818"/>
      <c r="AA19" s="1815">
        <v>1</v>
      </c>
      <c r="AB19" s="1815">
        <v>1</v>
      </c>
      <c r="AC19" s="1815">
        <v>1</v>
      </c>
    </row>
    <row r="20" spans="1:29" ht="57">
      <c r="A20" s="405"/>
      <c r="B20" s="632" t="s">
        <v>2710</v>
      </c>
      <c r="C20" s="2612"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71"/>
      <c r="Q20" s="1814" t="str">
        <f>B20</f>
        <v>自然及人文环境</v>
      </c>
      <c r="R20" s="774" t="s">
        <v>17</v>
      </c>
      <c r="S20" s="775">
        <f>F20</f>
        <v>100</v>
      </c>
      <c r="T20" s="774" t="s">
        <v>17</v>
      </c>
      <c r="U20" s="775">
        <f>H20</f>
        <v>100</v>
      </c>
      <c r="V20" s="774" t="s">
        <v>17</v>
      </c>
      <c r="W20" s="775">
        <f>J20</f>
        <v>100</v>
      </c>
      <c r="X20" s="1817"/>
      <c r="Y20" s="3171"/>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71"/>
      <c r="Q21" s="1814"/>
      <c r="R21" s="774"/>
      <c r="S21" s="775"/>
      <c r="T21" s="774"/>
      <c r="U21" s="775"/>
      <c r="V21" s="774"/>
      <c r="W21" s="775"/>
      <c r="X21" s="1817"/>
      <c r="Y21" s="3171"/>
      <c r="Z21" s="1818"/>
      <c r="AA21" s="1815">
        <v>1</v>
      </c>
      <c r="AB21" s="1815">
        <v>1</v>
      </c>
      <c r="AC21" s="1815">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71"/>
      <c r="Q22" s="1814" t="str">
        <f>B22</f>
        <v>楼层</v>
      </c>
      <c r="R22" s="774" t="s">
        <v>17</v>
      </c>
      <c r="S22" s="775">
        <f>F22</f>
        <v>100</v>
      </c>
      <c r="T22" s="774" t="s">
        <v>17</v>
      </c>
      <c r="U22" s="775">
        <f>H22</f>
        <v>100</v>
      </c>
      <c r="V22" s="774" t="s">
        <v>17</v>
      </c>
      <c r="W22" s="775">
        <f>J22</f>
        <v>100</v>
      </c>
      <c r="X22" s="1817"/>
      <c r="Y22" s="3171"/>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71"/>
      <c r="Q23" s="1814">
        <f>B23</f>
        <v>111</v>
      </c>
      <c r="R23" s="774" t="s">
        <v>17</v>
      </c>
      <c r="S23" s="775">
        <f>F23</f>
        <v>100</v>
      </c>
      <c r="T23" s="774" t="s">
        <v>17</v>
      </c>
      <c r="U23" s="775">
        <f>H23</f>
        <v>100</v>
      </c>
      <c r="V23" s="774" t="s">
        <v>17</v>
      </c>
      <c r="W23" s="775">
        <f>J23</f>
        <v>100</v>
      </c>
      <c r="X23" s="1817"/>
      <c r="Y23" s="3171"/>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71"/>
      <c r="Q24" s="1814">
        <f t="shared" ref="Q24:Q36" si="11">B24</f>
        <v>111</v>
      </c>
      <c r="R24" s="774" t="s">
        <v>17</v>
      </c>
      <c r="S24" s="775">
        <f>F24</f>
        <v>100</v>
      </c>
      <c r="T24" s="774" t="s">
        <v>17</v>
      </c>
      <c r="U24" s="775">
        <f>H24</f>
        <v>100</v>
      </c>
      <c r="V24" s="774" t="s">
        <v>17</v>
      </c>
      <c r="W24" s="775">
        <f>J24</f>
        <v>100</v>
      </c>
      <c r="X24" s="1817"/>
      <c r="Y24" s="3171"/>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71"/>
      <c r="Q25" s="1799">
        <f t="shared" si="11"/>
        <v>111</v>
      </c>
      <c r="R25" s="770" t="s">
        <v>17</v>
      </c>
      <c r="S25" s="771">
        <f>F25</f>
        <v>100</v>
      </c>
      <c r="T25" s="770" t="s">
        <v>17</v>
      </c>
      <c r="U25" s="771">
        <f>H25</f>
        <v>100</v>
      </c>
      <c r="V25" s="770" t="s">
        <v>17</v>
      </c>
      <c r="W25" s="771">
        <f>J25</f>
        <v>100</v>
      </c>
      <c r="X25" s="772"/>
      <c r="Y25" s="3171"/>
      <c r="Z25" s="55">
        <f>Q25</f>
        <v>111</v>
      </c>
      <c r="AA25" s="1815">
        <f>D25/F25</f>
        <v>1</v>
      </c>
      <c r="AB25" s="1815">
        <f>D25/H25</f>
        <v>1</v>
      </c>
      <c r="AC25" s="1815">
        <f>D25/J25</f>
        <v>1</v>
      </c>
    </row>
    <row r="26" spans="1:29" ht="15">
      <c r="A26" s="653" t="s">
        <v>2563</v>
      </c>
      <c r="B26" s="70" t="s">
        <v>2712</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24" t="s">
        <v>2565</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75" t="s">
        <v>2565</v>
      </c>
      <c r="Z26" s="1818" t="str">
        <f t="shared" ref="Z26:Z36" si="15">Q26</f>
        <v>配套类型</v>
      </c>
      <c r="AA26" s="1815">
        <f t="shared" si="3"/>
        <v>1</v>
      </c>
      <c r="AB26" s="1815">
        <f t="shared" si="4"/>
        <v>1</v>
      </c>
      <c r="AC26" s="1815">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5">
        <f t="shared" si="3"/>
        <v>1</v>
      </c>
      <c r="AB27" s="1815">
        <f t="shared" si="4"/>
        <v>1</v>
      </c>
      <c r="AC27" s="1815">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75"/>
      <c r="Q28" s="1814" t="str">
        <f t="shared" si="11"/>
        <v>公共部分装修</v>
      </c>
      <c r="R28" s="774" t="s">
        <v>17</v>
      </c>
      <c r="S28" s="775">
        <f t="shared" si="12"/>
        <v>100</v>
      </c>
      <c r="T28" s="774" t="s">
        <v>17</v>
      </c>
      <c r="U28" s="775">
        <f t="shared" si="13"/>
        <v>100</v>
      </c>
      <c r="V28" s="774" t="s">
        <v>17</v>
      </c>
      <c r="W28" s="775">
        <f t="shared" si="14"/>
        <v>100</v>
      </c>
      <c r="X28" s="1817"/>
      <c r="Y28" s="3175"/>
      <c r="Z28" s="1818" t="str">
        <f t="shared" si="15"/>
        <v>公共部分装修</v>
      </c>
      <c r="AA28" s="1815">
        <f t="shared" si="3"/>
        <v>1</v>
      </c>
      <c r="AB28" s="1815">
        <f t="shared" si="4"/>
        <v>1</v>
      </c>
      <c r="AC28" s="1815">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75"/>
      <c r="Q29" s="1814" t="str">
        <f t="shared" si="11"/>
        <v>成新率</v>
      </c>
      <c r="R29" s="774" t="s">
        <v>17</v>
      </c>
      <c r="S29" s="775" t="e">
        <f t="shared" si="12"/>
        <v>#N/A</v>
      </c>
      <c r="T29" s="774" t="s">
        <v>17</v>
      </c>
      <c r="U29" s="775" t="e">
        <f t="shared" si="13"/>
        <v>#N/A</v>
      </c>
      <c r="V29" s="774" t="s">
        <v>17</v>
      </c>
      <c r="W29" s="775" t="e">
        <f t="shared" si="14"/>
        <v>#N/A</v>
      </c>
      <c r="X29" s="1817"/>
      <c r="Y29" s="3175"/>
      <c r="Z29" s="1818" t="str">
        <f t="shared" si="15"/>
        <v>成新率</v>
      </c>
      <c r="AA29" s="1815" t="e">
        <f t="shared" si="3"/>
        <v>#N/A</v>
      </c>
      <c r="AB29" s="1815" t="e">
        <f t="shared" si="4"/>
        <v>#N/A</v>
      </c>
      <c r="AC29" s="1815"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75"/>
      <c r="Q30" s="1814" t="str">
        <f t="shared" si="11"/>
        <v>物业等级</v>
      </c>
      <c r="R30" s="774" t="s">
        <v>17</v>
      </c>
      <c r="S30" s="775">
        <f t="shared" si="12"/>
        <v>100</v>
      </c>
      <c r="T30" s="774" t="s">
        <v>17</v>
      </c>
      <c r="U30" s="775">
        <f t="shared" si="13"/>
        <v>100</v>
      </c>
      <c r="V30" s="774" t="s">
        <v>17</v>
      </c>
      <c r="W30" s="775">
        <f t="shared" si="14"/>
        <v>100</v>
      </c>
      <c r="X30" s="1817"/>
      <c r="Y30" s="3175"/>
      <c r="Z30" s="1818" t="str">
        <f t="shared" si="15"/>
        <v>物业等级</v>
      </c>
      <c r="AA30" s="1815">
        <f t="shared" si="3"/>
        <v>1</v>
      </c>
      <c r="AB30" s="1815">
        <f t="shared" si="4"/>
        <v>1</v>
      </c>
      <c r="AC30" s="1815">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75"/>
      <c r="Q31" s="1799"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75" t="s">
        <v>2565</v>
      </c>
      <c r="Q32" s="1814" t="str">
        <f t="shared" si="11"/>
        <v>车位类型</v>
      </c>
      <c r="R32" s="774" t="s">
        <v>17</v>
      </c>
      <c r="S32" s="775">
        <f t="shared" si="12"/>
        <v>100</v>
      </c>
      <c r="T32" s="774" t="s">
        <v>17</v>
      </c>
      <c r="U32" s="775">
        <f t="shared" si="13"/>
        <v>100</v>
      </c>
      <c r="V32" s="774" t="s">
        <v>17</v>
      </c>
      <c r="W32" s="775">
        <f t="shared" si="14"/>
        <v>100</v>
      </c>
      <c r="X32" s="1817"/>
      <c r="Y32" s="3175" t="s">
        <v>2565</v>
      </c>
      <c r="Z32" s="1818" t="str">
        <f t="shared" si="15"/>
        <v>车位类型</v>
      </c>
      <c r="AA32" s="1815">
        <f t="shared" si="3"/>
        <v>1</v>
      </c>
      <c r="AB32" s="1815">
        <f t="shared" si="4"/>
        <v>1</v>
      </c>
      <c r="AC32" s="1815">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75"/>
      <c r="Q33" s="1814" t="str">
        <f t="shared" si="11"/>
        <v>是否直接入户</v>
      </c>
      <c r="R33" s="774" t="s">
        <v>17</v>
      </c>
      <c r="S33" s="775">
        <f t="shared" si="12"/>
        <v>100</v>
      </c>
      <c r="T33" s="774" t="s">
        <v>17</v>
      </c>
      <c r="U33" s="775">
        <f t="shared" si="13"/>
        <v>100</v>
      </c>
      <c r="V33" s="774" t="s">
        <v>17</v>
      </c>
      <c r="W33" s="775">
        <f t="shared" si="14"/>
        <v>100</v>
      </c>
      <c r="X33" s="1817"/>
      <c r="Y33" s="3175"/>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75"/>
      <c r="Q34" s="1814">
        <f t="shared" si="11"/>
        <v>111</v>
      </c>
      <c r="R34" s="774" t="s">
        <v>17</v>
      </c>
      <c r="S34" s="775">
        <f t="shared" si="12"/>
        <v>100</v>
      </c>
      <c r="T34" s="774" t="s">
        <v>17</v>
      </c>
      <c r="U34" s="775">
        <f t="shared" si="13"/>
        <v>100</v>
      </c>
      <c r="V34" s="774" t="s">
        <v>17</v>
      </c>
      <c r="W34" s="775">
        <f t="shared" si="14"/>
        <v>100</v>
      </c>
      <c r="X34" s="1817"/>
      <c r="Y34" s="3175"/>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75"/>
      <c r="Q36" s="1814">
        <f t="shared" si="11"/>
        <v>111</v>
      </c>
      <c r="R36" s="774" t="s">
        <v>17</v>
      </c>
      <c r="S36" s="775">
        <f t="shared" si="12"/>
        <v>100</v>
      </c>
      <c r="T36" s="774" t="s">
        <v>17</v>
      </c>
      <c r="U36" s="775">
        <f t="shared" si="13"/>
        <v>100</v>
      </c>
      <c r="V36" s="774" t="s">
        <v>17</v>
      </c>
      <c r="W36" s="775">
        <f t="shared" si="14"/>
        <v>100</v>
      </c>
      <c r="X36" s="1817"/>
      <c r="Y36" s="3175"/>
      <c r="Z36" s="1818">
        <f t="shared" si="15"/>
        <v>111</v>
      </c>
      <c r="AA36" s="1815">
        <f t="shared" si="3"/>
        <v>1</v>
      </c>
      <c r="AB36" s="1815">
        <f t="shared" si="4"/>
        <v>1</v>
      </c>
      <c r="AC36" s="1815">
        <f t="shared" si="5"/>
        <v>1</v>
      </c>
    </row>
    <row r="37" spans="1:29" ht="15">
      <c r="A37" s="480" t="s">
        <v>2720</v>
      </c>
      <c r="B37" s="2700" t="s">
        <v>2721</v>
      </c>
      <c r="C37" s="1410" t="s">
        <v>1</v>
      </c>
      <c r="D37" s="1411"/>
      <c r="E37" s="1412"/>
      <c r="F37" s="1413"/>
      <c r="G37" s="1414"/>
      <c r="H37" s="1415"/>
      <c r="I37" s="1412"/>
      <c r="J37" s="1415"/>
      <c r="K37" s="620"/>
      <c r="L37" s="1146"/>
      <c r="M37" s="1147"/>
      <c r="N37" s="1134"/>
      <c r="O37" s="1147"/>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7" t="s">
        <v>2722</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3" t="s">
        <v>2723</v>
      </c>
      <c r="B39" s="494"/>
      <c r="C39" s="1420" t="e">
        <f>R39</f>
        <v>#DIV/0!</v>
      </c>
      <c r="D39" s="1420"/>
      <c r="E39" s="1420"/>
      <c r="F39" s="1420"/>
      <c r="G39" s="1420"/>
      <c r="H39" s="1420"/>
      <c r="I39" s="1420"/>
      <c r="J39" s="1420"/>
      <c r="K39" s="622"/>
      <c r="L39" s="1146"/>
      <c r="M39" s="1147"/>
      <c r="N39" s="1147"/>
      <c r="O39" s="1147"/>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2728</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2585</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2550</v>
      </c>
      <c r="B51" s="511"/>
      <c r="C51" s="523" t="s">
        <v>2652</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2588</v>
      </c>
      <c r="B53" s="529" t="s">
        <v>2554</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2603</v>
      </c>
      <c r="C65" s="579" t="s">
        <v>2597</v>
      </c>
      <c r="D65" s="579" t="s">
        <v>2598</v>
      </c>
      <c r="E65" s="579" t="s">
        <v>2599</v>
      </c>
      <c r="F65" s="579" t="s">
        <v>2600</v>
      </c>
      <c r="G65" s="579" t="s">
        <v>2601</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2689</v>
      </c>
      <c r="C67" s="661" t="s">
        <v>2675</v>
      </c>
      <c r="D67" s="661" t="s">
        <v>2676</v>
      </c>
      <c r="E67" s="661" t="s">
        <v>2677</v>
      </c>
      <c r="F67" s="661" t="s">
        <v>2678</v>
      </c>
      <c r="G67" s="661" t="s">
        <v>2679</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2609</v>
      </c>
      <c r="C69" s="579" t="s">
        <v>2597</v>
      </c>
      <c r="D69" s="579" t="s">
        <v>2598</v>
      </c>
      <c r="E69" s="579" t="s">
        <v>2599</v>
      </c>
      <c r="F69" s="579" t="s">
        <v>2600</v>
      </c>
      <c r="G69" s="579" t="s">
        <v>2601</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2729</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2563</v>
      </c>
      <c r="B79" s="529" t="s">
        <v>2730</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2731</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2616</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2733</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2735</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2736</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2707</v>
      </c>
      <c r="B1" s="1623"/>
      <c r="C1" s="1624" t="s">
        <v>2530</v>
      </c>
      <c r="D1" s="1625"/>
      <c r="E1" s="1634"/>
      <c r="F1" s="2589"/>
      <c r="G1" s="1635" t="s">
        <v>2643</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2327</v>
      </c>
      <c r="B2" s="1421" t="e">
        <f ca="1">IF(C2="——",ROUND(C37*D3/10000,0),ROUND(C37*D3/10000,0)-D2)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2329</v>
      </c>
      <c r="B3" s="610" t="e">
        <f ca="1">IF(C2="——",C37,ROUND(B2*10000/D3,0))</f>
        <v>#DIV/0!</v>
      </c>
      <c r="C3" s="401" t="s">
        <v>2644</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2645</v>
      </c>
      <c r="B4" s="403"/>
      <c r="C4" s="3152" t="s">
        <v>2646</v>
      </c>
      <c r="D4" s="3153"/>
      <c r="E4" s="3154" t="s">
        <v>2647</v>
      </c>
      <c r="F4" s="3155"/>
      <c r="G4" s="3152" t="s">
        <v>2648</v>
      </c>
      <c r="H4" s="3153"/>
      <c r="I4" s="3152" t="s">
        <v>2649</v>
      </c>
      <c r="J4" s="3153"/>
      <c r="K4" s="611" t="s">
        <v>2650</v>
      </c>
      <c r="L4" s="1133"/>
      <c r="M4" s="1134"/>
      <c r="N4" s="1134"/>
      <c r="O4" s="1134"/>
      <c r="P4" s="3217" t="s">
        <v>2651</v>
      </c>
      <c r="Q4" s="3218"/>
      <c r="R4" s="3214" t="s">
        <v>2647</v>
      </c>
      <c r="S4" s="3215"/>
      <c r="T4" s="3214" t="s">
        <v>2648</v>
      </c>
      <c r="U4" s="3215"/>
      <c r="V4" s="3165" t="s">
        <v>2649</v>
      </c>
      <c r="W4" s="3165"/>
      <c r="X4" s="1817"/>
      <c r="Y4" s="3214" t="s">
        <v>2651</v>
      </c>
      <c r="Z4" s="3215"/>
      <c r="AA4" s="3213" t="s">
        <v>2647</v>
      </c>
      <c r="AB4" s="3132" t="s">
        <v>2648</v>
      </c>
      <c r="AC4" s="3213" t="s">
        <v>2649</v>
      </c>
    </row>
    <row r="5" spans="1:29" ht="15">
      <c r="A5" s="405"/>
      <c r="B5" s="406"/>
      <c r="C5" s="3142" t="s">
        <v>2542</v>
      </c>
      <c r="D5" s="3143"/>
      <c r="E5" s="3216" t="s">
        <v>2543</v>
      </c>
      <c r="F5" s="3141"/>
      <c r="G5" s="3142" t="s">
        <v>2544</v>
      </c>
      <c r="H5" s="3143"/>
      <c r="I5" s="3142" t="s">
        <v>2545</v>
      </c>
      <c r="J5" s="3143"/>
      <c r="K5" s="611"/>
      <c r="L5" s="1133"/>
      <c r="M5" s="1134"/>
      <c r="N5" s="1134"/>
      <c r="O5" s="1134"/>
      <c r="P5" s="3219"/>
      <c r="Q5" s="3159"/>
      <c r="R5" s="3138"/>
      <c r="S5" s="3139"/>
      <c r="T5" s="3138"/>
      <c r="U5" s="3139"/>
      <c r="V5" s="3165"/>
      <c r="W5" s="3165"/>
      <c r="X5" s="1817"/>
      <c r="Y5" s="3138"/>
      <c r="Z5" s="3139"/>
      <c r="AA5" s="3132"/>
      <c r="AB5" s="3132"/>
      <c r="AC5" s="3132"/>
    </row>
    <row r="6" spans="1:29" ht="15.75" thickBot="1">
      <c r="A6" s="407"/>
      <c r="B6" s="408"/>
      <c r="C6" s="3144" t="s">
        <v>2546</v>
      </c>
      <c r="D6" s="3145"/>
      <c r="E6" s="3146" t="s">
        <v>2546</v>
      </c>
      <c r="F6" s="3147"/>
      <c r="G6" s="3144" t="s">
        <v>2546</v>
      </c>
      <c r="H6" s="3145"/>
      <c r="I6" s="3144" t="s">
        <v>2546</v>
      </c>
      <c r="J6" s="3145"/>
      <c r="K6" s="611" t="s">
        <v>2547</v>
      </c>
      <c r="L6" s="1133"/>
      <c r="M6" s="1134"/>
      <c r="N6" s="1134"/>
      <c r="O6" s="1134"/>
      <c r="P6" s="3220"/>
      <c r="Q6" s="3161"/>
      <c r="R6" s="3138"/>
      <c r="S6" s="3139"/>
      <c r="T6" s="3162"/>
      <c r="U6" s="3163"/>
      <c r="V6" s="3165"/>
      <c r="W6" s="3165"/>
      <c r="X6" s="1817"/>
      <c r="Y6" s="3162"/>
      <c r="Z6" s="3163"/>
      <c r="AA6" s="3133"/>
      <c r="AB6" s="3133"/>
      <c r="AC6" s="3133"/>
    </row>
    <row r="7" spans="1:29" s="117" customFormat="1" ht="15.75" thickBot="1">
      <c r="A7" s="409" t="s">
        <v>2548</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34" t="s">
        <v>2549</v>
      </c>
      <c r="Q7" s="3167"/>
      <c r="R7" s="770" t="s">
        <v>17</v>
      </c>
      <c r="S7" s="771">
        <f t="shared" ref="S7:S14" si="0">F7</f>
        <v>0</v>
      </c>
      <c r="T7" s="770" t="s">
        <v>17</v>
      </c>
      <c r="U7" s="771">
        <f t="shared" ref="U7:U14" si="1">H7</f>
        <v>0</v>
      </c>
      <c r="V7" s="770" t="s">
        <v>17</v>
      </c>
      <c r="W7" s="771">
        <f t="shared" ref="W7:W14" si="2">J7</f>
        <v>0</v>
      </c>
      <c r="X7" s="772"/>
      <c r="Y7" s="3134" t="s">
        <v>2549</v>
      </c>
      <c r="Z7" s="3135"/>
      <c r="AA7" s="773" t="e">
        <f>D7/F7</f>
        <v>#DIV/0!</v>
      </c>
      <c r="AB7" s="773" t="e">
        <f>D7/H7</f>
        <v>#DIV/0!</v>
      </c>
      <c r="AC7" s="773"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34" t="s">
        <v>2552</v>
      </c>
      <c r="Q8" s="3135"/>
      <c r="R8" s="770" t="s">
        <v>17</v>
      </c>
      <c r="S8" s="771">
        <f t="shared" si="0"/>
        <v>0</v>
      </c>
      <c r="T8" s="770" t="s">
        <v>17</v>
      </c>
      <c r="U8" s="771">
        <f t="shared" si="1"/>
        <v>0</v>
      </c>
      <c r="V8" s="770" t="s">
        <v>17</v>
      </c>
      <c r="W8" s="771">
        <f t="shared" si="2"/>
        <v>0</v>
      </c>
      <c r="X8" s="772"/>
      <c r="Y8" s="3134" t="s">
        <v>2552</v>
      </c>
      <c r="Z8" s="3135"/>
      <c r="AA8" s="773" t="e">
        <f t="shared" ref="AA8:AA34" si="3">D8/F8</f>
        <v>#DIV/0!</v>
      </c>
      <c r="AB8" s="773" t="e">
        <f t="shared" ref="AB8:AB34" si="4">D8/H8</f>
        <v>#DIV/0!</v>
      </c>
      <c r="AC8" s="773"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77" t="s">
        <v>2555</v>
      </c>
      <c r="Q9" s="1799" t="str">
        <f t="shared" ref="Q9:Q14" si="6">B9</f>
        <v>用途</v>
      </c>
      <c r="R9" s="770" t="s">
        <v>17</v>
      </c>
      <c r="S9" s="771">
        <f t="shared" si="0"/>
        <v>100</v>
      </c>
      <c r="T9" s="770" t="s">
        <v>17</v>
      </c>
      <c r="U9" s="771">
        <f t="shared" si="1"/>
        <v>100</v>
      </c>
      <c r="V9" s="770" t="s">
        <v>17</v>
      </c>
      <c r="W9" s="771">
        <f t="shared" si="2"/>
        <v>100</v>
      </c>
      <c r="X9" s="772"/>
      <c r="Y9" s="3008" t="s">
        <v>2556</v>
      </c>
      <c r="Z9" s="55" t="str">
        <f t="shared" ref="Z9:Z14" si="7">Q9</f>
        <v>用途</v>
      </c>
      <c r="AA9" s="773">
        <f t="shared" si="3"/>
        <v>1</v>
      </c>
      <c r="AB9" s="773">
        <f t="shared" si="4"/>
        <v>1</v>
      </c>
      <c r="AC9" s="773">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77"/>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77"/>
      <c r="Q11" s="1799">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77"/>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1" t="s">
        <v>2559</v>
      </c>
      <c r="B14" s="69" t="s">
        <v>2709</v>
      </c>
      <c r="C14" s="2698"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70" t="s">
        <v>2560</v>
      </c>
      <c r="Q14" s="1814" t="str">
        <f t="shared" si="6"/>
        <v>交通便捷度</v>
      </c>
      <c r="R14" s="774" t="s">
        <v>17</v>
      </c>
      <c r="S14" s="775">
        <f t="shared" si="0"/>
        <v>100</v>
      </c>
      <c r="T14" s="774" t="s">
        <v>17</v>
      </c>
      <c r="U14" s="775">
        <f t="shared" si="1"/>
        <v>100</v>
      </c>
      <c r="V14" s="774" t="s">
        <v>17</v>
      </c>
      <c r="W14" s="775">
        <f t="shared" si="2"/>
        <v>100</v>
      </c>
      <c r="X14" s="1817"/>
      <c r="Y14" s="3170" t="s">
        <v>2560</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71"/>
      <c r="Q15" s="1814"/>
      <c r="R15" s="774"/>
      <c r="S15" s="775"/>
      <c r="T15" s="774"/>
      <c r="U15" s="775"/>
      <c r="V15" s="774"/>
      <c r="W15" s="775"/>
      <c r="X15" s="1817"/>
      <c r="Y15" s="3171"/>
      <c r="Z15" s="1818"/>
      <c r="AA15" s="1815">
        <v>1</v>
      </c>
      <c r="AB15" s="1815">
        <v>1</v>
      </c>
      <c r="AC15" s="1815">
        <v>1</v>
      </c>
    </row>
    <row r="16" spans="1:29" ht="42.75">
      <c r="A16" s="429"/>
      <c r="B16" s="452" t="s">
        <v>2688</v>
      </c>
      <c r="C16" s="2612"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71"/>
      <c r="Q16" s="1814" t="str">
        <f>B16</f>
        <v>公共配套设施</v>
      </c>
      <c r="R16" s="774" t="s">
        <v>17</v>
      </c>
      <c r="S16" s="775">
        <f>F16</f>
        <v>100</v>
      </c>
      <c r="T16" s="774" t="s">
        <v>17</v>
      </c>
      <c r="U16" s="775">
        <f>H16</f>
        <v>100</v>
      </c>
      <c r="V16" s="774" t="s">
        <v>17</v>
      </c>
      <c r="W16" s="775">
        <f>J16</f>
        <v>100</v>
      </c>
      <c r="X16" s="1817"/>
      <c r="Y16" s="3171"/>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71"/>
      <c r="Q17" s="1814"/>
      <c r="R17" s="774"/>
      <c r="S17" s="775"/>
      <c r="T17" s="774"/>
      <c r="U17" s="775"/>
      <c r="V17" s="774"/>
      <c r="W17" s="775"/>
      <c r="X17" s="1817"/>
      <c r="Y17" s="3171"/>
      <c r="Z17" s="1818"/>
      <c r="AA17" s="1815">
        <v>1</v>
      </c>
      <c r="AB17" s="1815">
        <v>1</v>
      </c>
      <c r="AC17" s="1815">
        <v>1</v>
      </c>
    </row>
    <row r="18" spans="1:29" ht="28.5">
      <c r="A18" s="429"/>
      <c r="B18" s="1387" t="s">
        <v>2689</v>
      </c>
      <c r="C18" s="2612"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71"/>
      <c r="Q18" s="1814" t="str">
        <f>B18</f>
        <v>基础设施水平</v>
      </c>
      <c r="R18" s="774" t="s">
        <v>17</v>
      </c>
      <c r="S18" s="775">
        <f>F18</f>
        <v>100</v>
      </c>
      <c r="T18" s="774" t="s">
        <v>17</v>
      </c>
      <c r="U18" s="775">
        <f>H18</f>
        <v>100</v>
      </c>
      <c r="V18" s="774" t="s">
        <v>17</v>
      </c>
      <c r="W18" s="775">
        <f>J18</f>
        <v>100</v>
      </c>
      <c r="X18" s="1817"/>
      <c r="Y18" s="3171"/>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71"/>
      <c r="Q19" s="1814"/>
      <c r="R19" s="774"/>
      <c r="S19" s="775"/>
      <c r="T19" s="774"/>
      <c r="U19" s="775"/>
      <c r="V19" s="774"/>
      <c r="W19" s="775"/>
      <c r="X19" s="1817"/>
      <c r="Y19" s="3171"/>
      <c r="Z19" s="1818"/>
      <c r="AA19" s="1815">
        <v>1</v>
      </c>
      <c r="AB19" s="1815">
        <v>1</v>
      </c>
      <c r="AC19" s="1815">
        <v>1</v>
      </c>
    </row>
    <row r="20" spans="1:29" ht="57">
      <c r="A20" s="429"/>
      <c r="B20" s="452" t="s">
        <v>2710</v>
      </c>
      <c r="C20" s="2612"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71"/>
      <c r="Q20" s="1814" t="str">
        <f>B20</f>
        <v>自然及人文环境</v>
      </c>
      <c r="R20" s="774" t="s">
        <v>17</v>
      </c>
      <c r="S20" s="775">
        <f>F20</f>
        <v>100</v>
      </c>
      <c r="T20" s="774" t="s">
        <v>17</v>
      </c>
      <c r="U20" s="775">
        <f>H20</f>
        <v>100</v>
      </c>
      <c r="V20" s="774" t="s">
        <v>17</v>
      </c>
      <c r="W20" s="775">
        <f>J20</f>
        <v>100</v>
      </c>
      <c r="X20" s="1817"/>
      <c r="Y20" s="3171"/>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71"/>
      <c r="Q21" s="1814"/>
      <c r="R21" s="774"/>
      <c r="S21" s="775"/>
      <c r="T21" s="774"/>
      <c r="U21" s="775"/>
      <c r="V21" s="774"/>
      <c r="W21" s="775"/>
      <c r="X21" s="1817"/>
      <c r="Y21" s="3171"/>
      <c r="Z21" s="1818"/>
      <c r="AA21" s="1815">
        <v>1</v>
      </c>
      <c r="AB21" s="1815">
        <v>1</v>
      </c>
      <c r="AC21" s="1815">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71"/>
      <c r="Q22" s="1814" t="str">
        <f>B22</f>
        <v>楼层</v>
      </c>
      <c r="R22" s="774" t="s">
        <v>17</v>
      </c>
      <c r="S22" s="775">
        <f>F22</f>
        <v>100</v>
      </c>
      <c r="T22" s="774" t="s">
        <v>17</v>
      </c>
      <c r="U22" s="775">
        <f>H22</f>
        <v>100</v>
      </c>
      <c r="V22" s="774" t="s">
        <v>17</v>
      </c>
      <c r="W22" s="775">
        <f>J22</f>
        <v>100</v>
      </c>
      <c r="X22" s="1817"/>
      <c r="Y22" s="3171"/>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71"/>
      <c r="Q23" s="1814">
        <f>B23</f>
        <v>111</v>
      </c>
      <c r="R23" s="774" t="s">
        <v>17</v>
      </c>
      <c r="S23" s="775">
        <f>F23</f>
        <v>100</v>
      </c>
      <c r="T23" s="774" t="s">
        <v>17</v>
      </c>
      <c r="U23" s="775">
        <f>H23</f>
        <v>100</v>
      </c>
      <c r="V23" s="774" t="s">
        <v>17</v>
      </c>
      <c r="W23" s="775">
        <f>J23</f>
        <v>100</v>
      </c>
      <c r="X23" s="1817"/>
      <c r="Y23" s="3171"/>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71"/>
      <c r="Q24" s="1814">
        <f t="shared" ref="Q24:Q34" si="11">B24</f>
        <v>111</v>
      </c>
      <c r="R24" s="774" t="s">
        <v>17</v>
      </c>
      <c r="S24" s="775">
        <f>F24</f>
        <v>100</v>
      </c>
      <c r="T24" s="774" t="s">
        <v>17</v>
      </c>
      <c r="U24" s="775">
        <f>H24</f>
        <v>100</v>
      </c>
      <c r="V24" s="774" t="s">
        <v>17</v>
      </c>
      <c r="W24" s="775">
        <f>J24</f>
        <v>100</v>
      </c>
      <c r="X24" s="1817"/>
      <c r="Y24" s="3171"/>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71"/>
      <c r="Q25" s="1799">
        <f t="shared" si="11"/>
        <v>111</v>
      </c>
      <c r="R25" s="770" t="s">
        <v>17</v>
      </c>
      <c r="S25" s="771">
        <f>F25</f>
        <v>100</v>
      </c>
      <c r="T25" s="770" t="s">
        <v>17</v>
      </c>
      <c r="U25" s="771">
        <f>H25</f>
        <v>100</v>
      </c>
      <c r="V25" s="770" t="s">
        <v>17</v>
      </c>
      <c r="W25" s="771">
        <f>J25</f>
        <v>100</v>
      </c>
      <c r="X25" s="772"/>
      <c r="Y25" s="3171"/>
      <c r="Z25" s="55">
        <f>Q25</f>
        <v>111</v>
      </c>
      <c r="AA25" s="1815">
        <f>D25/F25</f>
        <v>1</v>
      </c>
      <c r="AB25" s="1815">
        <f>D25/H25</f>
        <v>1</v>
      </c>
      <c r="AC25" s="1815">
        <f>D25/J25</f>
        <v>1</v>
      </c>
    </row>
    <row r="26" spans="1:29" ht="15">
      <c r="A26" s="467" t="s">
        <v>2563</v>
      </c>
      <c r="B26" s="71" t="s">
        <v>2714</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24" t="s">
        <v>2565</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75" t="s">
        <v>2565</v>
      </c>
      <c r="Z26" s="1818" t="str">
        <f t="shared" ref="Z26:Z34" si="15">Q26</f>
        <v>公共部分装修</v>
      </c>
      <c r="AA26" s="1815">
        <f t="shared" si="3"/>
        <v>1</v>
      </c>
      <c r="AB26" s="1815">
        <f t="shared" si="4"/>
        <v>1</v>
      </c>
      <c r="AC26" s="1815">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5" t="e">
        <f t="shared" si="3"/>
        <v>#N/A</v>
      </c>
      <c r="AB27" s="1815" t="e">
        <f t="shared" si="4"/>
        <v>#N/A</v>
      </c>
      <c r="AC27" s="1815"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75"/>
      <c r="Q28" s="1814" t="str">
        <f t="shared" si="11"/>
        <v>物业等级</v>
      </c>
      <c r="R28" s="774" t="s">
        <v>17</v>
      </c>
      <c r="S28" s="775">
        <f t="shared" si="12"/>
        <v>100</v>
      </c>
      <c r="T28" s="774" t="s">
        <v>17</v>
      </c>
      <c r="U28" s="775">
        <f t="shared" si="13"/>
        <v>100</v>
      </c>
      <c r="V28" s="774" t="s">
        <v>17</v>
      </c>
      <c r="W28" s="775">
        <f t="shared" si="14"/>
        <v>100</v>
      </c>
      <c r="X28" s="1817"/>
      <c r="Y28" s="3175"/>
      <c r="Z28" s="1818" t="str">
        <f t="shared" si="15"/>
        <v>物业等级</v>
      </c>
      <c r="AA28" s="1815">
        <f t="shared" si="3"/>
        <v>1</v>
      </c>
      <c r="AB28" s="1815">
        <f t="shared" si="4"/>
        <v>1</v>
      </c>
      <c r="AC28" s="1815">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75"/>
      <c r="Q29" s="1814" t="str">
        <f t="shared" si="11"/>
        <v>有无电梯</v>
      </c>
      <c r="R29" s="774" t="s">
        <v>17</v>
      </c>
      <c r="S29" s="775">
        <f t="shared" si="12"/>
        <v>100</v>
      </c>
      <c r="T29" s="774" t="s">
        <v>17</v>
      </c>
      <c r="U29" s="775">
        <f t="shared" si="13"/>
        <v>100</v>
      </c>
      <c r="V29" s="774" t="s">
        <v>17</v>
      </c>
      <c r="W29" s="775">
        <f t="shared" si="14"/>
        <v>100</v>
      </c>
      <c r="X29" s="1817"/>
      <c r="Y29" s="3175"/>
      <c r="Z29" s="1818" t="str">
        <f t="shared" si="15"/>
        <v>有无电梯</v>
      </c>
      <c r="AA29" s="1815">
        <f t="shared" si="3"/>
        <v>1</v>
      </c>
      <c r="AB29" s="1815">
        <f t="shared" si="4"/>
        <v>1</v>
      </c>
      <c r="AC29" s="1815">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75"/>
      <c r="Q30" s="1814" t="str">
        <f t="shared" si="11"/>
        <v>建筑面积</v>
      </c>
      <c r="R30" s="774" t="s">
        <v>17</v>
      </c>
      <c r="S30" s="775" t="e">
        <f t="shared" si="12"/>
        <v>#N/A</v>
      </c>
      <c r="T30" s="774" t="s">
        <v>17</v>
      </c>
      <c r="U30" s="775" t="e">
        <f t="shared" si="13"/>
        <v>#N/A</v>
      </c>
      <c r="V30" s="774" t="s">
        <v>17</v>
      </c>
      <c r="W30" s="775" t="e">
        <f t="shared" si="14"/>
        <v>#N/A</v>
      </c>
      <c r="X30" s="1817"/>
      <c r="Y30" s="3175"/>
      <c r="Z30" s="1818" t="str">
        <f t="shared" si="15"/>
        <v>建筑面积</v>
      </c>
      <c r="AA30" s="1815" t="e">
        <f t="shared" si="3"/>
        <v>#N/A</v>
      </c>
      <c r="AB30" s="1815" t="e">
        <f t="shared" si="4"/>
        <v>#N/A</v>
      </c>
      <c r="AC30" s="1815"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75"/>
      <c r="Q31" s="1799"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75" t="s">
        <v>2565</v>
      </c>
      <c r="Q32" s="1814">
        <f t="shared" si="11"/>
        <v>111</v>
      </c>
      <c r="R32" s="774" t="s">
        <v>17</v>
      </c>
      <c r="S32" s="775">
        <f t="shared" si="12"/>
        <v>100</v>
      </c>
      <c r="T32" s="774" t="s">
        <v>17</v>
      </c>
      <c r="U32" s="775">
        <f t="shared" si="13"/>
        <v>100</v>
      </c>
      <c r="V32" s="774" t="s">
        <v>17</v>
      </c>
      <c r="W32" s="775">
        <f t="shared" si="14"/>
        <v>100</v>
      </c>
      <c r="X32" s="1817"/>
      <c r="Y32" s="3175" t="s">
        <v>2565</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75"/>
      <c r="Q33" s="1814">
        <f t="shared" si="11"/>
        <v>111</v>
      </c>
      <c r="R33" s="774" t="s">
        <v>17</v>
      </c>
      <c r="S33" s="775">
        <f t="shared" si="12"/>
        <v>100</v>
      </c>
      <c r="T33" s="774" t="s">
        <v>17</v>
      </c>
      <c r="U33" s="775">
        <f t="shared" si="13"/>
        <v>100</v>
      </c>
      <c r="V33" s="774" t="s">
        <v>17</v>
      </c>
      <c r="W33" s="775">
        <f t="shared" si="14"/>
        <v>100</v>
      </c>
      <c r="X33" s="1817"/>
      <c r="Y33" s="3175"/>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75"/>
      <c r="Q34" s="1814">
        <f t="shared" si="11"/>
        <v>111</v>
      </c>
      <c r="R34" s="774" t="s">
        <v>17</v>
      </c>
      <c r="S34" s="775">
        <f t="shared" si="12"/>
        <v>100</v>
      </c>
      <c r="T34" s="774" t="s">
        <v>17</v>
      </c>
      <c r="U34" s="775">
        <f t="shared" si="13"/>
        <v>100</v>
      </c>
      <c r="V34" s="774" t="s">
        <v>17</v>
      </c>
      <c r="W34" s="775">
        <f t="shared" si="14"/>
        <v>100</v>
      </c>
      <c r="X34" s="1817"/>
      <c r="Y34" s="3175"/>
      <c r="Z34" s="1818">
        <f t="shared" si="15"/>
        <v>111</v>
      </c>
      <c r="AA34" s="1815">
        <f t="shared" si="3"/>
        <v>1</v>
      </c>
      <c r="AB34" s="1815">
        <f t="shared" si="4"/>
        <v>1</v>
      </c>
      <c r="AC34" s="1815">
        <f t="shared" si="5"/>
        <v>1</v>
      </c>
    </row>
    <row r="35" spans="1:29" ht="15">
      <c r="A35" s="480" t="s">
        <v>2577</v>
      </c>
      <c r="B35" s="481"/>
      <c r="C35" s="1410" t="s">
        <v>1</v>
      </c>
      <c r="D35" s="1411"/>
      <c r="E35" s="1412"/>
      <c r="F35" s="1413"/>
      <c r="G35" s="1414"/>
      <c r="H35" s="1415"/>
      <c r="I35" s="1412"/>
      <c r="J35" s="1415"/>
      <c r="K35" s="783"/>
      <c r="L35" s="1146"/>
      <c r="M35" s="1147"/>
      <c r="N35" s="1134"/>
      <c r="O35" s="1147"/>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7" t="s">
        <v>2669</v>
      </c>
      <c r="B36" s="488"/>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3" t="s">
        <v>2670</v>
      </c>
      <c r="B37" s="494"/>
      <c r="C37" s="1420" t="e">
        <f>R37</f>
        <v>#DIV/0!</v>
      </c>
      <c r="D37" s="1420"/>
      <c r="E37" s="1420"/>
      <c r="F37" s="1420"/>
      <c r="G37" s="1420"/>
      <c r="H37" s="1420"/>
      <c r="I37" s="1420"/>
      <c r="J37" s="1420"/>
      <c r="K37" s="785"/>
      <c r="L37" s="1146"/>
      <c r="M37" s="1147"/>
      <c r="N37" s="1147"/>
      <c r="O37" s="1147"/>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4"/>
      <c r="Q45" s="505"/>
    </row>
    <row r="46" spans="1:29" s="509" customFormat="1" ht="15">
      <c r="A46" s="506" t="s">
        <v>2548</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2588</v>
      </c>
      <c r="B51" s="529" t="s">
        <v>2554</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2729</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2563</v>
      </c>
      <c r="B77" s="529" t="s">
        <v>2616</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2733</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2741</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2743</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2327</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2329</v>
      </c>
      <c r="B3" s="610" t="e">
        <f>ROUND(IF(D3="",B2*10000/'数据-汇总表'!E3,B2*10000/D3),0)</f>
        <v>#DIV/0!</v>
      </c>
      <c r="C3" s="248" t="s">
        <v>2746</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2645</v>
      </c>
      <c r="B4" s="403"/>
      <c r="C4" s="3152" t="s">
        <v>2646</v>
      </c>
      <c r="D4" s="3153"/>
      <c r="E4" s="3154" t="s">
        <v>2647</v>
      </c>
      <c r="F4" s="3155"/>
      <c r="G4" s="3152" t="s">
        <v>2648</v>
      </c>
      <c r="H4" s="3153"/>
      <c r="I4" s="3152" t="s">
        <v>2649</v>
      </c>
      <c r="J4" s="3153"/>
      <c r="K4" s="611" t="s">
        <v>2650</v>
      </c>
      <c r="L4" s="1133"/>
      <c r="M4" s="1134"/>
      <c r="N4" s="1134"/>
      <c r="O4" s="1134"/>
      <c r="P4" s="3217" t="s">
        <v>2651</v>
      </c>
      <c r="Q4" s="3218"/>
      <c r="R4" s="3214" t="s">
        <v>2647</v>
      </c>
      <c r="S4" s="3215"/>
      <c r="T4" s="3214" t="s">
        <v>2648</v>
      </c>
      <c r="U4" s="3215"/>
      <c r="V4" s="3165" t="s">
        <v>2649</v>
      </c>
      <c r="W4" s="3165"/>
      <c r="X4" s="1817"/>
      <c r="Y4" s="3214" t="s">
        <v>2651</v>
      </c>
      <c r="Z4" s="3215"/>
      <c r="AA4" s="3213" t="s">
        <v>2647</v>
      </c>
      <c r="AB4" s="3132" t="s">
        <v>2648</v>
      </c>
      <c r="AC4" s="3213" t="s">
        <v>2649</v>
      </c>
    </row>
    <row r="5" spans="1:30" ht="15">
      <c r="A5" s="405"/>
      <c r="B5" s="406"/>
      <c r="C5" s="3142" t="s">
        <v>2542</v>
      </c>
      <c r="D5" s="3143"/>
      <c r="E5" s="3216" t="s">
        <v>2543</v>
      </c>
      <c r="F5" s="3141"/>
      <c r="G5" s="3142" t="s">
        <v>2544</v>
      </c>
      <c r="H5" s="3143"/>
      <c r="I5" s="3142" t="s">
        <v>2545</v>
      </c>
      <c r="J5" s="3143"/>
      <c r="K5" s="611"/>
      <c r="L5" s="1133"/>
      <c r="M5" s="1134"/>
      <c r="N5" s="1134"/>
      <c r="O5" s="1134"/>
      <c r="P5" s="3219"/>
      <c r="Q5" s="3159"/>
      <c r="R5" s="3138"/>
      <c r="S5" s="3139"/>
      <c r="T5" s="3138"/>
      <c r="U5" s="3139"/>
      <c r="V5" s="3165"/>
      <c r="W5" s="3165"/>
      <c r="X5" s="1817"/>
      <c r="Y5" s="3138"/>
      <c r="Z5" s="3139"/>
      <c r="AA5" s="3132"/>
      <c r="AB5" s="3132"/>
      <c r="AC5" s="3132"/>
    </row>
    <row r="6" spans="1:30" ht="15.75" thickBot="1">
      <c r="A6" s="407"/>
      <c r="B6" s="408"/>
      <c r="C6" s="3144" t="s">
        <v>2546</v>
      </c>
      <c r="D6" s="3145"/>
      <c r="E6" s="3146" t="s">
        <v>2546</v>
      </c>
      <c r="F6" s="3147"/>
      <c r="G6" s="3144" t="s">
        <v>2546</v>
      </c>
      <c r="H6" s="3145"/>
      <c r="I6" s="3144" t="s">
        <v>2546</v>
      </c>
      <c r="J6" s="3145"/>
      <c r="K6" s="611" t="s">
        <v>2547</v>
      </c>
      <c r="L6" s="1133"/>
      <c r="M6" s="1134"/>
      <c r="N6" s="1134"/>
      <c r="O6" s="1134"/>
      <c r="P6" s="3220"/>
      <c r="Q6" s="3161"/>
      <c r="R6" s="3138"/>
      <c r="S6" s="3139"/>
      <c r="T6" s="3162"/>
      <c r="U6" s="3163"/>
      <c r="V6" s="3165"/>
      <c r="W6" s="3165"/>
      <c r="X6" s="1817"/>
      <c r="Y6" s="3162"/>
      <c r="Z6" s="3163"/>
      <c r="AA6" s="3133"/>
      <c r="AB6" s="3133"/>
      <c r="AC6" s="3133"/>
    </row>
    <row r="7" spans="1:30" s="117" customFormat="1" ht="15.75" thickBot="1">
      <c r="A7" s="409" t="s">
        <v>2548</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34" t="s">
        <v>2549</v>
      </c>
      <c r="Q7" s="3167"/>
      <c r="R7" s="770" t="s">
        <v>17</v>
      </c>
      <c r="S7" s="771">
        <f t="shared" ref="S7:S15" si="0">F7</f>
        <v>0</v>
      </c>
      <c r="T7" s="770" t="s">
        <v>17</v>
      </c>
      <c r="U7" s="771">
        <f t="shared" ref="U7:U15" si="1">H7</f>
        <v>0</v>
      </c>
      <c r="V7" s="770" t="s">
        <v>17</v>
      </c>
      <c r="W7" s="771">
        <f t="shared" ref="W7:W15" si="2">J7</f>
        <v>0</v>
      </c>
      <c r="X7" s="772"/>
      <c r="Y7" s="3134" t="s">
        <v>2549</v>
      </c>
      <c r="Z7" s="3135"/>
      <c r="AA7" s="773" t="e">
        <f>D7/F7</f>
        <v>#DIV/0!</v>
      </c>
      <c r="AB7" s="773" t="e">
        <f>D7/H7</f>
        <v>#DIV/0!</v>
      </c>
      <c r="AC7" s="773"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34" t="s">
        <v>2552</v>
      </c>
      <c r="Q8" s="3135"/>
      <c r="R8" s="770" t="s">
        <v>17</v>
      </c>
      <c r="S8" s="771">
        <f t="shared" si="0"/>
        <v>0</v>
      </c>
      <c r="T8" s="770" t="s">
        <v>17</v>
      </c>
      <c r="U8" s="771">
        <f t="shared" si="1"/>
        <v>0</v>
      </c>
      <c r="V8" s="770" t="s">
        <v>17</v>
      </c>
      <c r="W8" s="771">
        <f t="shared" si="2"/>
        <v>0</v>
      </c>
      <c r="X8" s="772"/>
      <c r="Y8" s="3134" t="s">
        <v>2552</v>
      </c>
      <c r="Z8" s="3135"/>
      <c r="AA8" s="773" t="e">
        <f t="shared" ref="AA8:AA45" si="3">D8/F8</f>
        <v>#DIV/0!</v>
      </c>
      <c r="AB8" s="773" t="e">
        <f t="shared" ref="AB8:AB45" si="4">D8/H8</f>
        <v>#DIV/0!</v>
      </c>
      <c r="AC8" s="773" t="e">
        <f t="shared" ref="AC8:AC45" si="5">D8/J8</f>
        <v>#DIV/0!</v>
      </c>
    </row>
    <row r="9" spans="1:30" s="117" customFormat="1">
      <c r="A9" s="416" t="s">
        <v>2553</v>
      </c>
      <c r="B9" s="71" t="s">
        <v>2554</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77" t="s">
        <v>2555</v>
      </c>
      <c r="Q9" s="1799" t="str">
        <f t="shared" ref="Q9:Q15" si="6">B9</f>
        <v>用途</v>
      </c>
      <c r="R9" s="770" t="s">
        <v>17</v>
      </c>
      <c r="S9" s="771">
        <f t="shared" si="0"/>
        <v>100</v>
      </c>
      <c r="T9" s="770" t="s">
        <v>17</v>
      </c>
      <c r="U9" s="771">
        <f t="shared" si="1"/>
        <v>100</v>
      </c>
      <c r="V9" s="770" t="s">
        <v>17</v>
      </c>
      <c r="W9" s="771">
        <f t="shared" si="2"/>
        <v>100</v>
      </c>
      <c r="X9" s="772"/>
      <c r="Y9" s="3008" t="s">
        <v>2556</v>
      </c>
      <c r="Z9" s="55" t="str">
        <f t="shared" ref="Z9:Z15" si="7">Q9</f>
        <v>用途</v>
      </c>
      <c r="AA9" s="773">
        <f t="shared" si="3"/>
        <v>1</v>
      </c>
      <c r="AB9" s="773">
        <f t="shared" si="4"/>
        <v>1</v>
      </c>
      <c r="AC9" s="773">
        <f t="shared" si="5"/>
        <v>1</v>
      </c>
    </row>
    <row r="10" spans="1:30" s="428" customFormat="1" ht="27">
      <c r="A10" s="422"/>
      <c r="B10" s="423" t="s">
        <v>2557</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77"/>
      <c r="Q10" s="1799" t="str">
        <f t="shared" si="6"/>
        <v>土地使用年限（年）</v>
      </c>
      <c r="R10" s="770" t="s">
        <v>17</v>
      </c>
      <c r="S10" s="771">
        <f t="shared" si="0"/>
        <v>109</v>
      </c>
      <c r="T10" s="770" t="s">
        <v>17</v>
      </c>
      <c r="U10" s="771">
        <f t="shared" si="1"/>
        <v>109</v>
      </c>
      <c r="V10" s="770" t="s">
        <v>17</v>
      </c>
      <c r="W10" s="771">
        <f t="shared" si="2"/>
        <v>109</v>
      </c>
      <c r="X10" s="772"/>
      <c r="Y10" s="3008"/>
      <c r="Z10" s="55" t="str">
        <f t="shared" si="7"/>
        <v>土地使用年限（年）</v>
      </c>
      <c r="AA10" s="773">
        <f t="shared" si="3"/>
        <v>0.91743119266055051</v>
      </c>
      <c r="AB10" s="773">
        <f t="shared" si="4"/>
        <v>0.91743119266055051</v>
      </c>
      <c r="AC10" s="773">
        <f t="shared" si="5"/>
        <v>0.91743119266055051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77"/>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2"/>
      <c r="B12" s="2605" t="s">
        <v>2747</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77"/>
      <c r="Q12" s="1799"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77"/>
      <c r="Q14" s="1799">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1" t="s">
        <v>2559</v>
      </c>
      <c r="B15" s="69" t="s">
        <v>2084</v>
      </c>
      <c r="C15" s="2608"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70" t="s">
        <v>2560</v>
      </c>
      <c r="Q15" s="1814" t="str">
        <f t="shared" si="6"/>
        <v>居住社区成熟度</v>
      </c>
      <c r="R15" s="774" t="s">
        <v>17</v>
      </c>
      <c r="S15" s="775">
        <f t="shared" si="0"/>
        <v>100</v>
      </c>
      <c r="T15" s="774" t="s">
        <v>17</v>
      </c>
      <c r="U15" s="775">
        <f t="shared" si="1"/>
        <v>100</v>
      </c>
      <c r="V15" s="774" t="s">
        <v>17</v>
      </c>
      <c r="W15" s="775">
        <f t="shared" si="2"/>
        <v>100</v>
      </c>
      <c r="X15" s="1817"/>
      <c r="Y15" s="3170" t="s">
        <v>2560</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71"/>
      <c r="Q16" s="1814"/>
      <c r="R16" s="774"/>
      <c r="S16" s="775"/>
      <c r="T16" s="774"/>
      <c r="U16" s="775"/>
      <c r="V16" s="774"/>
      <c r="W16" s="775"/>
      <c r="X16" s="1817"/>
      <c r="Y16" s="3171"/>
      <c r="Z16" s="1818"/>
      <c r="AA16" s="1815">
        <v>1</v>
      </c>
      <c r="AB16" s="1815">
        <v>1</v>
      </c>
      <c r="AC16" s="1815">
        <v>1</v>
      </c>
    </row>
    <row r="17" spans="1:29" ht="71.25">
      <c r="A17" s="429"/>
      <c r="B17" s="452" t="s">
        <v>2653</v>
      </c>
      <c r="C17" s="2669"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71"/>
      <c r="Q17" s="1814" t="str">
        <f>B17</f>
        <v>商业繁华度</v>
      </c>
      <c r="R17" s="774" t="s">
        <v>17</v>
      </c>
      <c r="S17" s="775">
        <f>F17</f>
        <v>100</v>
      </c>
      <c r="T17" s="774" t="s">
        <v>17</v>
      </c>
      <c r="U17" s="775">
        <f>H17</f>
        <v>100</v>
      </c>
      <c r="V17" s="774" t="s">
        <v>17</v>
      </c>
      <c r="W17" s="775">
        <f>J17</f>
        <v>100</v>
      </c>
      <c r="X17" s="1817"/>
      <c r="Y17" s="3171"/>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71"/>
      <c r="Q18" s="1814"/>
      <c r="R18" s="774"/>
      <c r="S18" s="775"/>
      <c r="T18" s="774"/>
      <c r="U18" s="775"/>
      <c r="V18" s="774"/>
      <c r="W18" s="775"/>
      <c r="X18" s="1817"/>
      <c r="Y18" s="3171"/>
      <c r="Z18" s="1818"/>
      <c r="AA18" s="1815">
        <v>1</v>
      </c>
      <c r="AB18" s="1815">
        <v>1</v>
      </c>
      <c r="AC18" s="1815">
        <v>1</v>
      </c>
    </row>
    <row r="19" spans="1:29" ht="71.25">
      <c r="A19" s="429"/>
      <c r="B19" s="452" t="s">
        <v>2687</v>
      </c>
      <c r="C19" s="2669"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71"/>
      <c r="Q19" s="1814" t="str">
        <f>B19</f>
        <v>办公集聚程度</v>
      </c>
      <c r="R19" s="774" t="s">
        <v>17</v>
      </c>
      <c r="S19" s="775">
        <f>F19</f>
        <v>100</v>
      </c>
      <c r="T19" s="774" t="s">
        <v>17</v>
      </c>
      <c r="U19" s="775">
        <f>H19</f>
        <v>100</v>
      </c>
      <c r="V19" s="774" t="s">
        <v>17</v>
      </c>
      <c r="W19" s="775">
        <f>J19</f>
        <v>100</v>
      </c>
      <c r="X19" s="1817"/>
      <c r="Y19" s="3171"/>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71"/>
      <c r="Q20" s="1814"/>
      <c r="R20" s="774"/>
      <c r="S20" s="775"/>
      <c r="T20" s="774"/>
      <c r="U20" s="775"/>
      <c r="V20" s="774"/>
      <c r="W20" s="775"/>
      <c r="X20" s="1817"/>
      <c r="Y20" s="3171"/>
      <c r="Z20" s="1818"/>
      <c r="AA20" s="1815">
        <v>1</v>
      </c>
      <c r="AB20" s="1815">
        <v>1</v>
      </c>
      <c r="AC20" s="1815">
        <v>1</v>
      </c>
    </row>
    <row r="21" spans="1:29" ht="85.5">
      <c r="A21" s="429"/>
      <c r="B21" s="452" t="s">
        <v>2709</v>
      </c>
      <c r="C21" s="2612"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71"/>
      <c r="Q21" s="1814" t="str">
        <f>B21</f>
        <v>交通便捷度</v>
      </c>
      <c r="R21" s="774" t="s">
        <v>17</v>
      </c>
      <c r="S21" s="775">
        <f>F21</f>
        <v>100</v>
      </c>
      <c r="T21" s="774" t="s">
        <v>17</v>
      </c>
      <c r="U21" s="775">
        <f>H21</f>
        <v>100</v>
      </c>
      <c r="V21" s="774" t="s">
        <v>17</v>
      </c>
      <c r="W21" s="775">
        <f>J21</f>
        <v>100</v>
      </c>
      <c r="X21" s="1817"/>
      <c r="Y21" s="3171"/>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71"/>
      <c r="Q22" s="1814"/>
      <c r="R22" s="774"/>
      <c r="S22" s="775"/>
      <c r="T22" s="774"/>
      <c r="U22" s="775"/>
      <c r="V22" s="774"/>
      <c r="W22" s="775"/>
      <c r="X22" s="1817"/>
      <c r="Y22" s="3171"/>
      <c r="Z22" s="1818"/>
      <c r="AA22" s="1815">
        <v>1</v>
      </c>
      <c r="AB22" s="1815">
        <v>1</v>
      </c>
      <c r="AC22" s="1815">
        <v>1</v>
      </c>
    </row>
    <row r="23" spans="1:29" ht="15">
      <c r="A23" s="405"/>
      <c r="B23" s="452" t="s">
        <v>2748</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71"/>
      <c r="Q23" s="1814" t="str">
        <f t="shared" ref="Q23:Q37" si="8">B23</f>
        <v>区域土地利用方向</v>
      </c>
      <c r="R23" s="774" t="s">
        <v>17</v>
      </c>
      <c r="S23" s="775">
        <f>F23</f>
        <v>100</v>
      </c>
      <c r="T23" s="774" t="s">
        <v>17</v>
      </c>
      <c r="U23" s="775">
        <f>H23</f>
        <v>100</v>
      </c>
      <c r="V23" s="774" t="s">
        <v>17</v>
      </c>
      <c r="W23" s="775">
        <f>J23</f>
        <v>100</v>
      </c>
      <c r="X23" s="1817"/>
      <c r="Y23" s="3171"/>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71"/>
      <c r="Q24" s="1814"/>
      <c r="R24" s="774"/>
      <c r="S24" s="775"/>
      <c r="T24" s="774"/>
      <c r="U24" s="775"/>
      <c r="V24" s="774"/>
      <c r="W24" s="775"/>
      <c r="X24" s="1817"/>
      <c r="Y24" s="3171"/>
      <c r="Z24" s="1818"/>
      <c r="AA24" s="1815"/>
      <c r="AB24" s="1815"/>
      <c r="AC24" s="1815"/>
    </row>
    <row r="25" spans="1:29" ht="57">
      <c r="A25" s="405"/>
      <c r="B25" s="1387" t="s">
        <v>2749</v>
      </c>
      <c r="C25" s="2669"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71"/>
      <c r="Q25" s="1814" t="str">
        <f t="shared" si="8"/>
        <v>自然及人文环境状况</v>
      </c>
      <c r="R25" s="774" t="s">
        <v>17</v>
      </c>
      <c r="S25" s="775">
        <f>F25</f>
        <v>100</v>
      </c>
      <c r="T25" s="774" t="s">
        <v>17</v>
      </c>
      <c r="U25" s="775">
        <f>H25</f>
        <v>100</v>
      </c>
      <c r="V25" s="774" t="s">
        <v>17</v>
      </c>
      <c r="W25" s="775">
        <f>J25</f>
        <v>100</v>
      </c>
      <c r="X25" s="1817"/>
      <c r="Y25" s="3171"/>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71"/>
      <c r="Q26" s="1814"/>
      <c r="R26" s="774"/>
      <c r="S26" s="775"/>
      <c r="T26" s="774"/>
      <c r="U26" s="775"/>
      <c r="V26" s="774"/>
      <c r="W26" s="775"/>
      <c r="X26" s="1817"/>
      <c r="Y26" s="3171"/>
      <c r="Z26" s="1818"/>
      <c r="AA26" s="1815">
        <v>1</v>
      </c>
      <c r="AB26" s="1815">
        <v>1</v>
      </c>
      <c r="AC26" s="1815">
        <v>1</v>
      </c>
    </row>
    <row r="27" spans="1:29" s="117" customFormat="1" ht="42.75">
      <c r="A27" s="650"/>
      <c r="B27" s="1387" t="s">
        <v>2654</v>
      </c>
      <c r="C27" s="2612"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71"/>
      <c r="Q27" s="1799" t="str">
        <f t="shared" si="8"/>
        <v>公共配套设施</v>
      </c>
      <c r="R27" s="770" t="s">
        <v>17</v>
      </c>
      <c r="S27" s="771">
        <f>F27</f>
        <v>100</v>
      </c>
      <c r="T27" s="770" t="s">
        <v>17</v>
      </c>
      <c r="U27" s="771">
        <f>H27</f>
        <v>100</v>
      </c>
      <c r="V27" s="770" t="s">
        <v>17</v>
      </c>
      <c r="W27" s="771">
        <f>J27</f>
        <v>100</v>
      </c>
      <c r="X27" s="772"/>
      <c r="Y27" s="3171"/>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71"/>
      <c r="Q28" s="1799"/>
      <c r="R28" s="770"/>
      <c r="S28" s="771"/>
      <c r="T28" s="770"/>
      <c r="U28" s="771"/>
      <c r="V28" s="770"/>
      <c r="W28" s="771"/>
      <c r="X28" s="772"/>
      <c r="Y28" s="3171"/>
      <c r="Z28" s="55"/>
      <c r="AA28" s="1815">
        <v>1</v>
      </c>
      <c r="AB28" s="1815">
        <v>1</v>
      </c>
      <c r="AC28" s="1815">
        <v>1</v>
      </c>
    </row>
    <row r="29" spans="1:29" s="117" customFormat="1" ht="28.5">
      <c r="A29" s="650"/>
      <c r="B29" s="1387" t="s">
        <v>2655</v>
      </c>
      <c r="C29" s="2612"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71"/>
      <c r="Q29" s="1799" t="str">
        <f t="shared" ref="Q29" si="9">B29</f>
        <v>基础设施水平</v>
      </c>
      <c r="R29" s="770" t="s">
        <v>17</v>
      </c>
      <c r="S29" s="771">
        <f>F29</f>
        <v>100</v>
      </c>
      <c r="T29" s="770" t="s">
        <v>17</v>
      </c>
      <c r="U29" s="771">
        <f>H29</f>
        <v>100</v>
      </c>
      <c r="V29" s="770" t="s">
        <v>17</v>
      </c>
      <c r="W29" s="771">
        <f>J29</f>
        <v>100</v>
      </c>
      <c r="X29" s="772"/>
      <c r="Y29" s="3171"/>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71"/>
      <c r="Q30" s="1799"/>
      <c r="R30" s="770"/>
      <c r="S30" s="771"/>
      <c r="T30" s="770"/>
      <c r="U30" s="771"/>
      <c r="V30" s="770"/>
      <c r="W30" s="771"/>
      <c r="X30" s="772"/>
      <c r="Y30" s="3171"/>
      <c r="Z30" s="55"/>
      <c r="AA30" s="1815">
        <v>1</v>
      </c>
      <c r="AB30" s="1815">
        <v>1</v>
      </c>
      <c r="AC30" s="1815">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71"/>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71"/>
      <c r="Z31" s="1818" t="str">
        <f t="shared" ref="Z31:Z45" si="13">Q31</f>
        <v>临街状况</v>
      </c>
      <c r="AA31" s="1815">
        <f t="shared" si="3"/>
        <v>1</v>
      </c>
      <c r="AB31" s="1815">
        <f t="shared" si="4"/>
        <v>1</v>
      </c>
      <c r="AC31" s="1815">
        <f t="shared" si="5"/>
        <v>1</v>
      </c>
    </row>
    <row r="32" spans="1:29" ht="27">
      <c r="A32" s="429"/>
      <c r="B32" s="1387"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71"/>
      <c r="Q32" s="1814" t="str">
        <f t="shared" si="8"/>
        <v>毗邻道路的类型与等级</v>
      </c>
      <c r="R32" s="774" t="s">
        <v>17</v>
      </c>
      <c r="S32" s="775">
        <f t="shared" si="10"/>
        <v>100</v>
      </c>
      <c r="T32" s="774" t="s">
        <v>17</v>
      </c>
      <c r="U32" s="775">
        <f t="shared" si="11"/>
        <v>100</v>
      </c>
      <c r="V32" s="774" t="s">
        <v>17</v>
      </c>
      <c r="W32" s="775">
        <f t="shared" si="12"/>
        <v>100</v>
      </c>
      <c r="X32" s="1817"/>
      <c r="Y32" s="3171"/>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71"/>
      <c r="Q33" s="1814"/>
      <c r="R33" s="774"/>
      <c r="S33" s="775"/>
      <c r="T33" s="774"/>
      <c r="U33" s="775"/>
      <c r="V33" s="774"/>
      <c r="W33" s="775"/>
      <c r="X33" s="1817"/>
      <c r="Y33" s="3171"/>
      <c r="Z33" s="1818"/>
      <c r="AA33" s="1815">
        <v>1</v>
      </c>
      <c r="AB33" s="1815">
        <v>1</v>
      </c>
      <c r="AC33" s="1815">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71"/>
      <c r="Q34" s="1814" t="str">
        <f t="shared" si="8"/>
        <v>土地级别</v>
      </c>
      <c r="R34" s="774" t="s">
        <v>17</v>
      </c>
      <c r="S34" s="775">
        <f t="shared" si="10"/>
        <v>100</v>
      </c>
      <c r="T34" s="774" t="s">
        <v>17</v>
      </c>
      <c r="U34" s="775">
        <f t="shared" si="11"/>
        <v>100</v>
      </c>
      <c r="V34" s="774" t="s">
        <v>17</v>
      </c>
      <c r="W34" s="775">
        <f t="shared" si="12"/>
        <v>100</v>
      </c>
      <c r="X34" s="1817"/>
      <c r="Y34" s="3171"/>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71"/>
      <c r="Q35" s="1814">
        <f t="shared" si="8"/>
        <v>111</v>
      </c>
      <c r="R35" s="774" t="s">
        <v>17</v>
      </c>
      <c r="S35" s="775">
        <f t="shared" si="10"/>
        <v>100</v>
      </c>
      <c r="T35" s="774" t="s">
        <v>17</v>
      </c>
      <c r="U35" s="775">
        <f t="shared" si="11"/>
        <v>100</v>
      </c>
      <c r="V35" s="774" t="s">
        <v>17</v>
      </c>
      <c r="W35" s="775">
        <f t="shared" si="12"/>
        <v>100</v>
      </c>
      <c r="X35" s="1817"/>
      <c r="Y35" s="3171"/>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24" t="s">
        <v>2565</v>
      </c>
      <c r="Q36" s="1814">
        <f t="shared" si="8"/>
        <v>111</v>
      </c>
      <c r="R36" s="774" t="s">
        <v>17</v>
      </c>
      <c r="S36" s="775">
        <f t="shared" si="10"/>
        <v>100</v>
      </c>
      <c r="T36" s="774" t="s">
        <v>17</v>
      </c>
      <c r="U36" s="775">
        <f t="shared" si="11"/>
        <v>100</v>
      </c>
      <c r="V36" s="774" t="s">
        <v>17</v>
      </c>
      <c r="W36" s="775">
        <f t="shared" si="12"/>
        <v>100</v>
      </c>
      <c r="X36" s="1817"/>
      <c r="Y36" s="3175" t="s">
        <v>2565</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75"/>
      <c r="Q37" s="1814">
        <f t="shared" si="8"/>
        <v>111</v>
      </c>
      <c r="R37" s="777" t="s">
        <v>17</v>
      </c>
      <c r="S37" s="778">
        <f t="shared" si="10"/>
        <v>100</v>
      </c>
      <c r="T37" s="777" t="s">
        <v>17</v>
      </c>
      <c r="U37" s="778">
        <f t="shared" si="11"/>
        <v>100</v>
      </c>
      <c r="V37" s="777" t="s">
        <v>17</v>
      </c>
      <c r="W37" s="778">
        <f t="shared" si="12"/>
        <v>100</v>
      </c>
      <c r="X37" s="779"/>
      <c r="Y37" s="3175"/>
      <c r="Z37" s="780">
        <f t="shared" si="13"/>
        <v>111</v>
      </c>
      <c r="AA37" s="1815">
        <f t="shared" si="3"/>
        <v>1</v>
      </c>
      <c r="AB37" s="1815">
        <f t="shared" si="4"/>
        <v>1</v>
      </c>
      <c r="AC37" s="1815">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75"/>
      <c r="Q38" s="1814" t="str">
        <f>B38</f>
        <v>宗地面积</v>
      </c>
      <c r="R38" s="774" t="s">
        <v>17</v>
      </c>
      <c r="S38" s="775" t="e">
        <f t="shared" si="10"/>
        <v>#N/A</v>
      </c>
      <c r="T38" s="774" t="s">
        <v>17</v>
      </c>
      <c r="U38" s="775" t="e">
        <f t="shared" si="11"/>
        <v>#N/A</v>
      </c>
      <c r="V38" s="774" t="s">
        <v>17</v>
      </c>
      <c r="W38" s="775" t="e">
        <f t="shared" si="12"/>
        <v>#N/A</v>
      </c>
      <c r="X38" s="1817"/>
      <c r="Y38" s="3175"/>
      <c r="Z38" s="1818" t="str">
        <f t="shared" si="13"/>
        <v>宗地面积</v>
      </c>
      <c r="AA38" s="1815" t="e">
        <f t="shared" si="3"/>
        <v>#N/A</v>
      </c>
      <c r="AB38" s="1815" t="e">
        <f t="shared" si="4"/>
        <v>#N/A</v>
      </c>
      <c r="AC38" s="1815" t="e">
        <f t="shared" si="5"/>
        <v>#N/A</v>
      </c>
    </row>
    <row r="39" spans="1:29" ht="15">
      <c r="A39" s="473"/>
      <c r="B39" s="423" t="s">
        <v>2752</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75"/>
      <c r="Q39" s="1814" t="str">
        <f t="shared" ref="Q39:Q45" si="14">B39</f>
        <v>宗地形状</v>
      </c>
      <c r="R39" s="774" t="s">
        <v>17</v>
      </c>
      <c r="S39" s="775">
        <f t="shared" si="10"/>
        <v>100</v>
      </c>
      <c r="T39" s="774" t="s">
        <v>17</v>
      </c>
      <c r="U39" s="775">
        <f t="shared" si="11"/>
        <v>100</v>
      </c>
      <c r="V39" s="774" t="s">
        <v>17</v>
      </c>
      <c r="W39" s="775">
        <f t="shared" si="12"/>
        <v>100</v>
      </c>
      <c r="X39" s="1817"/>
      <c r="Y39" s="3175"/>
      <c r="Z39" s="1818" t="str">
        <f t="shared" si="13"/>
        <v>宗地形状</v>
      </c>
      <c r="AA39" s="1815">
        <f t="shared" si="3"/>
        <v>1</v>
      </c>
      <c r="AB39" s="1815">
        <f t="shared" si="4"/>
        <v>1</v>
      </c>
      <c r="AC39" s="1815">
        <f t="shared" si="5"/>
        <v>1</v>
      </c>
    </row>
    <row r="40" spans="1:29" ht="15">
      <c r="A40" s="473"/>
      <c r="B40" s="423" t="s">
        <v>2753</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75"/>
      <c r="Q40" s="1814" t="str">
        <f t="shared" si="14"/>
        <v>临街宽度及深度</v>
      </c>
      <c r="R40" s="774" t="s">
        <v>17</v>
      </c>
      <c r="S40" s="775">
        <f t="shared" si="10"/>
        <v>100</v>
      </c>
      <c r="T40" s="774" t="s">
        <v>17</v>
      </c>
      <c r="U40" s="775">
        <f t="shared" si="11"/>
        <v>100</v>
      </c>
      <c r="V40" s="774" t="s">
        <v>17</v>
      </c>
      <c r="W40" s="775">
        <f t="shared" si="12"/>
        <v>100</v>
      </c>
      <c r="X40" s="1817"/>
      <c r="Y40" s="3175"/>
      <c r="Z40" s="1818" t="str">
        <f t="shared" si="13"/>
        <v>临街宽度及深度</v>
      </c>
      <c r="AA40" s="1815">
        <f t="shared" si="3"/>
        <v>1</v>
      </c>
      <c r="AB40" s="1815">
        <f t="shared" si="4"/>
        <v>1</v>
      </c>
      <c r="AC40" s="1815">
        <f t="shared" si="5"/>
        <v>1</v>
      </c>
    </row>
    <row r="41" spans="1:29" s="117" customFormat="1" ht="15">
      <c r="A41" s="474"/>
      <c r="B41" s="423" t="s">
        <v>2754</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75"/>
      <c r="Q41" s="1814"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3"/>
      <c r="B42" s="423" t="s">
        <v>2755</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75" t="s">
        <v>2565</v>
      </c>
      <c r="Q42" s="1814" t="str">
        <f t="shared" si="14"/>
        <v>工程地质条件</v>
      </c>
      <c r="R42" s="774" t="s">
        <v>17</v>
      </c>
      <c r="S42" s="775">
        <f t="shared" si="10"/>
        <v>100</v>
      </c>
      <c r="T42" s="774" t="s">
        <v>17</v>
      </c>
      <c r="U42" s="775">
        <f t="shared" si="11"/>
        <v>100</v>
      </c>
      <c r="V42" s="774" t="s">
        <v>17</v>
      </c>
      <c r="W42" s="775">
        <f t="shared" si="12"/>
        <v>100</v>
      </c>
      <c r="X42" s="1817"/>
      <c r="Y42" s="3175" t="s">
        <v>2565</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75"/>
      <c r="Q43" s="1814">
        <f t="shared" si="14"/>
        <v>111</v>
      </c>
      <c r="R43" s="774" t="s">
        <v>17</v>
      </c>
      <c r="S43" s="775">
        <f t="shared" si="10"/>
        <v>100</v>
      </c>
      <c r="T43" s="774" t="s">
        <v>17</v>
      </c>
      <c r="U43" s="775">
        <f t="shared" si="11"/>
        <v>100</v>
      </c>
      <c r="V43" s="774" t="s">
        <v>17</v>
      </c>
      <c r="W43" s="775">
        <f t="shared" si="12"/>
        <v>100</v>
      </c>
      <c r="X43" s="1817"/>
      <c r="Y43" s="3175"/>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75"/>
      <c r="Q44" s="1814">
        <f t="shared" si="14"/>
        <v>111</v>
      </c>
      <c r="R44" s="774" t="s">
        <v>17</v>
      </c>
      <c r="S44" s="775">
        <f t="shared" si="10"/>
        <v>100</v>
      </c>
      <c r="T44" s="774" t="s">
        <v>17</v>
      </c>
      <c r="U44" s="775">
        <f t="shared" si="11"/>
        <v>100</v>
      </c>
      <c r="V44" s="774" t="s">
        <v>17</v>
      </c>
      <c r="W44" s="775">
        <f t="shared" si="12"/>
        <v>100</v>
      </c>
      <c r="X44" s="1817"/>
      <c r="Y44" s="3175"/>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75"/>
      <c r="Q45" s="1814">
        <f t="shared" si="14"/>
        <v>111</v>
      </c>
      <c r="R45" s="777" t="s">
        <v>17</v>
      </c>
      <c r="S45" s="778">
        <f t="shared" si="10"/>
        <v>100</v>
      </c>
      <c r="T45" s="777" t="s">
        <v>17</v>
      </c>
      <c r="U45" s="778">
        <f t="shared" si="11"/>
        <v>100</v>
      </c>
      <c r="V45" s="777" t="s">
        <v>17</v>
      </c>
      <c r="W45" s="778">
        <f t="shared" si="12"/>
        <v>100</v>
      </c>
      <c r="X45" s="779"/>
      <c r="Y45" s="3175"/>
      <c r="Z45" s="780">
        <f t="shared" si="13"/>
        <v>111</v>
      </c>
      <c r="AA45" s="1815">
        <f t="shared" si="3"/>
        <v>1</v>
      </c>
      <c r="AB45" s="1815">
        <f t="shared" si="4"/>
        <v>1</v>
      </c>
      <c r="AC45" s="1815">
        <f t="shared" si="5"/>
        <v>1</v>
      </c>
    </row>
    <row r="46" spans="1:29" ht="15">
      <c r="A46" s="480" t="s">
        <v>2720</v>
      </c>
      <c r="B46" s="2709" t="s">
        <v>2756</v>
      </c>
      <c r="C46" s="683" t="s">
        <v>1</v>
      </c>
      <c r="D46" s="482"/>
      <c r="E46" s="483"/>
      <c r="F46" s="484"/>
      <c r="G46" s="485"/>
      <c r="H46" s="486"/>
      <c r="I46" s="483"/>
      <c r="J46" s="486"/>
      <c r="K46" s="783"/>
      <c r="L46" s="1146"/>
      <c r="M46" s="1147"/>
      <c r="N46" s="1134"/>
      <c r="O46" s="1147"/>
      <c r="P46" s="3177" t="str">
        <f>A46</f>
        <v>成交单价</v>
      </c>
      <c r="Q46" s="3177"/>
      <c r="R46" s="3165">
        <f>E46</f>
        <v>0</v>
      </c>
      <c r="S46" s="3165"/>
      <c r="T46" s="3165">
        <f>G46</f>
        <v>0</v>
      </c>
      <c r="U46" s="3165"/>
      <c r="V46" s="3165">
        <f>I46</f>
        <v>0</v>
      </c>
      <c r="W46" s="3165"/>
      <c r="X46" s="759"/>
      <c r="Y46" s="781"/>
      <c r="Z46" s="759"/>
      <c r="AA46" s="759"/>
      <c r="AB46" s="759"/>
      <c r="AC46" s="759"/>
    </row>
    <row r="47" spans="1:29" ht="15.75" thickBot="1">
      <c r="A47" s="487" t="s">
        <v>2669</v>
      </c>
      <c r="B47" s="684"/>
      <c r="C47" s="491" t="e">
        <f>R48</f>
        <v>#DIV/0!</v>
      </c>
      <c r="D47" s="490"/>
      <c r="E47" s="491" t="e">
        <f>R47</f>
        <v>#DIV/0!</v>
      </c>
      <c r="F47" s="492"/>
      <c r="G47" s="489" t="e">
        <f>T47</f>
        <v>#DIV/0!</v>
      </c>
      <c r="H47" s="490"/>
      <c r="I47" s="491" t="e">
        <f>V47</f>
        <v>#DIV/0!</v>
      </c>
      <c r="J47" s="490"/>
      <c r="K47" s="784"/>
      <c r="L47" s="1146"/>
      <c r="M47" s="1147"/>
      <c r="N47" s="1147"/>
      <c r="O47" s="1147"/>
      <c r="P47" s="3177" t="str">
        <f>A47</f>
        <v>比较价值（元/平方米）</v>
      </c>
      <c r="Q47" s="3177"/>
      <c r="R47" s="3225" t="e">
        <f>ROUND(PRODUCT(R46,AA7:AA45),0)</f>
        <v>#DIV/0!</v>
      </c>
      <c r="S47" s="3225"/>
      <c r="T47" s="3225" t="e">
        <f>ROUND(PRODUCT(T46,AB7:AB45),0)</f>
        <v>#DIV/0!</v>
      </c>
      <c r="U47" s="3225"/>
      <c r="V47" s="3225" t="e">
        <f>ROUND(PRODUCT(V46,AC7:AC45),0)</f>
        <v>#DIV/0!</v>
      </c>
      <c r="W47" s="3225"/>
      <c r="X47" s="759"/>
      <c r="Y47" s="759"/>
      <c r="Z47" s="759"/>
      <c r="AA47" s="759"/>
      <c r="AB47" s="759"/>
      <c r="AC47" s="759"/>
    </row>
    <row r="48" spans="1:29" ht="15.75" thickBot="1">
      <c r="A48" s="493" t="s">
        <v>2757</v>
      </c>
      <c r="B48" s="494"/>
      <c r="C48" s="495" t="e">
        <f>R48</f>
        <v>#DIV/0!</v>
      </c>
      <c r="D48" s="495"/>
      <c r="E48" s="495"/>
      <c r="F48" s="495"/>
      <c r="G48" s="495"/>
      <c r="H48" s="495"/>
      <c r="I48" s="495"/>
      <c r="J48" s="495"/>
      <c r="K48" s="785"/>
      <c r="L48" s="1146"/>
      <c r="M48" s="1147"/>
      <c r="N48" s="1147"/>
      <c r="O48" s="1147"/>
      <c r="P48" s="3221" t="str">
        <f>A48</f>
        <v>估价对象XX用房的比较价值（楼面单价，元/平方米）</v>
      </c>
      <c r="Q48" s="3222"/>
      <c r="R48" s="3226" t="e">
        <f>ROUND(AVERAGE(R47:V47),0)</f>
        <v>#DIV/0!</v>
      </c>
      <c r="S48" s="3226"/>
      <c r="T48" s="3226"/>
      <c r="U48" s="3226"/>
      <c r="V48" s="3226"/>
      <c r="W48" s="32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2758</v>
      </c>
      <c r="B55" s="686" t="s">
        <v>2759</v>
      </c>
      <c r="C55" s="2710" t="s">
        <v>2760</v>
      </c>
      <c r="D55" s="2711" t="s">
        <v>2761</v>
      </c>
      <c r="E55" s="687" t="s">
        <v>2762</v>
      </c>
      <c r="F55" s="1110" t="s">
        <v>2763</v>
      </c>
      <c r="G55" s="3152" t="s">
        <v>2764</v>
      </c>
      <c r="H55" s="3227"/>
      <c r="I55" s="144" t="s">
        <v>2765</v>
      </c>
      <c r="J55" s="2712">
        <f>项目基本情况!F35</f>
        <v>0</v>
      </c>
      <c r="K55" s="2713" t="s">
        <v>2766</v>
      </c>
      <c r="L55" s="1109"/>
      <c r="M55" s="1147"/>
      <c r="N55" s="1147"/>
      <c r="O55" s="1147"/>
    </row>
    <row r="56" spans="1:15" s="693" customFormat="1">
      <c r="A56" s="689" t="s">
        <v>2767</v>
      </c>
      <c r="B56" s="690" t="e">
        <f>C48</f>
        <v>#DIV/0!</v>
      </c>
      <c r="C56" s="691">
        <v>1</v>
      </c>
      <c r="D56" s="1166">
        <v>1</v>
      </c>
      <c r="E56" s="691">
        <f>'数据-汇总表'!E8+'数据-汇总表'!E9</f>
        <v>2634.21</v>
      </c>
      <c r="F56" s="1106" t="e">
        <f t="shared" ref="F56:F65" si="15">ROUND(B56*E56/10000,0)</f>
        <v>#DIV/0!</v>
      </c>
      <c r="G56" s="3148"/>
      <c r="H56" s="3177"/>
      <c r="I56" s="1111">
        <v>1</v>
      </c>
      <c r="J56" s="1114">
        <v>1</v>
      </c>
      <c r="K56" s="1148"/>
      <c r="L56" s="944"/>
      <c r="M56" s="944"/>
      <c r="N56" s="944"/>
      <c r="O56" s="944"/>
    </row>
    <row r="57" spans="1:15" s="693" customFormat="1">
      <c r="A57" s="694" t="s">
        <v>2768</v>
      </c>
      <c r="B57" s="263" t="e">
        <f>ROUND($C$48*C57*D57,0)</f>
        <v>#DIV/0!</v>
      </c>
      <c r="C57" s="201">
        <f t="shared" ref="C57:C65" si="16">IF($C$55="北京市系数",I57,J57)</f>
        <v>0</v>
      </c>
      <c r="D57" s="1167">
        <v>0.25</v>
      </c>
      <c r="E57" s="695"/>
      <c r="F57" s="1106" t="e">
        <f t="shared" si="15"/>
        <v>#DIV/0!</v>
      </c>
      <c r="G57" s="3228" t="s">
        <v>2769</v>
      </c>
      <c r="H57" s="1107">
        <f>项目基本情况!B37</f>
        <v>0</v>
      </c>
      <c r="I57" s="1111">
        <f>SUMIF(修正!A45:A56,H57,修正!B45:B56)</f>
        <v>0</v>
      </c>
      <c r="J57" s="1115"/>
      <c r="K57" s="1147"/>
      <c r="L57" s="944"/>
      <c r="M57" s="944"/>
      <c r="N57" s="944"/>
      <c r="O57" s="944"/>
    </row>
    <row r="58" spans="1:15" s="693" customFormat="1">
      <c r="A58" s="694" t="s">
        <v>2770</v>
      </c>
      <c r="B58" s="263" t="e">
        <f t="shared" ref="B58:B65" si="17">ROUND($C$48*C58*D58,0)</f>
        <v>#DIV/0!</v>
      </c>
      <c r="C58" s="201">
        <f t="shared" si="16"/>
        <v>0</v>
      </c>
      <c r="D58" s="1167">
        <v>0.25</v>
      </c>
      <c r="E58" s="695"/>
      <c r="F58" s="1106" t="e">
        <f t="shared" si="15"/>
        <v>#DIV/0!</v>
      </c>
      <c r="G58" s="3228"/>
      <c r="H58" s="1107">
        <f>项目基本情况!B37</f>
        <v>0</v>
      </c>
      <c r="I58" s="1111">
        <f>SUMIF(修正!A45:A56,H58,修正!C45:C56)</f>
        <v>0</v>
      </c>
      <c r="J58" s="1115"/>
      <c r="K58" s="1148"/>
      <c r="L58" s="944"/>
      <c r="M58" s="944"/>
      <c r="N58" s="944"/>
      <c r="O58" s="944"/>
    </row>
    <row r="59" spans="1:15" s="693" customFormat="1">
      <c r="A59" s="694" t="s">
        <v>2771</v>
      </c>
      <c r="B59" s="263" t="e">
        <f t="shared" si="17"/>
        <v>#DIV/0!</v>
      </c>
      <c r="C59" s="201">
        <f t="shared" si="16"/>
        <v>0</v>
      </c>
      <c r="D59" s="1167">
        <v>0.25</v>
      </c>
      <c r="E59" s="695"/>
      <c r="F59" s="1106" t="e">
        <f t="shared" si="15"/>
        <v>#DIV/0!</v>
      </c>
      <c r="G59" s="3228"/>
      <c r="H59" s="1107">
        <f>项目基本情况!B37</f>
        <v>0</v>
      </c>
      <c r="I59" s="1111">
        <f>SUMIF(修正!A45:A56,H59,修正!D45:D56)</f>
        <v>0</v>
      </c>
      <c r="J59" s="1115"/>
      <c r="K59" s="1147"/>
      <c r="L59" s="944"/>
      <c r="M59" s="944"/>
      <c r="N59" s="944"/>
      <c r="O59" s="944"/>
    </row>
    <row r="60" spans="1:15" s="693" customFormat="1">
      <c r="A60" s="694" t="s">
        <v>2772</v>
      </c>
      <c r="B60" s="263" t="e">
        <f t="shared" si="17"/>
        <v>#DIV/0!</v>
      </c>
      <c r="C60" s="201">
        <f t="shared" si="16"/>
        <v>0</v>
      </c>
      <c r="D60" s="1167">
        <v>0.25</v>
      </c>
      <c r="E60" s="695"/>
      <c r="F60" s="1106" t="e">
        <f t="shared" si="15"/>
        <v>#DIV/0!</v>
      </c>
      <c r="G60" s="3228"/>
      <c r="H60" s="1107">
        <f>项目基本情况!B37</f>
        <v>0</v>
      </c>
      <c r="I60" s="1111">
        <f>SUMIF(修正!A45:A56,H60,修正!E45:E56)</f>
        <v>0</v>
      </c>
      <c r="J60" s="1115"/>
      <c r="K60" s="1148"/>
      <c r="L60" s="944"/>
      <c r="M60" s="944"/>
      <c r="N60" s="944"/>
      <c r="O60" s="944"/>
    </row>
    <row r="61" spans="1:15" s="693" customFormat="1">
      <c r="A61" s="694" t="s">
        <v>2773</v>
      </c>
      <c r="B61" s="263" t="e">
        <f t="shared" si="17"/>
        <v>#DIV/0!</v>
      </c>
      <c r="C61" s="201">
        <f t="shared" si="16"/>
        <v>0</v>
      </c>
      <c r="D61" s="1167">
        <v>0.25</v>
      </c>
      <c r="E61" s="262">
        <f>'数据-汇总表'!E11</f>
        <v>0</v>
      </c>
      <c r="F61" s="1106" t="e">
        <f t="shared" si="15"/>
        <v>#DIV/0!</v>
      </c>
      <c r="G61" s="2714" t="s">
        <v>2774</v>
      </c>
      <c r="H61" s="1107">
        <f>项目基本情况!C37</f>
        <v>0</v>
      </c>
      <c r="I61" s="1111">
        <f>SUMIF(修正!A45:A56,H61,修正!F45:F56)</f>
        <v>0</v>
      </c>
      <c r="J61" s="1115"/>
      <c r="K61" s="1147"/>
      <c r="L61" s="944"/>
      <c r="M61" s="944"/>
      <c r="N61" s="944"/>
      <c r="O61" s="944"/>
    </row>
    <row r="62" spans="1:15" s="693" customFormat="1">
      <c r="A62" s="694" t="s">
        <v>2775</v>
      </c>
      <c r="B62" s="263" t="e">
        <f t="shared" si="17"/>
        <v>#DIV/0!</v>
      </c>
      <c r="C62" s="201">
        <f t="shared" si="16"/>
        <v>0</v>
      </c>
      <c r="D62" s="1167">
        <v>0.25</v>
      </c>
      <c r="E62" s="262">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2777</v>
      </c>
      <c r="B63" s="263" t="e">
        <f t="shared" si="17"/>
        <v>#DIV/0!</v>
      </c>
      <c r="C63" s="201">
        <f t="shared" si="16"/>
        <v>0</v>
      </c>
      <c r="D63" s="1167">
        <v>0.25</v>
      </c>
      <c r="E63" s="262">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2779</v>
      </c>
      <c r="B64" s="263" t="e">
        <f t="shared" si="17"/>
        <v>#DIV/0!</v>
      </c>
      <c r="C64" s="201">
        <f t="shared" si="16"/>
        <v>0</v>
      </c>
      <c r="D64" s="1167">
        <v>0.25</v>
      </c>
      <c r="E64" s="262">
        <f>'数据-汇总表'!E14</f>
        <v>0</v>
      </c>
      <c r="F64" s="1106" t="e">
        <f t="shared" si="15"/>
        <v>#DIV/0!</v>
      </c>
      <c r="G64" s="2714" t="s">
        <v>2769</v>
      </c>
      <c r="H64" s="1107">
        <f>项目基本情况!B37</f>
        <v>0</v>
      </c>
      <c r="I64" s="1111">
        <f>SUMIF(修正!A45:A56,H64,修正!H45:H56)</f>
        <v>0</v>
      </c>
      <c r="J64" s="1115"/>
      <c r="K64" s="1148"/>
      <c r="L64" s="944"/>
      <c r="M64" s="944"/>
      <c r="N64" s="944"/>
      <c r="O64" s="944"/>
    </row>
    <row r="65" spans="1:17" s="693" customFormat="1" ht="15" thickBot="1">
      <c r="A65" s="694" t="s">
        <v>2780</v>
      </c>
      <c r="B65" s="263" t="e">
        <f t="shared" si="17"/>
        <v>#DIV/0!</v>
      </c>
      <c r="C65" s="201">
        <f t="shared" si="16"/>
        <v>0</v>
      </c>
      <c r="D65" s="1167">
        <v>0.25</v>
      </c>
      <c r="E65" s="262">
        <f>'数据-汇总表'!E15</f>
        <v>0</v>
      </c>
      <c r="F65" s="1106" t="e">
        <f t="shared" si="15"/>
        <v>#DIV/0!</v>
      </c>
      <c r="G65" s="2715" t="s">
        <v>2774</v>
      </c>
      <c r="H65" s="1117">
        <f>项目基本情况!C37</f>
        <v>0</v>
      </c>
      <c r="I65" s="1113">
        <f>SUMIF(修正!A45:A56,H65,修正!H45:H56)</f>
        <v>0</v>
      </c>
      <c r="J65" s="1116"/>
      <c r="K65" s="1147"/>
      <c r="L65" s="944"/>
      <c r="M65" s="944"/>
      <c r="N65" s="944"/>
      <c r="O65" s="944"/>
    </row>
    <row r="66" spans="1:17" s="693" customFormat="1" ht="13.5" thickBot="1">
      <c r="A66" s="696" t="s">
        <v>2781</v>
      </c>
      <c r="B66" s="697" t="s">
        <v>28</v>
      </c>
      <c r="C66" s="697" t="s">
        <v>29</v>
      </c>
      <c r="D66" s="697" t="s">
        <v>1029</v>
      </c>
      <c r="E66" s="697">
        <f>IF(B46="楼面地价",SUM(E56:E65),'数据-汇总表'!D3)</f>
        <v>2634.21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2674</v>
      </c>
      <c r="B69" s="759"/>
      <c r="C69" s="764"/>
      <c r="D69" s="764"/>
      <c r="E69" s="764"/>
      <c r="F69" s="765"/>
      <c r="G69" s="765"/>
      <c r="H69" s="764"/>
      <c r="I69" s="764"/>
      <c r="J69" s="1162"/>
      <c r="K69" s="1163"/>
      <c r="L69" s="1164"/>
      <c r="M69" s="1162"/>
      <c r="N69" s="1162"/>
      <c r="O69" s="1162"/>
      <c r="P69" s="504"/>
      <c r="Q69" s="505"/>
    </row>
    <row r="70" spans="1:17" s="509" customFormat="1" ht="15">
      <c r="A70" s="2716" t="s">
        <v>2782</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2783</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2585</v>
      </c>
      <c r="B72" s="517"/>
      <c r="C72" s="518"/>
      <c r="D72" s="519"/>
      <c r="E72" s="519"/>
      <c r="F72" s="519"/>
      <c r="G72" s="519"/>
      <c r="H72" s="519"/>
      <c r="I72" s="519"/>
      <c r="J72" s="519"/>
      <c r="K72" s="519"/>
      <c r="L72" s="519"/>
      <c r="M72" s="520"/>
      <c r="N72" s="519"/>
      <c r="O72" s="1165"/>
      <c r="P72" s="505"/>
      <c r="Q72" s="505"/>
    </row>
    <row r="73" spans="1:17" s="117" customFormat="1" ht="15">
      <c r="A73" s="522" t="s">
        <v>2550</v>
      </c>
      <c r="B73" s="511"/>
      <c r="C73" s="523" t="s">
        <v>2652</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2588</v>
      </c>
      <c r="B75" s="529" t="s">
        <v>2554</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2557</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2691</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2750</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2792</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2793</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2794</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2795</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2327</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2329</v>
      </c>
      <c r="B3" s="610" t="e">
        <f>ROUND(IF(D3="",B2*10000/'数据-汇总表'!E3,B2*10000/D3),0)</f>
        <v>#DIV/0!</v>
      </c>
      <c r="C3" s="248" t="s">
        <v>2746</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2645</v>
      </c>
      <c r="B4" s="403"/>
      <c r="C4" s="3152" t="s">
        <v>2646</v>
      </c>
      <c r="D4" s="3153"/>
      <c r="E4" s="3154" t="s">
        <v>2647</v>
      </c>
      <c r="F4" s="3155"/>
      <c r="G4" s="3152" t="s">
        <v>2648</v>
      </c>
      <c r="H4" s="3153"/>
      <c r="I4" s="3152" t="s">
        <v>2649</v>
      </c>
      <c r="J4" s="3153"/>
      <c r="K4" s="611" t="s">
        <v>2650</v>
      </c>
      <c r="L4" s="1133"/>
      <c r="M4" s="1134"/>
      <c r="N4" s="1134"/>
      <c r="O4" s="1134"/>
      <c r="P4" s="3217" t="s">
        <v>2651</v>
      </c>
      <c r="Q4" s="3218"/>
      <c r="R4" s="3214" t="s">
        <v>2647</v>
      </c>
      <c r="S4" s="3215"/>
      <c r="T4" s="3214" t="s">
        <v>2648</v>
      </c>
      <c r="U4" s="3215"/>
      <c r="V4" s="3165" t="s">
        <v>2649</v>
      </c>
      <c r="W4" s="3165"/>
      <c r="X4" s="1817"/>
      <c r="Y4" s="3214" t="s">
        <v>2651</v>
      </c>
      <c r="Z4" s="3215"/>
      <c r="AA4" s="3213" t="s">
        <v>2647</v>
      </c>
      <c r="AB4" s="3132" t="s">
        <v>2648</v>
      </c>
      <c r="AC4" s="3213" t="s">
        <v>2649</v>
      </c>
    </row>
    <row r="5" spans="1:29" ht="15">
      <c r="A5" s="405"/>
      <c r="B5" s="406"/>
      <c r="C5" s="3142" t="s">
        <v>2542</v>
      </c>
      <c r="D5" s="3143"/>
      <c r="E5" s="3216" t="s">
        <v>2543</v>
      </c>
      <c r="F5" s="3141"/>
      <c r="G5" s="3142" t="s">
        <v>2544</v>
      </c>
      <c r="H5" s="3143"/>
      <c r="I5" s="3142" t="s">
        <v>2545</v>
      </c>
      <c r="J5" s="3143"/>
      <c r="K5" s="611"/>
      <c r="L5" s="1133"/>
      <c r="M5" s="1134"/>
      <c r="N5" s="1134"/>
      <c r="O5" s="1134"/>
      <c r="P5" s="3219"/>
      <c r="Q5" s="3159"/>
      <c r="R5" s="3138"/>
      <c r="S5" s="3139"/>
      <c r="T5" s="3138"/>
      <c r="U5" s="3139"/>
      <c r="V5" s="3165"/>
      <c r="W5" s="3165"/>
      <c r="X5" s="1817"/>
      <c r="Y5" s="3138"/>
      <c r="Z5" s="3139"/>
      <c r="AA5" s="3132"/>
      <c r="AB5" s="3132"/>
      <c r="AC5" s="3132"/>
    </row>
    <row r="6" spans="1:29" ht="15.75" thickBot="1">
      <c r="A6" s="407"/>
      <c r="B6" s="408"/>
      <c r="C6" s="3229" t="s">
        <v>2797</v>
      </c>
      <c r="D6" s="3230"/>
      <c r="E6" s="3231" t="s">
        <v>2797</v>
      </c>
      <c r="F6" s="3232"/>
      <c r="G6" s="3229" t="s">
        <v>2797</v>
      </c>
      <c r="H6" s="3230"/>
      <c r="I6" s="3229" t="s">
        <v>2797</v>
      </c>
      <c r="J6" s="3230"/>
      <c r="K6" s="611" t="s">
        <v>2547</v>
      </c>
      <c r="L6" s="1133"/>
      <c r="M6" s="1134"/>
      <c r="N6" s="1134"/>
      <c r="O6" s="1134"/>
      <c r="P6" s="3220"/>
      <c r="Q6" s="3161"/>
      <c r="R6" s="3138"/>
      <c r="S6" s="3139"/>
      <c r="T6" s="3162"/>
      <c r="U6" s="3163"/>
      <c r="V6" s="3165"/>
      <c r="W6" s="3165"/>
      <c r="X6" s="1817"/>
      <c r="Y6" s="3162"/>
      <c r="Z6" s="3163"/>
      <c r="AA6" s="3133"/>
      <c r="AB6" s="3133"/>
      <c r="AC6" s="3133"/>
    </row>
    <row r="7" spans="1:29" s="117" customFormat="1" ht="15.75" thickBot="1">
      <c r="A7" s="409" t="s">
        <v>2548</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34" t="s">
        <v>2549</v>
      </c>
      <c r="Q7" s="3167"/>
      <c r="R7" s="770" t="s">
        <v>17</v>
      </c>
      <c r="S7" s="771">
        <f t="shared" ref="S7:S15" si="0">F7</f>
        <v>0</v>
      </c>
      <c r="T7" s="770" t="s">
        <v>17</v>
      </c>
      <c r="U7" s="771">
        <f t="shared" ref="U7:U15" si="1">H7</f>
        <v>0</v>
      </c>
      <c r="V7" s="770" t="s">
        <v>17</v>
      </c>
      <c r="W7" s="771">
        <f t="shared" ref="W7:W15" si="2">J7</f>
        <v>0</v>
      </c>
      <c r="X7" s="772"/>
      <c r="Y7" s="3134" t="s">
        <v>2549</v>
      </c>
      <c r="Z7" s="3135"/>
      <c r="AA7" s="773" t="e">
        <f>D7/F7</f>
        <v>#DIV/0!</v>
      </c>
      <c r="AB7" s="773" t="e">
        <f>D7/H7</f>
        <v>#DIV/0!</v>
      </c>
      <c r="AC7" s="773"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34" t="s">
        <v>2552</v>
      </c>
      <c r="Q8" s="3135"/>
      <c r="R8" s="770" t="s">
        <v>17</v>
      </c>
      <c r="S8" s="771">
        <f t="shared" si="0"/>
        <v>0</v>
      </c>
      <c r="T8" s="770" t="s">
        <v>17</v>
      </c>
      <c r="U8" s="771">
        <f t="shared" si="1"/>
        <v>0</v>
      </c>
      <c r="V8" s="770" t="s">
        <v>17</v>
      </c>
      <c r="W8" s="771">
        <f t="shared" si="2"/>
        <v>0</v>
      </c>
      <c r="X8" s="772"/>
      <c r="Y8" s="3134" t="s">
        <v>2552</v>
      </c>
      <c r="Z8" s="3135"/>
      <c r="AA8" s="773" t="e">
        <f t="shared" ref="AA8:AA40" si="3">D8/F8</f>
        <v>#DIV/0!</v>
      </c>
      <c r="AB8" s="773" t="e">
        <f t="shared" ref="AB8:AB40" si="4">D8/H8</f>
        <v>#DIV/0!</v>
      </c>
      <c r="AC8" s="773" t="e">
        <f t="shared" ref="AC8:AC40" si="5">D8/J8</f>
        <v>#DIV/0!</v>
      </c>
    </row>
    <row r="9" spans="1:29" s="117" customFormat="1">
      <c r="A9" s="416" t="s">
        <v>2553</v>
      </c>
      <c r="B9" s="71" t="s">
        <v>2554</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77" t="s">
        <v>2555</v>
      </c>
      <c r="Q9" s="1799" t="str">
        <f t="shared" ref="Q9:Q15" si="6">B9</f>
        <v>用途</v>
      </c>
      <c r="R9" s="770" t="s">
        <v>17</v>
      </c>
      <c r="S9" s="771">
        <f t="shared" si="0"/>
        <v>100</v>
      </c>
      <c r="T9" s="770" t="s">
        <v>17</v>
      </c>
      <c r="U9" s="771">
        <f t="shared" si="1"/>
        <v>100</v>
      </c>
      <c r="V9" s="770" t="s">
        <v>17</v>
      </c>
      <c r="W9" s="771">
        <f t="shared" si="2"/>
        <v>100</v>
      </c>
      <c r="X9" s="772"/>
      <c r="Y9" s="3008" t="s">
        <v>2556</v>
      </c>
      <c r="Z9" s="55" t="str">
        <f t="shared" ref="Z9:Z15" si="7">Q9</f>
        <v>用途</v>
      </c>
      <c r="AA9" s="773">
        <f t="shared" si="3"/>
        <v>1</v>
      </c>
      <c r="AB9" s="773">
        <f t="shared" si="4"/>
        <v>1</v>
      </c>
      <c r="AC9" s="773">
        <f t="shared" si="5"/>
        <v>1</v>
      </c>
    </row>
    <row r="10" spans="1:29" s="428" customFormat="1" ht="27">
      <c r="A10" s="422"/>
      <c r="B10" s="423" t="s">
        <v>2557</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77"/>
      <c r="Q10" s="1799" t="str">
        <f t="shared" si="6"/>
        <v>土地使用年限（年）</v>
      </c>
      <c r="R10" s="770" t="s">
        <v>17</v>
      </c>
      <c r="S10" s="771">
        <f t="shared" si="0"/>
        <v>109</v>
      </c>
      <c r="T10" s="770" t="s">
        <v>17</v>
      </c>
      <c r="U10" s="771">
        <f t="shared" si="1"/>
        <v>109</v>
      </c>
      <c r="V10" s="770" t="s">
        <v>17</v>
      </c>
      <c r="W10" s="771">
        <f t="shared" si="2"/>
        <v>109</v>
      </c>
      <c r="X10" s="772"/>
      <c r="Y10" s="3008"/>
      <c r="Z10" s="55" t="str">
        <f t="shared" si="7"/>
        <v>土地使用年限（年）</v>
      </c>
      <c r="AA10" s="773">
        <f t="shared" si="3"/>
        <v>0.91743119266055051</v>
      </c>
      <c r="AB10" s="773">
        <f t="shared" si="4"/>
        <v>0.91743119266055051</v>
      </c>
      <c r="AC10" s="773">
        <f t="shared" si="5"/>
        <v>0.91743119266055051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77"/>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77"/>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77"/>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1" t="s">
        <v>2559</v>
      </c>
      <c r="B15" s="630" t="s">
        <v>2798</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70" t="s">
        <v>2560</v>
      </c>
      <c r="Q15" s="1814" t="str">
        <f t="shared" si="6"/>
        <v>产业集聚程度</v>
      </c>
      <c r="R15" s="774" t="s">
        <v>17</v>
      </c>
      <c r="S15" s="775">
        <f t="shared" si="0"/>
        <v>100</v>
      </c>
      <c r="T15" s="774" t="s">
        <v>17</v>
      </c>
      <c r="U15" s="775">
        <f t="shared" si="1"/>
        <v>100</v>
      </c>
      <c r="V15" s="774" t="s">
        <v>17</v>
      </c>
      <c r="W15" s="775">
        <f t="shared" si="2"/>
        <v>100</v>
      </c>
      <c r="X15" s="1817"/>
      <c r="Y15" s="3170" t="s">
        <v>2560</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71"/>
      <c r="Q16" s="1814"/>
      <c r="R16" s="774"/>
      <c r="S16" s="775"/>
      <c r="T16" s="774"/>
      <c r="U16" s="775"/>
      <c r="V16" s="774"/>
      <c r="W16" s="775"/>
      <c r="X16" s="1817"/>
      <c r="Y16" s="3171"/>
      <c r="Z16" s="1818"/>
      <c r="AA16" s="1815">
        <v>1</v>
      </c>
      <c r="AB16" s="1815">
        <v>1</v>
      </c>
      <c r="AC16" s="1815">
        <v>1</v>
      </c>
    </row>
    <row r="17" spans="1:29" ht="85.5">
      <c r="A17" s="429"/>
      <c r="B17" s="632" t="s">
        <v>2709</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71"/>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71"/>
      <c r="Q18" s="1814"/>
      <c r="R18" s="774"/>
      <c r="S18" s="775"/>
      <c r="T18" s="774"/>
      <c r="U18" s="775"/>
      <c r="V18" s="774"/>
      <c r="W18" s="775"/>
      <c r="X18" s="1817"/>
      <c r="Y18" s="3171"/>
      <c r="Z18" s="1818"/>
      <c r="AA18" s="1815">
        <v>1</v>
      </c>
      <c r="AB18" s="1815">
        <v>1</v>
      </c>
      <c r="AC18" s="1815">
        <v>1</v>
      </c>
    </row>
    <row r="19" spans="1:29" ht="15">
      <c r="A19" s="429"/>
      <c r="B19" s="632" t="s">
        <v>2748</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71"/>
      <c r="Q19" s="1814" t="str">
        <f t="shared" ref="Q19:Q33" si="8">B19</f>
        <v>区域土地利用方向</v>
      </c>
      <c r="R19" s="774" t="s">
        <v>17</v>
      </c>
      <c r="S19" s="775">
        <f>F19</f>
        <v>100</v>
      </c>
      <c r="T19" s="774" t="s">
        <v>17</v>
      </c>
      <c r="U19" s="775">
        <f>H19</f>
        <v>100</v>
      </c>
      <c r="V19" s="774" t="s">
        <v>17</v>
      </c>
      <c r="W19" s="775">
        <f>J19</f>
        <v>100</v>
      </c>
      <c r="X19" s="1817"/>
      <c r="Y19" s="3171"/>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71"/>
      <c r="Q20" s="1814"/>
      <c r="R20" s="774"/>
      <c r="S20" s="775"/>
      <c r="T20" s="774"/>
      <c r="U20" s="775"/>
      <c r="V20" s="774"/>
      <c r="W20" s="775"/>
      <c r="X20" s="1817"/>
      <c r="Y20" s="3171"/>
      <c r="Z20" s="1818"/>
      <c r="AA20" s="1815"/>
      <c r="AB20" s="1815"/>
      <c r="AC20" s="1815"/>
    </row>
    <row r="21" spans="1:29" ht="71.25">
      <c r="A21" s="405"/>
      <c r="B21" s="632" t="s">
        <v>2799</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71"/>
      <c r="Q21" s="1814" t="str">
        <f t="shared" si="8"/>
        <v>环境状况</v>
      </c>
      <c r="R21" s="774" t="s">
        <v>17</v>
      </c>
      <c r="S21" s="775">
        <f>F21</f>
        <v>100</v>
      </c>
      <c r="T21" s="774" t="s">
        <v>17</v>
      </c>
      <c r="U21" s="775">
        <f>H21</f>
        <v>100</v>
      </c>
      <c r="V21" s="774" t="s">
        <v>17</v>
      </c>
      <c r="W21" s="775">
        <f>J21</f>
        <v>100</v>
      </c>
      <c r="X21" s="1817"/>
      <c r="Y21" s="3171"/>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71"/>
      <c r="Q22" s="1814"/>
      <c r="R22" s="774"/>
      <c r="S22" s="775"/>
      <c r="T22" s="774"/>
      <c r="U22" s="775"/>
      <c r="V22" s="774"/>
      <c r="W22" s="775"/>
      <c r="X22" s="1817"/>
      <c r="Y22" s="3171"/>
      <c r="Z22" s="1818"/>
      <c r="AA22" s="1815">
        <v>1</v>
      </c>
      <c r="AB22" s="1815">
        <v>1</v>
      </c>
      <c r="AC22" s="1815">
        <v>1</v>
      </c>
    </row>
    <row r="23" spans="1:29" s="117" customFormat="1" ht="42.75">
      <c r="A23" s="650"/>
      <c r="B23" s="634" t="s">
        <v>2654</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71"/>
      <c r="Q23" s="1799" t="str">
        <f t="shared" si="8"/>
        <v>公共配套设施</v>
      </c>
      <c r="R23" s="770" t="s">
        <v>17</v>
      </c>
      <c r="S23" s="771">
        <f>F23</f>
        <v>100</v>
      </c>
      <c r="T23" s="770" t="s">
        <v>17</v>
      </c>
      <c r="U23" s="771">
        <f>H23</f>
        <v>100</v>
      </c>
      <c r="V23" s="770" t="s">
        <v>17</v>
      </c>
      <c r="W23" s="771">
        <f>J23</f>
        <v>100</v>
      </c>
      <c r="X23" s="772"/>
      <c r="Y23" s="3171"/>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71"/>
      <c r="Q24" s="1799"/>
      <c r="R24" s="770"/>
      <c r="S24" s="771"/>
      <c r="T24" s="770"/>
      <c r="U24" s="771"/>
      <c r="V24" s="770"/>
      <c r="W24" s="771"/>
      <c r="X24" s="772"/>
      <c r="Y24" s="3171"/>
      <c r="Z24" s="55"/>
      <c r="AA24" s="773">
        <v>1</v>
      </c>
      <c r="AB24" s="773">
        <v>1</v>
      </c>
      <c r="AC24" s="773">
        <v>1</v>
      </c>
    </row>
    <row r="25" spans="1:29" s="117" customFormat="1" ht="28.5">
      <c r="A25" s="650"/>
      <c r="B25" s="634" t="s">
        <v>2655</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71"/>
      <c r="Q25" s="1799"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71"/>
      <c r="Q26" s="1799"/>
      <c r="R26" s="770"/>
      <c r="S26" s="771"/>
      <c r="T26" s="770"/>
      <c r="U26" s="771"/>
      <c r="V26" s="770"/>
      <c r="W26" s="771"/>
      <c r="X26" s="772"/>
      <c r="Y26" s="3171"/>
      <c r="Z26" s="55"/>
      <c r="AA26" s="773">
        <v>1</v>
      </c>
      <c r="AB26" s="773">
        <v>1</v>
      </c>
      <c r="AC26" s="773">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71"/>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71"/>
      <c r="Z27" s="1818" t="str">
        <f t="shared" ref="Z27:Z40" si="13">Q27</f>
        <v>临街状况</v>
      </c>
      <c r="AA27" s="1815">
        <f t="shared" si="3"/>
        <v>1</v>
      </c>
      <c r="AB27" s="1815">
        <f t="shared" si="4"/>
        <v>1</v>
      </c>
      <c r="AC27" s="1815">
        <f t="shared" si="5"/>
        <v>1</v>
      </c>
    </row>
    <row r="28" spans="1:29" ht="27">
      <c r="A28" s="429"/>
      <c r="B28" s="634" t="s">
        <v>2691</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71"/>
      <c r="Q28" s="1814" t="str">
        <f t="shared" si="8"/>
        <v>毗邻道路的类型与等级</v>
      </c>
      <c r="R28" s="774" t="s">
        <v>17</v>
      </c>
      <c r="S28" s="775">
        <f t="shared" si="10"/>
        <v>100</v>
      </c>
      <c r="T28" s="774" t="s">
        <v>17</v>
      </c>
      <c r="U28" s="775">
        <f t="shared" si="11"/>
        <v>100</v>
      </c>
      <c r="V28" s="774" t="s">
        <v>17</v>
      </c>
      <c r="W28" s="775">
        <f t="shared" si="12"/>
        <v>100</v>
      </c>
      <c r="X28" s="1817"/>
      <c r="Y28" s="3171"/>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71"/>
      <c r="Q29" s="1814"/>
      <c r="R29" s="774"/>
      <c r="S29" s="775"/>
      <c r="T29" s="774"/>
      <c r="U29" s="775"/>
      <c r="V29" s="774"/>
      <c r="W29" s="775"/>
      <c r="X29" s="1817"/>
      <c r="Y29" s="3171"/>
      <c r="Z29" s="1818"/>
      <c r="AA29" s="1815">
        <v>1</v>
      </c>
      <c r="AB29" s="1815">
        <v>1</v>
      </c>
      <c r="AC29" s="1815">
        <v>1</v>
      </c>
    </row>
    <row r="30" spans="1:29" ht="15">
      <c r="A30" s="429"/>
      <c r="B30" s="655" t="s">
        <v>2750</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71"/>
      <c r="Q30" s="1814" t="str">
        <f t="shared" si="8"/>
        <v>土地级别</v>
      </c>
      <c r="R30" s="774" t="s">
        <v>17</v>
      </c>
      <c r="S30" s="775">
        <f t="shared" si="10"/>
        <v>100</v>
      </c>
      <c r="T30" s="774" t="s">
        <v>17</v>
      </c>
      <c r="U30" s="775">
        <f t="shared" si="11"/>
        <v>100</v>
      </c>
      <c r="V30" s="774" t="s">
        <v>17</v>
      </c>
      <c r="W30" s="775">
        <f t="shared" si="12"/>
        <v>100</v>
      </c>
      <c r="X30" s="1817"/>
      <c r="Y30" s="3171"/>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71"/>
      <c r="Q31" s="1814">
        <f t="shared" si="8"/>
        <v>111</v>
      </c>
      <c r="R31" s="774" t="s">
        <v>17</v>
      </c>
      <c r="S31" s="775">
        <f t="shared" si="10"/>
        <v>100</v>
      </c>
      <c r="T31" s="774" t="s">
        <v>17</v>
      </c>
      <c r="U31" s="775">
        <f t="shared" si="11"/>
        <v>100</v>
      </c>
      <c r="V31" s="774" t="s">
        <v>17</v>
      </c>
      <c r="W31" s="775">
        <f t="shared" si="12"/>
        <v>100</v>
      </c>
      <c r="X31" s="1817"/>
      <c r="Y31" s="3171"/>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24" t="s">
        <v>2565</v>
      </c>
      <c r="Q32" s="1814">
        <f t="shared" si="8"/>
        <v>111</v>
      </c>
      <c r="R32" s="774" t="s">
        <v>17</v>
      </c>
      <c r="S32" s="775">
        <f t="shared" si="10"/>
        <v>100</v>
      </c>
      <c r="T32" s="774" t="s">
        <v>17</v>
      </c>
      <c r="U32" s="775">
        <f t="shared" si="11"/>
        <v>100</v>
      </c>
      <c r="V32" s="774" t="s">
        <v>17</v>
      </c>
      <c r="W32" s="775">
        <f t="shared" si="12"/>
        <v>100</v>
      </c>
      <c r="X32" s="1817"/>
      <c r="Y32" s="3175" t="s">
        <v>2565</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75"/>
      <c r="Q33" s="1814">
        <f t="shared" si="8"/>
        <v>111</v>
      </c>
      <c r="R33" s="777" t="s">
        <v>17</v>
      </c>
      <c r="S33" s="778">
        <f t="shared" si="10"/>
        <v>100</v>
      </c>
      <c r="T33" s="777" t="s">
        <v>17</v>
      </c>
      <c r="U33" s="778">
        <f t="shared" si="11"/>
        <v>100</v>
      </c>
      <c r="V33" s="777" t="s">
        <v>17</v>
      </c>
      <c r="W33" s="778">
        <f t="shared" si="12"/>
        <v>100</v>
      </c>
      <c r="X33" s="779"/>
      <c r="Y33" s="3175"/>
      <c r="Z33" s="780">
        <f t="shared" si="13"/>
        <v>111</v>
      </c>
      <c r="AA33" s="1815">
        <f t="shared" si="3"/>
        <v>1</v>
      </c>
      <c r="AB33" s="1815">
        <f t="shared" si="4"/>
        <v>1</v>
      </c>
      <c r="AC33" s="1815">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75"/>
      <c r="Q34" s="1814" t="str">
        <f>B34</f>
        <v>宗地面积</v>
      </c>
      <c r="R34" s="774" t="s">
        <v>17</v>
      </c>
      <c r="S34" s="775" t="e">
        <f t="shared" si="10"/>
        <v>#N/A</v>
      </c>
      <c r="T34" s="774" t="s">
        <v>17</v>
      </c>
      <c r="U34" s="775" t="e">
        <f t="shared" si="11"/>
        <v>#N/A</v>
      </c>
      <c r="V34" s="774" t="s">
        <v>17</v>
      </c>
      <c r="W34" s="775" t="e">
        <f t="shared" si="12"/>
        <v>#N/A</v>
      </c>
      <c r="X34" s="1817"/>
      <c r="Y34" s="3175"/>
      <c r="Z34" s="1818" t="str">
        <f t="shared" si="13"/>
        <v>宗地面积</v>
      </c>
      <c r="AA34" s="1815" t="e">
        <f t="shared" si="3"/>
        <v>#N/A</v>
      </c>
      <c r="AB34" s="1815" t="e">
        <f t="shared" si="4"/>
        <v>#N/A</v>
      </c>
      <c r="AC34" s="1815" t="e">
        <f t="shared" si="5"/>
        <v>#N/A</v>
      </c>
    </row>
    <row r="35" spans="1:29" ht="15">
      <c r="A35" s="473"/>
      <c r="B35" s="423" t="s">
        <v>2752</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75"/>
      <c r="Q35" s="1814" t="str">
        <f t="shared" ref="Q35:Q40" si="14">B35</f>
        <v>宗地形状</v>
      </c>
      <c r="R35" s="774" t="s">
        <v>17</v>
      </c>
      <c r="S35" s="775">
        <f t="shared" si="10"/>
        <v>100</v>
      </c>
      <c r="T35" s="774" t="s">
        <v>17</v>
      </c>
      <c r="U35" s="775">
        <f t="shared" si="11"/>
        <v>100</v>
      </c>
      <c r="V35" s="774" t="s">
        <v>17</v>
      </c>
      <c r="W35" s="775">
        <f t="shared" si="12"/>
        <v>100</v>
      </c>
      <c r="X35" s="1817"/>
      <c r="Y35" s="3175"/>
      <c r="Z35" s="1818" t="str">
        <f t="shared" si="13"/>
        <v>宗地形状</v>
      </c>
      <c r="AA35" s="1815">
        <f t="shared" si="3"/>
        <v>1</v>
      </c>
      <c r="AB35" s="1815">
        <f t="shared" si="4"/>
        <v>1</v>
      </c>
      <c r="AC35" s="1815">
        <f t="shared" si="5"/>
        <v>1</v>
      </c>
    </row>
    <row r="36" spans="1:29" s="117" customFormat="1" ht="15">
      <c r="A36" s="474"/>
      <c r="B36" s="423" t="s">
        <v>2754</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75"/>
      <c r="Q36" s="1814"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3"/>
      <c r="B37" s="423" t="s">
        <v>2755</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75" t="s">
        <v>2565</v>
      </c>
      <c r="Q37" s="1814" t="str">
        <f t="shared" si="14"/>
        <v>工程地质条件</v>
      </c>
      <c r="R37" s="774" t="s">
        <v>17</v>
      </c>
      <c r="S37" s="775">
        <f t="shared" si="10"/>
        <v>100</v>
      </c>
      <c r="T37" s="774" t="s">
        <v>17</v>
      </c>
      <c r="U37" s="775">
        <f t="shared" si="11"/>
        <v>100</v>
      </c>
      <c r="V37" s="774" t="s">
        <v>17</v>
      </c>
      <c r="W37" s="775">
        <f t="shared" si="12"/>
        <v>100</v>
      </c>
      <c r="X37" s="1817"/>
      <c r="Y37" s="3175" t="s">
        <v>2565</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75"/>
      <c r="Q38" s="1814">
        <f t="shared" si="14"/>
        <v>111</v>
      </c>
      <c r="R38" s="774" t="s">
        <v>17</v>
      </c>
      <c r="S38" s="775">
        <f t="shared" si="10"/>
        <v>100</v>
      </c>
      <c r="T38" s="774" t="s">
        <v>17</v>
      </c>
      <c r="U38" s="775">
        <f t="shared" si="11"/>
        <v>100</v>
      </c>
      <c r="V38" s="774" t="s">
        <v>17</v>
      </c>
      <c r="W38" s="775">
        <f t="shared" si="12"/>
        <v>100</v>
      </c>
      <c r="X38" s="1817"/>
      <c r="Y38" s="3175"/>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75"/>
      <c r="Q39" s="1814">
        <f t="shared" si="14"/>
        <v>111</v>
      </c>
      <c r="R39" s="774" t="s">
        <v>17</v>
      </c>
      <c r="S39" s="775">
        <f t="shared" si="10"/>
        <v>100</v>
      </c>
      <c r="T39" s="774" t="s">
        <v>17</v>
      </c>
      <c r="U39" s="775">
        <f t="shared" si="11"/>
        <v>100</v>
      </c>
      <c r="V39" s="774" t="s">
        <v>17</v>
      </c>
      <c r="W39" s="775">
        <f t="shared" si="12"/>
        <v>100</v>
      </c>
      <c r="X39" s="1817"/>
      <c r="Y39" s="3175"/>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75"/>
      <c r="Q40" s="1814">
        <f t="shared" si="14"/>
        <v>111</v>
      </c>
      <c r="R40" s="777" t="s">
        <v>17</v>
      </c>
      <c r="S40" s="778">
        <f t="shared" si="10"/>
        <v>100</v>
      </c>
      <c r="T40" s="777" t="s">
        <v>17</v>
      </c>
      <c r="U40" s="778">
        <f t="shared" si="11"/>
        <v>100</v>
      </c>
      <c r="V40" s="777" t="s">
        <v>17</v>
      </c>
      <c r="W40" s="778">
        <f t="shared" si="12"/>
        <v>100</v>
      </c>
      <c r="X40" s="779"/>
      <c r="Y40" s="3175"/>
      <c r="Z40" s="780">
        <f t="shared" si="13"/>
        <v>111</v>
      </c>
      <c r="AA40" s="1815">
        <f t="shared" si="3"/>
        <v>1</v>
      </c>
      <c r="AB40" s="1815">
        <f t="shared" si="4"/>
        <v>1</v>
      </c>
      <c r="AC40" s="1815">
        <f t="shared" si="5"/>
        <v>1</v>
      </c>
    </row>
    <row r="41" spans="1:29" ht="15">
      <c r="A41" s="480" t="s">
        <v>2720</v>
      </c>
      <c r="B41" s="2709" t="s">
        <v>2800</v>
      </c>
      <c r="C41" s="683" t="s">
        <v>1</v>
      </c>
      <c r="D41" s="482"/>
      <c r="E41" s="483"/>
      <c r="F41" s="484"/>
      <c r="G41" s="485"/>
      <c r="H41" s="486"/>
      <c r="I41" s="483"/>
      <c r="J41" s="486"/>
      <c r="K41" s="783"/>
      <c r="L41" s="1146"/>
      <c r="M41" s="1134"/>
      <c r="N41" s="1134"/>
      <c r="O41" s="1147"/>
      <c r="P41" s="3177" t="str">
        <f>A41</f>
        <v>成交单价</v>
      </c>
      <c r="Q41" s="3177"/>
      <c r="R41" s="3165">
        <f>E41</f>
        <v>0</v>
      </c>
      <c r="S41" s="3165"/>
      <c r="T41" s="3165">
        <f>G41</f>
        <v>0</v>
      </c>
      <c r="U41" s="3165"/>
      <c r="V41" s="3165">
        <f>I41</f>
        <v>0</v>
      </c>
      <c r="W41" s="3165"/>
      <c r="X41" s="759"/>
      <c r="Y41" s="781"/>
      <c r="Z41" s="759"/>
      <c r="AA41" s="759"/>
      <c r="AB41" s="759"/>
      <c r="AC41" s="759"/>
    </row>
    <row r="42" spans="1:29" ht="15.75" thickBot="1">
      <c r="A42" s="487" t="s">
        <v>2669</v>
      </c>
      <c r="B42" s="684"/>
      <c r="C42" s="491" t="e">
        <f>R43</f>
        <v>#DIV/0!</v>
      </c>
      <c r="D42" s="490"/>
      <c r="E42" s="491" t="e">
        <f>R42</f>
        <v>#DIV/0!</v>
      </c>
      <c r="F42" s="492"/>
      <c r="G42" s="489" t="e">
        <f>T42</f>
        <v>#DIV/0!</v>
      </c>
      <c r="H42" s="490"/>
      <c r="I42" s="491" t="e">
        <f>V42</f>
        <v>#DIV/0!</v>
      </c>
      <c r="J42" s="490"/>
      <c r="K42" s="784"/>
      <c r="L42" s="1146"/>
      <c r="M42" s="1134"/>
      <c r="N42" s="1134"/>
      <c r="O42" s="1147"/>
      <c r="P42" s="3177" t="str">
        <f>A42</f>
        <v>比较价值（元/平方米）</v>
      </c>
      <c r="Q42" s="3177"/>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3" t="s">
        <v>2670</v>
      </c>
      <c r="B43" s="494"/>
      <c r="C43" s="495" t="e">
        <f>R43</f>
        <v>#DIV/0!</v>
      </c>
      <c r="D43" s="495"/>
      <c r="E43" s="495"/>
      <c r="F43" s="495"/>
      <c r="G43" s="495"/>
      <c r="H43" s="495"/>
      <c r="I43" s="495"/>
      <c r="J43" s="495"/>
      <c r="K43" s="785"/>
      <c r="L43" s="1146"/>
      <c r="M43" s="1134"/>
      <c r="N43" s="1134"/>
      <c r="O43" s="1147"/>
      <c r="P43" s="3221" t="str">
        <f>A43</f>
        <v>估价对象XX用房的比较价值（楼面单价，元/平方米）</v>
      </c>
      <c r="Q43" s="3222"/>
      <c r="R43" s="3226" t="e">
        <f>ROUND(AVERAGE(R42:V42),0)</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2758</v>
      </c>
      <c r="B50" s="686" t="s">
        <v>2759</v>
      </c>
      <c r="C50" s="2710" t="s">
        <v>2760</v>
      </c>
      <c r="D50" s="2711" t="s">
        <v>2761</v>
      </c>
      <c r="E50" s="687" t="s">
        <v>2762</v>
      </c>
      <c r="F50" s="688" t="s">
        <v>2763</v>
      </c>
      <c r="G50" s="3152" t="s">
        <v>2764</v>
      </c>
      <c r="H50" s="3227"/>
      <c r="I50" s="1818" t="s">
        <v>2801</v>
      </c>
      <c r="J50" s="1818">
        <f>项目基本情况!F35</f>
        <v>0</v>
      </c>
      <c r="K50" s="2713" t="s">
        <v>2766</v>
      </c>
      <c r="L50" s="1109"/>
      <c r="M50" s="1147"/>
      <c r="N50" s="1147"/>
      <c r="O50" s="1147"/>
    </row>
    <row r="51" spans="1:17" s="693" customFormat="1">
      <c r="A51" s="689" t="s">
        <v>2767</v>
      </c>
      <c r="B51" s="690" t="e">
        <f>C43</f>
        <v>#DIV/0!</v>
      </c>
      <c r="C51" s="691">
        <v>1</v>
      </c>
      <c r="D51" s="1166">
        <v>1</v>
      </c>
      <c r="E51" s="691">
        <f>'数据-汇总表'!E8+'数据-汇总表'!E9</f>
        <v>2634.21</v>
      </c>
      <c r="F51" s="692" t="e">
        <f t="shared" ref="F51:F60" si="15">ROUND(B51*E51/10000,0)</f>
        <v>#DIV/0!</v>
      </c>
      <c r="G51" s="3148"/>
      <c r="H51" s="3177"/>
      <c r="I51" s="945">
        <v>1</v>
      </c>
      <c r="J51" s="945">
        <v>1</v>
      </c>
      <c r="K51" s="1148"/>
      <c r="L51" s="944"/>
      <c r="M51" s="944"/>
      <c r="N51" s="944"/>
      <c r="O51" s="944"/>
    </row>
    <row r="52" spans="1:17" s="693" customFormat="1">
      <c r="A52" s="694" t="s">
        <v>2768</v>
      </c>
      <c r="B52" s="263" t="e">
        <f>ROUND($C$43*C52*D52,0)</f>
        <v>#DIV/0!</v>
      </c>
      <c r="C52" s="201">
        <f t="shared" ref="C52:C60" si="16">IF($C$50="北京市系数",I52,J52)</f>
        <v>0</v>
      </c>
      <c r="D52" s="1167">
        <v>0.25</v>
      </c>
      <c r="E52" s="695"/>
      <c r="F52" s="692" t="e">
        <f t="shared" si="15"/>
        <v>#DIV/0!</v>
      </c>
      <c r="G52" s="3228" t="s">
        <v>2769</v>
      </c>
      <c r="H52" s="1107">
        <f>项目基本情况!B37</f>
        <v>0</v>
      </c>
      <c r="I52" s="945">
        <f>SUMIF(修正!A45:A56,H52,修正!B45:B56)</f>
        <v>0</v>
      </c>
      <c r="J52" s="946"/>
      <c r="K52" s="1147"/>
      <c r="L52" s="944"/>
      <c r="M52" s="944"/>
      <c r="N52" s="944"/>
      <c r="O52" s="944"/>
    </row>
    <row r="53" spans="1:17" s="693" customFormat="1">
      <c r="A53" s="694" t="s">
        <v>2770</v>
      </c>
      <c r="B53" s="263" t="e">
        <f t="shared" ref="B53:B60" si="17">ROUND($C$43*C53*D53,0)</f>
        <v>#DIV/0!</v>
      </c>
      <c r="C53" s="201">
        <f t="shared" si="16"/>
        <v>0</v>
      </c>
      <c r="D53" s="1167">
        <v>0.25</v>
      </c>
      <c r="E53" s="695"/>
      <c r="F53" s="692" t="e">
        <f t="shared" si="15"/>
        <v>#DIV/0!</v>
      </c>
      <c r="G53" s="3228"/>
      <c r="H53" s="1107">
        <f>项目基本情况!B37</f>
        <v>0</v>
      </c>
      <c r="I53" s="945">
        <f>SUMIF(修正!A45:A56,H53,修正!C45:C56)</f>
        <v>0</v>
      </c>
      <c r="J53" s="946"/>
      <c r="K53" s="1148"/>
      <c r="L53" s="944"/>
      <c r="M53" s="944"/>
      <c r="N53" s="944"/>
      <c r="O53" s="944"/>
    </row>
    <row r="54" spans="1:17" s="693" customFormat="1">
      <c r="A54" s="694" t="s">
        <v>2771</v>
      </c>
      <c r="B54" s="263" t="e">
        <f t="shared" si="17"/>
        <v>#DIV/0!</v>
      </c>
      <c r="C54" s="201">
        <f t="shared" si="16"/>
        <v>0</v>
      </c>
      <c r="D54" s="1167">
        <v>0.25</v>
      </c>
      <c r="E54" s="695"/>
      <c r="F54" s="692" t="e">
        <f t="shared" si="15"/>
        <v>#DIV/0!</v>
      </c>
      <c r="G54" s="3228"/>
      <c r="H54" s="1107">
        <f>项目基本情况!B37</f>
        <v>0</v>
      </c>
      <c r="I54" s="945">
        <f>SUMIF(修正!A45:A56,H54,修正!D45:D56)</f>
        <v>0</v>
      </c>
      <c r="J54" s="946"/>
      <c r="K54" s="1147"/>
      <c r="L54" s="944"/>
      <c r="M54" s="944"/>
      <c r="N54" s="944"/>
      <c r="O54" s="944"/>
    </row>
    <row r="55" spans="1:17" s="693" customFormat="1">
      <c r="A55" s="694" t="s">
        <v>2772</v>
      </c>
      <c r="B55" s="263" t="e">
        <f t="shared" si="17"/>
        <v>#DIV/0!</v>
      </c>
      <c r="C55" s="201">
        <f t="shared" si="16"/>
        <v>0</v>
      </c>
      <c r="D55" s="1167">
        <v>0.25</v>
      </c>
      <c r="E55" s="695"/>
      <c r="F55" s="692" t="e">
        <f t="shared" si="15"/>
        <v>#DIV/0!</v>
      </c>
      <c r="G55" s="3228"/>
      <c r="H55" s="1107">
        <f>项目基本情况!B37</f>
        <v>0</v>
      </c>
      <c r="I55" s="945">
        <f>SUMIF(修正!A45:A56,H55,修正!E45:E56)</f>
        <v>0</v>
      </c>
      <c r="J55" s="946"/>
      <c r="K55" s="1148"/>
      <c r="L55" s="944"/>
      <c r="M55" s="944"/>
      <c r="N55" s="944"/>
      <c r="O55" s="944"/>
    </row>
    <row r="56" spans="1:17" s="693" customFormat="1">
      <c r="A56" s="694" t="s">
        <v>2773</v>
      </c>
      <c r="B56" s="263" t="e">
        <f t="shared" si="17"/>
        <v>#DIV/0!</v>
      </c>
      <c r="C56" s="201">
        <f t="shared" si="16"/>
        <v>0</v>
      </c>
      <c r="D56" s="1167">
        <v>0.25</v>
      </c>
      <c r="E56" s="262">
        <f>'数据-汇总表'!E11</f>
        <v>0</v>
      </c>
      <c r="F56" s="692" t="e">
        <f t="shared" si="15"/>
        <v>#DIV/0!</v>
      </c>
      <c r="G56" s="2714" t="s">
        <v>2774</v>
      </c>
      <c r="H56" s="1107">
        <f>项目基本情况!C37</f>
        <v>0</v>
      </c>
      <c r="I56" s="945">
        <f>SUMIF(修正!A45:A56,H56,修正!F45:F56)</f>
        <v>0</v>
      </c>
      <c r="J56" s="946"/>
      <c r="K56" s="1147"/>
      <c r="L56" s="944"/>
      <c r="M56" s="944"/>
      <c r="N56" s="944"/>
      <c r="O56" s="944"/>
    </row>
    <row r="57" spans="1:17" s="693" customFormat="1">
      <c r="A57" s="694" t="s">
        <v>2775</v>
      </c>
      <c r="B57" s="263" t="e">
        <f t="shared" si="17"/>
        <v>#DIV/0!</v>
      </c>
      <c r="C57" s="201">
        <f t="shared" si="16"/>
        <v>0</v>
      </c>
      <c r="D57" s="1167">
        <v>0.25</v>
      </c>
      <c r="E57" s="262">
        <f>'数据-汇总表'!E12</f>
        <v>0</v>
      </c>
      <c r="F57" s="692"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2777</v>
      </c>
      <c r="B58" s="263" t="e">
        <f t="shared" si="17"/>
        <v>#DIV/0!</v>
      </c>
      <c r="C58" s="201">
        <f t="shared" si="16"/>
        <v>0</v>
      </c>
      <c r="D58" s="1167">
        <v>0.25</v>
      </c>
      <c r="E58" s="262">
        <f>'数据-汇总表'!E13</f>
        <v>0</v>
      </c>
      <c r="F58" s="692"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2779</v>
      </c>
      <c r="B59" s="263" t="e">
        <f t="shared" si="17"/>
        <v>#DIV/0!</v>
      </c>
      <c r="C59" s="201">
        <f t="shared" si="16"/>
        <v>0</v>
      </c>
      <c r="D59" s="1167">
        <v>0.25</v>
      </c>
      <c r="E59" s="262">
        <f>'数据-汇总表'!E14</f>
        <v>0</v>
      </c>
      <c r="F59" s="692" t="e">
        <f t="shared" si="15"/>
        <v>#DIV/0!</v>
      </c>
      <c r="G59" s="2714" t="s">
        <v>2769</v>
      </c>
      <c r="H59" s="1107">
        <f>项目基本情况!B37</f>
        <v>0</v>
      </c>
      <c r="I59" s="945">
        <f>SUMIF(修正!A45:A56,H59,修正!H45:H56)</f>
        <v>0</v>
      </c>
      <c r="J59" s="946"/>
      <c r="K59" s="1148"/>
      <c r="L59" s="944"/>
      <c r="M59" s="944"/>
      <c r="N59" s="944"/>
      <c r="O59" s="944"/>
    </row>
    <row r="60" spans="1:17" s="693" customFormat="1" ht="15" thickBot="1">
      <c r="A60" s="694" t="s">
        <v>2780</v>
      </c>
      <c r="B60" s="263" t="e">
        <f t="shared" si="17"/>
        <v>#DIV/0!</v>
      </c>
      <c r="C60" s="201">
        <f t="shared" si="16"/>
        <v>0</v>
      </c>
      <c r="D60" s="1167">
        <v>0.25</v>
      </c>
      <c r="E60" s="262">
        <f>'数据-汇总表'!E15</f>
        <v>0</v>
      </c>
      <c r="F60" s="692" t="e">
        <f t="shared" si="15"/>
        <v>#DIV/0!</v>
      </c>
      <c r="G60" s="2715" t="s">
        <v>2774</v>
      </c>
      <c r="H60" s="1117">
        <f>项目基本情况!C37</f>
        <v>0</v>
      </c>
      <c r="I60" s="945">
        <f>SUMIF(修正!A45:A56,H60,修正!H45:H56)</f>
        <v>0</v>
      </c>
      <c r="J60" s="946"/>
      <c r="K60" s="1147"/>
      <c r="L60" s="944"/>
      <c r="M60" s="944"/>
      <c r="N60" s="944"/>
      <c r="O60" s="944"/>
    </row>
    <row r="61" spans="1:17" s="693" customFormat="1" ht="15" thickBot="1">
      <c r="A61" s="696" t="s">
        <v>2781</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2674</v>
      </c>
      <c r="B64" s="759"/>
      <c r="C64" s="764"/>
      <c r="D64" s="764"/>
      <c r="E64" s="764"/>
      <c r="F64" s="765"/>
      <c r="G64" s="765"/>
      <c r="H64" s="764"/>
      <c r="I64" s="764"/>
      <c r="J64" s="764"/>
      <c r="K64" s="766"/>
      <c r="L64" s="767"/>
      <c r="M64" s="764"/>
      <c r="N64" s="764"/>
      <c r="O64" s="1162"/>
      <c r="P64" s="504"/>
      <c r="Q64" s="505"/>
    </row>
    <row r="65" spans="1:17" s="509" customFormat="1" ht="15">
      <c r="A65" s="2716" t="s">
        <v>2782</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2802</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2588</v>
      </c>
      <c r="B70" s="529" t="s">
        <v>2554</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2557</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2691</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2750</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2792</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2794</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2795</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2804</v>
      </c>
      <c r="B1" s="242"/>
      <c r="C1" s="246" t="s">
        <v>2805</v>
      </c>
      <c r="D1" s="389">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6" t="s">
        <v>2807</v>
      </c>
      <c r="S1" s="1606" t="s">
        <v>2808</v>
      </c>
      <c r="T1" s="1606" t="s">
        <v>2809</v>
      </c>
      <c r="U1" s="1606" t="s">
        <v>2810</v>
      </c>
      <c r="V1" s="1606" t="s">
        <v>2811</v>
      </c>
      <c r="W1" s="1610"/>
      <c r="X1" s="1610"/>
      <c r="Y1" s="1610"/>
      <c r="Z1" s="1610"/>
      <c r="AA1" s="1610"/>
      <c r="AB1" s="1610"/>
      <c r="AC1" s="1611"/>
      <c r="AD1" s="1612"/>
      <c r="AE1" s="1612"/>
      <c r="AF1" s="1612"/>
      <c r="AG1" s="1612"/>
      <c r="AH1" s="1612"/>
      <c r="AI1" s="1612"/>
      <c r="AJ1" s="1613"/>
    </row>
    <row r="2" spans="1:36" ht="15.75">
      <c r="A2" s="246" t="s">
        <v>2812</v>
      </c>
      <c r="B2" s="249"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2818</v>
      </c>
      <c r="B3" s="249" t="e">
        <f>ROUND(B2*10000/D1,0)</f>
        <v>#DIV/0!</v>
      </c>
      <c r="C3" s="2726" t="s">
        <v>2819</v>
      </c>
      <c r="D3" s="2727" t="s">
        <v>2820</v>
      </c>
      <c r="E3" s="2732"/>
      <c r="F3" s="2733" t="s">
        <v>2821</v>
      </c>
      <c r="G3" s="916" t="e">
        <f>IF(F3="宗地容积率",'数据-汇总表'!I4,IF(F3="估价对象容积率",'数据-汇总表'!I6,'数据-汇总表'!I7))</f>
        <v>#DIV/0!</v>
      </c>
      <c r="H3" s="199"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47"/>
      <c r="B4" s="3248"/>
      <c r="C4" s="3248"/>
      <c r="D4" s="3249"/>
      <c r="E4" s="3249"/>
      <c r="F4" s="3249"/>
      <c r="G4" s="3249"/>
      <c r="H4" s="3249"/>
      <c r="I4" s="3249"/>
      <c r="J4" s="3250"/>
      <c r="K4" s="1373"/>
      <c r="L4" s="2731" t="s">
        <v>2825</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2826</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6"/>
      <c r="L6" s="2731" t="s">
        <v>2831</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33" t="str">
        <f>IF(E2="商业",IF(C8="不临58条商业街","",2),"")</f>
        <v/>
      </c>
      <c r="B7" s="2750" t="s">
        <v>2832</v>
      </c>
      <c r="C7" s="919" t="e">
        <f>IF(C8="不临58条商业街",1,ROUND(1+(1.6*E8+1.2*E9+0.8*E10+0.4*E11)*C9,4))</f>
        <v>#DIV/0!</v>
      </c>
      <c r="D7" s="2751" t="s">
        <v>2833</v>
      </c>
      <c r="E7" s="948"/>
      <c r="F7" s="2752"/>
      <c r="G7" s="2753"/>
      <c r="H7" s="2753"/>
      <c r="I7" s="2753"/>
      <c r="J7" s="2754"/>
      <c r="K7" s="1846"/>
      <c r="L7" s="2731" t="s">
        <v>2834</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2835</v>
      </c>
      <c r="X7" s="1608">
        <f>G2</f>
        <v>0</v>
      </c>
      <c r="Y7" s="1608" t="s">
        <v>2836</v>
      </c>
      <c r="Z7" s="1609" t="e">
        <f>G3</f>
        <v>#DIV/0!</v>
      </c>
      <c r="AA7" s="1610"/>
      <c r="AB7" s="1610"/>
      <c r="AC7" s="1611"/>
      <c r="AD7" s="1612"/>
      <c r="AE7" s="1612"/>
      <c r="AF7" s="1612"/>
      <c r="AG7" s="1612"/>
      <c r="AH7" s="1612"/>
      <c r="AI7" s="1612"/>
      <c r="AJ7" s="1613"/>
    </row>
    <row r="8" spans="1:36" ht="15">
      <c r="A8" s="3234"/>
      <c r="B8" s="199"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44" t="s">
        <v>2840</v>
      </c>
      <c r="X8" s="3245"/>
      <c r="Y8" s="1614" t="s">
        <v>2841</v>
      </c>
      <c r="Z8" s="1614" t="s">
        <v>2842</v>
      </c>
      <c r="AA8" s="1614" t="s">
        <v>2843</v>
      </c>
      <c r="AB8" s="1614" t="s">
        <v>2844</v>
      </c>
      <c r="AC8" s="1614" t="s">
        <v>2845</v>
      </c>
      <c r="AD8" s="1614" t="s">
        <v>2846</v>
      </c>
      <c r="AE8" s="1614" t="s">
        <v>2847</v>
      </c>
      <c r="AF8" s="1614" t="s">
        <v>2848</v>
      </c>
      <c r="AG8" s="1614" t="s">
        <v>2849</v>
      </c>
      <c r="AH8" s="1614" t="s">
        <v>2850</v>
      </c>
      <c r="AI8" s="1614" t="s">
        <v>2851</v>
      </c>
      <c r="AJ8" s="1614" t="s">
        <v>2852</v>
      </c>
    </row>
    <row r="9" spans="1:36" ht="15">
      <c r="A9" s="3234"/>
      <c r="B9" s="199" t="s">
        <v>2853</v>
      </c>
      <c r="C9" s="922">
        <f>SUMIF(修正!C59:C119,C8,修正!E59:E119)</f>
        <v>0</v>
      </c>
      <c r="D9" s="201" t="s">
        <v>140</v>
      </c>
      <c r="E9" s="201"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46" t="s">
        <v>2856</v>
      </c>
      <c r="X9" s="1615" t="s">
        <v>2857</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4"/>
      <c r="B10" s="199" t="s">
        <v>2858</v>
      </c>
      <c r="C10" s="201">
        <f>SUMIF(修正!C59:C119,C8,修正!F59:F119)</f>
        <v>0</v>
      </c>
      <c r="D10" s="201" t="s">
        <v>141</v>
      </c>
      <c r="E10" s="201"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4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4"/>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46" t="s">
        <v>2864</v>
      </c>
      <c r="X11" s="1618" t="s">
        <v>2865</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33"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46"/>
      <c r="X12" s="1620" t="s">
        <v>2870</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51"/>
      <c r="B13" s="2769" t="s">
        <v>2871</v>
      </c>
      <c r="C13" s="2770" t="s">
        <v>2872</v>
      </c>
      <c r="D13" s="1812" t="s">
        <v>2873</v>
      </c>
      <c r="E13" s="1812" t="s">
        <v>2874</v>
      </c>
      <c r="F13" s="30" t="s">
        <v>2875</v>
      </c>
      <c r="G13" s="2771" t="s">
        <v>2876</v>
      </c>
      <c r="H13" s="2771" t="s">
        <v>2876</v>
      </c>
      <c r="I13" s="2771" t="s">
        <v>2876</v>
      </c>
      <c r="J13" s="2772" t="s">
        <v>2876</v>
      </c>
      <c r="K13" s="1373"/>
      <c r="L13" s="1373"/>
      <c r="M13" s="1373"/>
      <c r="N13" s="1373"/>
      <c r="O13" s="1373"/>
      <c r="P13" s="1373"/>
      <c r="Q13" s="1373"/>
      <c r="R13" s="1606">
        <v>12</v>
      </c>
      <c r="S13" s="1607"/>
      <c r="T13" s="1606" t="e">
        <f t="shared" si="0"/>
        <v>#DIV/0!</v>
      </c>
      <c r="U13" s="1607"/>
      <c r="V13" s="1606" t="e">
        <f t="shared" si="1"/>
        <v>#DIV/0!</v>
      </c>
      <c r="W13" s="3246"/>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51"/>
      <c r="B14" s="2773"/>
      <c r="C14" s="2774"/>
      <c r="D14" s="2775"/>
      <c r="E14" s="2775"/>
      <c r="F14" s="2776"/>
      <c r="G14" s="2777" t="s">
        <v>2877</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52"/>
      <c r="B15" s="2781" t="s">
        <v>2878</v>
      </c>
      <c r="C15" s="230">
        <f>IF(C14="有",1.1,1)</f>
        <v>1</v>
      </c>
      <c r="D15" s="230">
        <f>IF(D14="有",1.1,1)</f>
        <v>1</v>
      </c>
      <c r="E15" s="230">
        <f>IF(E14="有",1.1,1)</f>
        <v>1</v>
      </c>
      <c r="F15" s="230">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33" t="s">
        <v>2883</v>
      </c>
      <c r="B16" s="2750" t="s">
        <v>2884</v>
      </c>
      <c r="C16" s="1805" t="e">
        <f>ROUND(SUM(G17:J17)/C17,0)</f>
        <v>#DIV/0!</v>
      </c>
      <c r="D16" s="2784" t="s">
        <v>2885</v>
      </c>
      <c r="E16" s="2785"/>
      <c r="F16" s="2786"/>
      <c r="G16" s="2787"/>
      <c r="H16" s="2787"/>
      <c r="I16" s="2787"/>
      <c r="J16" s="2788"/>
      <c r="K16" s="1373"/>
      <c r="L16" s="2789" t="s">
        <v>2886</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34"/>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ROUND(IF(H19="按公示增长率计算",SUMPRODUCT((地价!A3:A20=YEAR(G19)&amp;"-"&amp;ROUNDUP(MONTH(G19)/3,0))*(地价!X2:AB2=E2)*(地价!X3:AB20)),IF(H19="地价指数",M20/M19,(1+I19)^O19)),4)</f>
        <v>#DIV/0!</v>
      </c>
      <c r="D19" s="2802" t="s">
        <v>2893</v>
      </c>
      <c r="E19" s="928">
        <v>41640</v>
      </c>
      <c r="F19" s="2802" t="s">
        <v>2894</v>
      </c>
      <c r="G19" s="929">
        <f>'数据-取费表'!B2</f>
        <v>43040</v>
      </c>
      <c r="H19" s="2803" t="s">
        <v>2895</v>
      </c>
      <c r="I19" s="930" t="str">
        <f>IF(H19="季度增幅（自定义）",SUMIF(N21:N24,E2,O21:O24),"")</f>
        <v/>
      </c>
      <c r="J19" s="2800"/>
      <c r="K19" s="1380"/>
      <c r="L19" s="2804" t="s">
        <v>2896</v>
      </c>
      <c r="M19" s="1738">
        <f>ROUND(SUMIF(地价!B2:F2,E2,地价!B20:F20),0)</f>
        <v>0</v>
      </c>
      <c r="N19" s="2805" t="s">
        <v>2897</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2">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9">
        <f>ROUND(SUMPRODUCT((地价!A5:A20=YEAR(G19)&amp;"-"&amp;ROUNDUP(MONTH(G19)/3,0))*(地价!B2:F2=E2)*(地价!B5:F20)),0)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t="e">
        <f>IF(B21="容积率修正",IF(G3&lt;=10,D22,J22),C23)</f>
        <v>#DIV/0!</v>
      </c>
      <c r="D21" s="2818"/>
      <c r="E21" s="2818"/>
      <c r="F21" s="2818"/>
      <c r="G21" s="2818"/>
      <c r="H21" s="2818"/>
      <c r="I21" s="2818"/>
      <c r="J21" s="2819"/>
      <c r="K21" s="1380"/>
      <c r="N21" s="2820" t="s">
        <v>2906</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2907</v>
      </c>
      <c r="B22" s="2821" t="s">
        <v>2908</v>
      </c>
      <c r="C22" s="1814" t="s">
        <v>2909</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2910</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2911</v>
      </c>
      <c r="B23" s="2822" t="s">
        <v>2912</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2913</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2918</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7"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30"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2921</v>
      </c>
      <c r="D32" s="499" t="s">
        <v>2922</v>
      </c>
      <c r="E32" s="499" t="s">
        <v>2923</v>
      </c>
      <c r="F32" s="389" t="s">
        <v>2931</v>
      </c>
      <c r="G32" s="2865" t="s">
        <v>2921</v>
      </c>
      <c r="H32" s="2865" t="s">
        <v>2922</v>
      </c>
      <c r="I32" s="2865" t="s">
        <v>2923</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1" t="s">
        <v>2932</v>
      </c>
      <c r="B33" s="2866" t="s">
        <v>2933</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2"/>
      <c r="B34" s="2770" t="s">
        <v>2934</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2"/>
      <c r="B35" s="2770" t="s">
        <v>2935</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43"/>
      <c r="B36" s="2770" t="s">
        <v>2936</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3" t="s">
        <v>2945</v>
      </c>
      <c r="C47" s="1813" t="s">
        <v>2946</v>
      </c>
      <c r="D47" s="1813" t="s">
        <v>2947</v>
      </c>
      <c r="E47" s="819" t="s">
        <v>2948</v>
      </c>
      <c r="F47" s="2884" t="s">
        <v>2949</v>
      </c>
      <c r="G47" s="1813" t="s">
        <v>754</v>
      </c>
      <c r="H47" s="2885" t="s">
        <v>2950</v>
      </c>
      <c r="I47" s="1813" t="s">
        <v>2951</v>
      </c>
      <c r="J47" s="604" t="s">
        <v>2597</v>
      </c>
      <c r="K47" s="604" t="s">
        <v>2598</v>
      </c>
      <c r="L47" s="604" t="s">
        <v>2599</v>
      </c>
      <c r="M47" s="604" t="s">
        <v>2600</v>
      </c>
      <c r="N47" s="604" t="s">
        <v>2601</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9"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3"/>
      <c r="C58" s="1813" t="s">
        <v>2946</v>
      </c>
      <c r="D58" s="1813" t="s">
        <v>2947</v>
      </c>
      <c r="E58" s="819" t="s">
        <v>2948</v>
      </c>
      <c r="F58" s="2884" t="s">
        <v>2964</v>
      </c>
      <c r="G58" s="1813" t="s">
        <v>754</v>
      </c>
      <c r="H58" s="2885" t="s">
        <v>2950</v>
      </c>
      <c r="I58" s="1813" t="s">
        <v>2951</v>
      </c>
      <c r="J58" s="604" t="s">
        <v>2597</v>
      </c>
      <c r="K58" s="604" t="s">
        <v>2598</v>
      </c>
      <c r="L58" s="604" t="s">
        <v>2599</v>
      </c>
      <c r="M58" s="604" t="s">
        <v>2600</v>
      </c>
      <c r="N58" s="604" t="s">
        <v>2601</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9"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9"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3"/>
      <c r="C69" s="1813" t="s">
        <v>2946</v>
      </c>
      <c r="D69" s="1813" t="s">
        <v>2947</v>
      </c>
      <c r="E69" s="819" t="s">
        <v>2948</v>
      </c>
      <c r="F69" s="2884" t="s">
        <v>2964</v>
      </c>
      <c r="G69" s="1813" t="s">
        <v>754</v>
      </c>
      <c r="H69" s="2885" t="s">
        <v>2950</v>
      </c>
      <c r="I69" s="1813" t="s">
        <v>2951</v>
      </c>
      <c r="J69" s="604" t="s">
        <v>2597</v>
      </c>
      <c r="K69" s="604" t="s">
        <v>2598</v>
      </c>
      <c r="L69" s="604" t="s">
        <v>2599</v>
      </c>
      <c r="M69" s="604" t="s">
        <v>2600</v>
      </c>
      <c r="N69" s="604" t="s">
        <v>2601</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9"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9"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3"/>
      <c r="C80" s="1813" t="s">
        <v>2946</v>
      </c>
      <c r="D80" s="1813" t="s">
        <v>2947</v>
      </c>
      <c r="E80" s="819" t="s">
        <v>2948</v>
      </c>
      <c r="F80" s="2884" t="s">
        <v>2964</v>
      </c>
      <c r="G80" s="1813" t="s">
        <v>754</v>
      </c>
      <c r="H80" s="2885" t="s">
        <v>2950</v>
      </c>
      <c r="I80" s="1813" t="s">
        <v>2951</v>
      </c>
      <c r="J80" s="604" t="s">
        <v>2597</v>
      </c>
      <c r="K80" s="604" t="s">
        <v>2598</v>
      </c>
      <c r="L80" s="604" t="s">
        <v>2599</v>
      </c>
      <c r="M80" s="604" t="s">
        <v>2600</v>
      </c>
      <c r="N80" s="604" t="s">
        <v>2601</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35" t="s">
        <v>2974</v>
      </c>
      <c r="B90" s="3235"/>
      <c r="C90" s="3235"/>
      <c r="D90" s="3235"/>
      <c r="E90" s="3235"/>
      <c r="F90" s="3235"/>
      <c r="G90" s="3235"/>
      <c r="H90" s="3235"/>
      <c r="I90" s="3235"/>
      <c r="J90" s="3235"/>
      <c r="K90" s="2897"/>
      <c r="L90" s="2897"/>
      <c r="M90" s="2897"/>
      <c r="N90" s="2897"/>
    </row>
    <row r="91" spans="1:37">
      <c r="A91" s="3237" t="s">
        <v>2975</v>
      </c>
      <c r="B91" s="3237" t="s">
        <v>2976</v>
      </c>
      <c r="C91" s="2851" t="s">
        <v>2977</v>
      </c>
      <c r="D91" s="2852"/>
      <c r="E91" s="2852"/>
      <c r="F91" s="2852"/>
      <c r="G91" s="2852"/>
      <c r="H91" s="2852"/>
      <c r="I91" s="2852"/>
      <c r="J91" s="2898"/>
      <c r="K91" s="2899"/>
      <c r="L91" s="2899"/>
      <c r="M91" s="2899"/>
      <c r="N91" s="2899"/>
    </row>
    <row r="92" spans="1:37">
      <c r="A92" s="3237"/>
      <c r="B92" s="323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38"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3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3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3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3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3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39"/>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38" t="s">
        <v>2979</v>
      </c>
      <c r="B101" s="2904" t="s">
        <v>2980</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39"/>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39"/>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39"/>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39"/>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39"/>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39"/>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39"/>
      <c r="B108" s="3062"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0"/>
      <c r="B109" s="3063"/>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36" t="s">
        <v>2982</v>
      </c>
      <c r="B110" s="3236"/>
      <c r="C110" s="3236"/>
      <c r="D110" s="3236"/>
      <c r="E110" s="3236"/>
      <c r="F110" s="3236"/>
      <c r="G110" s="3236"/>
      <c r="H110" s="3236"/>
      <c r="I110" s="3236"/>
      <c r="J110" s="3236"/>
      <c r="K110" s="2906"/>
      <c r="L110" s="2906"/>
      <c r="M110" s="2906"/>
      <c r="N110" s="2906"/>
    </row>
    <row r="112" spans="1:14" ht="13.5" thickBot="1"/>
    <row r="113" spans="1:13" ht="25.5" thickBot="1">
      <c r="A113" s="903" t="s">
        <v>2983</v>
      </c>
      <c r="B113" s="1290" t="e">
        <f>G3</f>
        <v>#DIV/0!</v>
      </c>
      <c r="C113" s="904" t="s">
        <v>2984</v>
      </c>
      <c r="D113" s="905" t="e">
        <f>SUMPRODUCT((A115:A118=F113)*(B114:M114=H113)*B115:M118)</f>
        <v>#DIV/0!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3" t="s">
        <v>183</v>
      </c>
      <c r="B18" s="882" t="s">
        <v>560</v>
      </c>
      <c r="C18" s="883" t="s">
        <v>561</v>
      </c>
      <c r="D18" s="884"/>
      <c r="E18" s="882">
        <v>1</v>
      </c>
      <c r="F18" s="885" t="s">
        <v>562</v>
      </c>
      <c r="G18" s="886"/>
      <c r="H18" s="878"/>
      <c r="I18" s="878"/>
    </row>
    <row r="19" spans="1:9" s="887" customFormat="1" ht="19.5" customHeight="1">
      <c r="A19" s="3253"/>
      <c r="B19" s="3253" t="s">
        <v>563</v>
      </c>
      <c r="C19" s="883" t="s">
        <v>564</v>
      </c>
      <c r="D19" s="884"/>
      <c r="E19" s="882">
        <v>0.9</v>
      </c>
      <c r="F19" s="885" t="s">
        <v>565</v>
      </c>
      <c r="G19" s="886"/>
      <c r="H19" s="878"/>
      <c r="I19" s="878"/>
    </row>
    <row r="20" spans="1:9" s="887" customFormat="1" ht="19.5" customHeight="1">
      <c r="A20" s="3253"/>
      <c r="B20" s="3253"/>
      <c r="C20" s="883" t="s">
        <v>566</v>
      </c>
      <c r="D20" s="884"/>
      <c r="E20" s="882">
        <v>1.1000000000000001</v>
      </c>
      <c r="F20" s="885" t="s">
        <v>567</v>
      </c>
      <c r="G20" s="886"/>
      <c r="H20" s="878"/>
      <c r="I20" s="878"/>
    </row>
    <row r="21" spans="1:9" s="887" customFormat="1" ht="19.5" customHeight="1">
      <c r="A21" s="3253"/>
      <c r="B21" s="3253"/>
      <c r="C21" s="883" t="s">
        <v>568</v>
      </c>
      <c r="D21" s="884"/>
      <c r="E21" s="882">
        <v>0.8</v>
      </c>
      <c r="F21" s="885" t="s">
        <v>569</v>
      </c>
      <c r="G21" s="886"/>
      <c r="H21" s="878"/>
      <c r="I21" s="878"/>
    </row>
    <row r="22" spans="1:9" s="887" customFormat="1" ht="19.5" customHeight="1">
      <c r="A22" s="3253"/>
      <c r="B22" s="3253"/>
      <c r="C22" s="883" t="s">
        <v>570</v>
      </c>
      <c r="D22" s="884"/>
      <c r="E22" s="882">
        <v>0.5</v>
      </c>
      <c r="F22" s="885"/>
      <c r="G22" s="886"/>
      <c r="H22" s="878"/>
      <c r="I22" s="878"/>
    </row>
    <row r="23" spans="1:9" s="887" customFormat="1" ht="19.5" customHeight="1">
      <c r="A23" s="3253" t="s">
        <v>184</v>
      </c>
      <c r="B23" s="882" t="s">
        <v>560</v>
      </c>
      <c r="C23" s="883" t="s">
        <v>571</v>
      </c>
      <c r="D23" s="884"/>
      <c r="E23" s="882">
        <v>1</v>
      </c>
      <c r="F23" s="885" t="s">
        <v>572</v>
      </c>
      <c r="G23" s="886"/>
      <c r="H23" s="878"/>
      <c r="I23" s="878"/>
    </row>
    <row r="24" spans="1:9" s="887" customFormat="1" ht="19.5" customHeight="1">
      <c r="A24" s="3253"/>
      <c r="B24" s="3253" t="s">
        <v>563</v>
      </c>
      <c r="C24" s="883" t="s">
        <v>573</v>
      </c>
      <c r="D24" s="884"/>
      <c r="E24" s="882">
        <v>0.5</v>
      </c>
      <c r="F24" s="885"/>
      <c r="G24" s="886"/>
      <c r="H24" s="878"/>
      <c r="I24" s="878"/>
    </row>
    <row r="25" spans="1:9" s="887" customFormat="1" ht="19.5" customHeight="1">
      <c r="A25" s="3253"/>
      <c r="B25" s="3253"/>
      <c r="C25" s="883" t="s">
        <v>574</v>
      </c>
      <c r="D25" s="884"/>
      <c r="E25" s="882">
        <v>1.1000000000000001</v>
      </c>
      <c r="F25" s="885"/>
      <c r="G25" s="886"/>
      <c r="H25" s="878"/>
      <c r="I25" s="878"/>
    </row>
    <row r="26" spans="1:9" s="887" customFormat="1" ht="19.5" customHeight="1">
      <c r="A26" s="3253"/>
      <c r="B26" s="3253"/>
      <c r="C26" s="883" t="s">
        <v>575</v>
      </c>
      <c r="D26" s="884"/>
      <c r="E26" s="882">
        <v>1.1000000000000001</v>
      </c>
      <c r="F26" s="885"/>
      <c r="G26" s="886"/>
      <c r="H26" s="878"/>
      <c r="I26" s="878"/>
    </row>
    <row r="27" spans="1:9" s="887" customFormat="1" ht="19.5" customHeight="1">
      <c r="A27" s="3253"/>
      <c r="B27" s="3253"/>
      <c r="C27" s="883" t="s">
        <v>576</v>
      </c>
      <c r="D27" s="884"/>
      <c r="E27" s="882">
        <v>0.9</v>
      </c>
      <c r="F27" s="885" t="s">
        <v>577</v>
      </c>
      <c r="G27" s="886"/>
      <c r="H27" s="878"/>
      <c r="I27" s="878"/>
    </row>
    <row r="28" spans="1:9" s="887" customFormat="1" ht="19.5" customHeight="1">
      <c r="A28" s="3253"/>
      <c r="B28" s="3253"/>
      <c r="C28" s="883" t="s">
        <v>578</v>
      </c>
      <c r="D28" s="884"/>
      <c r="E28" s="882">
        <v>0.9</v>
      </c>
      <c r="F28" s="885" t="s">
        <v>579</v>
      </c>
      <c r="G28" s="886"/>
      <c r="H28" s="878"/>
      <c r="I28" s="878"/>
    </row>
    <row r="29" spans="1:9" s="887" customFormat="1" ht="19.5" customHeight="1">
      <c r="A29" s="3253"/>
      <c r="B29" s="3253"/>
      <c r="C29" s="883" t="s">
        <v>580</v>
      </c>
      <c r="D29" s="884"/>
      <c r="E29" s="882">
        <v>0.9</v>
      </c>
      <c r="F29" s="885" t="s">
        <v>581</v>
      </c>
      <c r="G29" s="886"/>
      <c r="H29" s="878"/>
      <c r="I29" s="878"/>
    </row>
    <row r="30" spans="1:9" s="887" customFormat="1" ht="19.5" customHeight="1">
      <c r="A30" s="3253"/>
      <c r="B30" s="3253"/>
      <c r="C30" s="883" t="s">
        <v>582</v>
      </c>
      <c r="D30" s="884"/>
      <c r="E30" s="882">
        <v>0.9</v>
      </c>
      <c r="F30" s="885" t="s">
        <v>583</v>
      </c>
      <c r="G30" s="886"/>
      <c r="H30" s="878"/>
      <c r="I30" s="878"/>
    </row>
    <row r="31" spans="1:9" s="887" customFormat="1" ht="19.5" customHeight="1">
      <c r="A31" s="3253"/>
      <c r="B31" s="3253"/>
      <c r="C31" s="883" t="s">
        <v>584</v>
      </c>
      <c r="D31" s="884"/>
      <c r="E31" s="882">
        <v>0.8</v>
      </c>
      <c r="F31" s="885" t="s">
        <v>585</v>
      </c>
      <c r="G31" s="886"/>
      <c r="H31" s="878"/>
      <c r="I31" s="878"/>
    </row>
    <row r="32" spans="1:9" s="887" customFormat="1" ht="19.5" customHeight="1">
      <c r="A32" s="3253"/>
      <c r="B32" s="3253"/>
      <c r="C32" s="883" t="s">
        <v>586</v>
      </c>
      <c r="D32" s="884"/>
      <c r="E32" s="882">
        <v>0.8</v>
      </c>
      <c r="F32" s="885" t="s">
        <v>587</v>
      </c>
      <c r="G32" s="886"/>
      <c r="H32" s="878"/>
      <c r="I32" s="878"/>
    </row>
    <row r="33" spans="1:9" s="887" customFormat="1" ht="19.5" customHeight="1">
      <c r="A33" s="3253" t="s">
        <v>185</v>
      </c>
      <c r="B33" s="882" t="s">
        <v>560</v>
      </c>
      <c r="C33" s="883" t="s">
        <v>588</v>
      </c>
      <c r="D33" s="884"/>
      <c r="E33" s="882">
        <v>1</v>
      </c>
      <c r="F33" s="885" t="s">
        <v>589</v>
      </c>
      <c r="G33" s="886"/>
      <c r="H33" s="878"/>
      <c r="I33" s="878"/>
    </row>
    <row r="34" spans="1:9" s="887" customFormat="1" ht="19.5" customHeight="1">
      <c r="A34" s="3253"/>
      <c r="B34" s="882" t="s">
        <v>563</v>
      </c>
      <c r="C34" s="883" t="s">
        <v>590</v>
      </c>
      <c r="D34" s="884"/>
      <c r="E34" s="882">
        <v>1.5</v>
      </c>
      <c r="F34" s="885" t="s">
        <v>591</v>
      </c>
      <c r="G34" s="886"/>
      <c r="H34" s="878"/>
      <c r="I34" s="878"/>
    </row>
    <row r="35" spans="1:9" s="887" customFormat="1" ht="19.5" customHeight="1">
      <c r="A35" s="3253" t="s">
        <v>186</v>
      </c>
      <c r="B35" s="882" t="s">
        <v>560</v>
      </c>
      <c r="C35" s="883" t="s">
        <v>592</v>
      </c>
      <c r="D35" s="884"/>
      <c r="E35" s="882">
        <v>1</v>
      </c>
      <c r="F35" s="885" t="s">
        <v>593</v>
      </c>
      <c r="G35" s="886"/>
      <c r="H35" s="878"/>
      <c r="I35" s="878"/>
    </row>
    <row r="36" spans="1:9" s="887" customFormat="1" ht="19.5" customHeight="1">
      <c r="A36" s="3253"/>
      <c r="B36" s="3253" t="s">
        <v>563</v>
      </c>
      <c r="C36" s="883" t="s">
        <v>594</v>
      </c>
      <c r="D36" s="884"/>
      <c r="E36" s="882">
        <v>1</v>
      </c>
      <c r="F36" s="885" t="s">
        <v>595</v>
      </c>
      <c r="G36" s="886"/>
      <c r="H36" s="878"/>
      <c r="I36" s="878"/>
    </row>
    <row r="37" spans="1:9" s="887" customFormat="1" ht="19.5" customHeight="1">
      <c r="A37" s="3253"/>
      <c r="B37" s="3253"/>
      <c r="C37" s="883" t="s">
        <v>596</v>
      </c>
      <c r="D37" s="884"/>
      <c r="E37" s="882">
        <v>1.5</v>
      </c>
      <c r="F37" s="885" t="s">
        <v>597</v>
      </c>
      <c r="G37" s="886"/>
      <c r="H37" s="878"/>
      <c r="I37" s="878"/>
    </row>
    <row r="38" spans="1:9" s="887" customFormat="1" ht="19.5" customHeight="1">
      <c r="A38" s="3253"/>
      <c r="B38" s="3253"/>
      <c r="C38" s="883" t="s">
        <v>598</v>
      </c>
      <c r="D38" s="884"/>
      <c r="E38" s="882">
        <v>1</v>
      </c>
      <c r="F38" s="885" t="s">
        <v>599</v>
      </c>
      <c r="G38" s="886"/>
      <c r="H38" s="878"/>
      <c r="I38" s="878"/>
    </row>
    <row r="39" spans="1:9" s="887" customFormat="1" ht="19.5" customHeight="1">
      <c r="A39" s="3253"/>
      <c r="B39" s="32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3" t="s">
        <v>614</v>
      </c>
      <c r="C61" s="818" t="s">
        <v>615</v>
      </c>
      <c r="D61" s="818" t="s">
        <v>616</v>
      </c>
      <c r="E61" s="895">
        <v>0.5</v>
      </c>
      <c r="F61" s="882">
        <v>80</v>
      </c>
    </row>
    <row r="62" spans="1:8" s="878" customFormat="1" ht="24">
      <c r="A62" s="882">
        <v>2</v>
      </c>
      <c r="B62" s="3253"/>
      <c r="C62" s="818" t="s">
        <v>617</v>
      </c>
      <c r="D62" s="818" t="s">
        <v>618</v>
      </c>
      <c r="E62" s="895">
        <v>0.5</v>
      </c>
      <c r="F62" s="882">
        <v>80</v>
      </c>
    </row>
    <row r="63" spans="1:8" s="878" customFormat="1" ht="36">
      <c r="A63" s="882">
        <v>3</v>
      </c>
      <c r="B63" s="3253"/>
      <c r="C63" s="818" t="s">
        <v>619</v>
      </c>
      <c r="D63" s="818" t="s">
        <v>620</v>
      </c>
      <c r="E63" s="895">
        <v>0.5</v>
      </c>
      <c r="F63" s="882">
        <v>80</v>
      </c>
    </row>
    <row r="64" spans="1:8" s="878" customFormat="1" ht="36">
      <c r="A64" s="882">
        <v>4</v>
      </c>
      <c r="B64" s="3253"/>
      <c r="C64" s="818" t="s">
        <v>621</v>
      </c>
      <c r="D64" s="818" t="s">
        <v>622</v>
      </c>
      <c r="E64" s="895">
        <v>0.4</v>
      </c>
      <c r="F64" s="882">
        <v>60</v>
      </c>
    </row>
    <row r="65" spans="1:6" s="878" customFormat="1" ht="36">
      <c r="A65" s="882">
        <v>5</v>
      </c>
      <c r="B65" s="3253"/>
      <c r="C65" s="818" t="s">
        <v>623</v>
      </c>
      <c r="D65" s="818" t="s">
        <v>624</v>
      </c>
      <c r="E65" s="895">
        <v>0.2</v>
      </c>
      <c r="F65" s="882">
        <v>30</v>
      </c>
    </row>
    <row r="66" spans="1:6" s="878" customFormat="1" ht="36">
      <c r="A66" s="882">
        <v>6</v>
      </c>
      <c r="B66" s="3253"/>
      <c r="C66" s="818" t="s">
        <v>625</v>
      </c>
      <c r="D66" s="818" t="s">
        <v>626</v>
      </c>
      <c r="E66" s="895">
        <v>0.3</v>
      </c>
      <c r="F66" s="882">
        <v>50</v>
      </c>
    </row>
    <row r="67" spans="1:6" s="878" customFormat="1" ht="36">
      <c r="A67" s="882">
        <v>7</v>
      </c>
      <c r="B67" s="3253"/>
      <c r="C67" s="818" t="s">
        <v>627</v>
      </c>
      <c r="D67" s="818" t="s">
        <v>628</v>
      </c>
      <c r="E67" s="895">
        <v>0.2</v>
      </c>
      <c r="F67" s="882">
        <v>30</v>
      </c>
    </row>
    <row r="68" spans="1:6" s="878" customFormat="1" ht="36">
      <c r="A68" s="882">
        <v>8</v>
      </c>
      <c r="B68" s="3253"/>
      <c r="C68" s="818" t="s">
        <v>629</v>
      </c>
      <c r="D68" s="818" t="s">
        <v>630</v>
      </c>
      <c r="E68" s="895">
        <v>0.2</v>
      </c>
      <c r="F68" s="882">
        <v>30</v>
      </c>
    </row>
    <row r="69" spans="1:6" s="878" customFormat="1" ht="36">
      <c r="A69" s="882">
        <v>9</v>
      </c>
      <c r="B69" s="3253"/>
      <c r="C69" s="818" t="s">
        <v>631</v>
      </c>
      <c r="D69" s="818" t="s">
        <v>632</v>
      </c>
      <c r="E69" s="895">
        <v>0.2</v>
      </c>
      <c r="F69" s="882">
        <v>30</v>
      </c>
    </row>
    <row r="70" spans="1:6" s="878" customFormat="1" ht="48">
      <c r="A70" s="882">
        <v>10</v>
      </c>
      <c r="B70" s="3253"/>
      <c r="C70" s="818" t="s">
        <v>633</v>
      </c>
      <c r="D70" s="818" t="s">
        <v>634</v>
      </c>
      <c r="E70" s="895">
        <v>0.2</v>
      </c>
      <c r="F70" s="882">
        <v>30</v>
      </c>
    </row>
    <row r="71" spans="1:6" s="878" customFormat="1" ht="48">
      <c r="A71" s="882">
        <v>11</v>
      </c>
      <c r="B71" s="3253"/>
      <c r="C71" s="818" t="s">
        <v>635</v>
      </c>
      <c r="D71" s="818" t="s">
        <v>636</v>
      </c>
      <c r="E71" s="895">
        <v>0.2</v>
      </c>
      <c r="F71" s="882">
        <v>30</v>
      </c>
    </row>
    <row r="72" spans="1:6" s="878" customFormat="1" ht="36">
      <c r="A72" s="882">
        <v>12</v>
      </c>
      <c r="B72" s="3253"/>
      <c r="C72" s="818" t="s">
        <v>637</v>
      </c>
      <c r="D72" s="818" t="s">
        <v>638</v>
      </c>
      <c r="E72" s="895">
        <v>0.5</v>
      </c>
      <c r="F72" s="882">
        <v>80</v>
      </c>
    </row>
    <row r="73" spans="1:6" s="878" customFormat="1" ht="24">
      <c r="A73" s="882">
        <v>13</v>
      </c>
      <c r="B73" s="3253"/>
      <c r="C73" s="818" t="s">
        <v>639</v>
      </c>
      <c r="D73" s="818" t="s">
        <v>640</v>
      </c>
      <c r="E73" s="895">
        <v>0.4</v>
      </c>
      <c r="F73" s="882">
        <v>60</v>
      </c>
    </row>
    <row r="74" spans="1:6" s="878" customFormat="1" ht="24">
      <c r="A74" s="882">
        <v>14</v>
      </c>
      <c r="B74" s="3253"/>
      <c r="C74" s="818" t="s">
        <v>641</v>
      </c>
      <c r="D74" s="818" t="s">
        <v>642</v>
      </c>
      <c r="E74" s="895">
        <v>0.2</v>
      </c>
      <c r="F74" s="882">
        <v>30</v>
      </c>
    </row>
    <row r="75" spans="1:6" s="878" customFormat="1" ht="24">
      <c r="A75" s="882">
        <v>15</v>
      </c>
      <c r="B75" s="3253"/>
      <c r="C75" s="818" t="s">
        <v>643</v>
      </c>
      <c r="D75" s="818" t="s">
        <v>644</v>
      </c>
      <c r="E75" s="895">
        <v>0.2</v>
      </c>
      <c r="F75" s="882">
        <v>30</v>
      </c>
    </row>
    <row r="76" spans="1:6" s="878" customFormat="1" ht="24">
      <c r="A76" s="882">
        <v>16</v>
      </c>
      <c r="B76" s="3253" t="s">
        <v>645</v>
      </c>
      <c r="C76" s="818" t="s">
        <v>646</v>
      </c>
      <c r="D76" s="818" t="s">
        <v>647</v>
      </c>
      <c r="E76" s="895">
        <v>0.5</v>
      </c>
      <c r="F76" s="882">
        <v>80</v>
      </c>
    </row>
    <row r="77" spans="1:6" s="878" customFormat="1" ht="24">
      <c r="A77" s="882">
        <v>17</v>
      </c>
      <c r="B77" s="3253"/>
      <c r="C77" s="818" t="s">
        <v>648</v>
      </c>
      <c r="D77" s="818" t="s">
        <v>649</v>
      </c>
      <c r="E77" s="895">
        <v>0.5</v>
      </c>
      <c r="F77" s="882">
        <v>80</v>
      </c>
    </row>
    <row r="78" spans="1:6" s="878" customFormat="1" ht="24">
      <c r="A78" s="882">
        <v>18</v>
      </c>
      <c r="B78" s="3253"/>
      <c r="C78" s="818" t="s">
        <v>650</v>
      </c>
      <c r="D78" s="818" t="s">
        <v>651</v>
      </c>
      <c r="E78" s="895">
        <v>0.2</v>
      </c>
      <c r="F78" s="882">
        <v>30</v>
      </c>
    </row>
    <row r="79" spans="1:6" s="878" customFormat="1" ht="24">
      <c r="A79" s="882">
        <v>19</v>
      </c>
      <c r="B79" s="3253"/>
      <c r="C79" s="818" t="s">
        <v>652</v>
      </c>
      <c r="D79" s="818" t="s">
        <v>653</v>
      </c>
      <c r="E79" s="895">
        <v>0.5</v>
      </c>
      <c r="F79" s="882">
        <v>80</v>
      </c>
    </row>
    <row r="80" spans="1:6" s="878" customFormat="1" ht="36">
      <c r="A80" s="882">
        <v>20</v>
      </c>
      <c r="B80" s="3253"/>
      <c r="C80" s="818" t="s">
        <v>654</v>
      </c>
      <c r="D80" s="818" t="s">
        <v>655</v>
      </c>
      <c r="E80" s="895">
        <v>0.2</v>
      </c>
      <c r="F80" s="882">
        <v>30</v>
      </c>
    </row>
    <row r="81" spans="1:6" s="878" customFormat="1" ht="36">
      <c r="A81" s="882">
        <v>21</v>
      </c>
      <c r="B81" s="3253"/>
      <c r="C81" s="818" t="s">
        <v>656</v>
      </c>
      <c r="D81" s="818" t="s">
        <v>657</v>
      </c>
      <c r="E81" s="895">
        <v>0.2</v>
      </c>
      <c r="F81" s="882">
        <v>30</v>
      </c>
    </row>
    <row r="82" spans="1:6" s="878" customFormat="1" ht="48">
      <c r="A82" s="882">
        <v>22</v>
      </c>
      <c r="B82" s="3253"/>
      <c r="C82" s="818" t="s">
        <v>658</v>
      </c>
      <c r="D82" s="818" t="s">
        <v>659</v>
      </c>
      <c r="E82" s="895">
        <v>0.2</v>
      </c>
      <c r="F82" s="882">
        <v>30</v>
      </c>
    </row>
    <row r="83" spans="1:6" s="878" customFormat="1" ht="48">
      <c r="A83" s="882">
        <v>23</v>
      </c>
      <c r="B83" s="3253"/>
      <c r="C83" s="818" t="s">
        <v>660</v>
      </c>
      <c r="D83" s="818" t="s">
        <v>661</v>
      </c>
      <c r="E83" s="895">
        <v>0.2</v>
      </c>
      <c r="F83" s="882">
        <v>30</v>
      </c>
    </row>
    <row r="84" spans="1:6" s="878" customFormat="1" ht="36">
      <c r="A84" s="882">
        <v>24</v>
      </c>
      <c r="B84" s="3253"/>
      <c r="C84" s="818" t="s">
        <v>662</v>
      </c>
      <c r="D84" s="818" t="s">
        <v>663</v>
      </c>
      <c r="E84" s="895">
        <v>0.2</v>
      </c>
      <c r="F84" s="882">
        <v>30</v>
      </c>
    </row>
    <row r="85" spans="1:6" s="878" customFormat="1" ht="36">
      <c r="A85" s="882">
        <v>25</v>
      </c>
      <c r="B85" s="3253"/>
      <c r="C85" s="818" t="s">
        <v>664</v>
      </c>
      <c r="D85" s="818" t="s">
        <v>665</v>
      </c>
      <c r="E85" s="895">
        <v>0.5</v>
      </c>
      <c r="F85" s="882">
        <v>80</v>
      </c>
    </row>
    <row r="86" spans="1:6" s="878" customFormat="1" ht="36">
      <c r="A86" s="882">
        <v>26</v>
      </c>
      <c r="B86" s="3253"/>
      <c r="C86" s="818" t="s">
        <v>666</v>
      </c>
      <c r="D86" s="818" t="s">
        <v>667</v>
      </c>
      <c r="E86" s="895">
        <v>0.2</v>
      </c>
      <c r="F86" s="882">
        <v>30</v>
      </c>
    </row>
    <row r="87" spans="1:6" s="878" customFormat="1" ht="36">
      <c r="A87" s="882">
        <v>27</v>
      </c>
      <c r="B87" s="3253"/>
      <c r="C87" s="818" t="s">
        <v>668</v>
      </c>
      <c r="D87" s="818" t="s">
        <v>669</v>
      </c>
      <c r="E87" s="895">
        <v>0.2</v>
      </c>
      <c r="F87" s="882">
        <v>30</v>
      </c>
    </row>
    <row r="88" spans="1:6" s="878" customFormat="1" ht="36">
      <c r="A88" s="882">
        <v>28</v>
      </c>
      <c r="B88" s="3253"/>
      <c r="C88" s="818" t="s">
        <v>670</v>
      </c>
      <c r="D88" s="818" t="s">
        <v>671</v>
      </c>
      <c r="E88" s="895">
        <v>0.2</v>
      </c>
      <c r="F88" s="882">
        <v>30</v>
      </c>
    </row>
    <row r="89" spans="1:6" s="878" customFormat="1" ht="24">
      <c r="A89" s="882">
        <v>29</v>
      </c>
      <c r="B89" s="3253"/>
      <c r="C89" s="818" t="s">
        <v>672</v>
      </c>
      <c r="D89" s="818" t="s">
        <v>673</v>
      </c>
      <c r="E89" s="895">
        <v>0.2</v>
      </c>
      <c r="F89" s="882">
        <v>30</v>
      </c>
    </row>
    <row r="90" spans="1:6" s="878" customFormat="1" ht="24">
      <c r="A90" s="882">
        <v>30</v>
      </c>
      <c r="B90" s="3253"/>
      <c r="C90" s="818" t="s">
        <v>674</v>
      </c>
      <c r="D90" s="818" t="s">
        <v>675</v>
      </c>
      <c r="E90" s="895">
        <v>0.2</v>
      </c>
      <c r="F90" s="882">
        <v>30</v>
      </c>
    </row>
    <row r="91" spans="1:6" s="878" customFormat="1" ht="36">
      <c r="A91" s="882">
        <v>31</v>
      </c>
      <c r="B91" s="3253"/>
      <c r="C91" s="818" t="s">
        <v>676</v>
      </c>
      <c r="D91" s="818" t="s">
        <v>677</v>
      </c>
      <c r="E91" s="895">
        <v>0.2</v>
      </c>
      <c r="F91" s="882">
        <v>30</v>
      </c>
    </row>
    <row r="92" spans="1:6" s="878" customFormat="1" ht="24">
      <c r="A92" s="882">
        <v>32</v>
      </c>
      <c r="B92" s="3253" t="s">
        <v>678</v>
      </c>
      <c r="C92" s="882" t="s">
        <v>679</v>
      </c>
      <c r="D92" s="818" t="s">
        <v>680</v>
      </c>
      <c r="E92" s="895">
        <v>0.2</v>
      </c>
      <c r="F92" s="882">
        <v>30</v>
      </c>
    </row>
    <row r="93" spans="1:6" s="878" customFormat="1" ht="36">
      <c r="A93" s="882">
        <v>33</v>
      </c>
      <c r="B93" s="3253"/>
      <c r="C93" s="882" t="s">
        <v>681</v>
      </c>
      <c r="D93" s="818" t="s">
        <v>682</v>
      </c>
      <c r="E93" s="895">
        <v>0.2</v>
      </c>
      <c r="F93" s="882">
        <v>30</v>
      </c>
    </row>
    <row r="94" spans="1:6" s="878" customFormat="1" ht="48">
      <c r="A94" s="882">
        <v>34</v>
      </c>
      <c r="B94" s="3253"/>
      <c r="C94" s="882" t="s">
        <v>683</v>
      </c>
      <c r="D94" s="818" t="s">
        <v>684</v>
      </c>
      <c r="E94" s="895">
        <v>0.2</v>
      </c>
      <c r="F94" s="882">
        <v>30</v>
      </c>
    </row>
    <row r="95" spans="1:6" s="878" customFormat="1" ht="36">
      <c r="A95" s="882">
        <v>35</v>
      </c>
      <c r="B95" s="3253"/>
      <c r="C95" s="882" t="s">
        <v>685</v>
      </c>
      <c r="D95" s="818" t="s">
        <v>686</v>
      </c>
      <c r="E95" s="895">
        <v>0.2</v>
      </c>
      <c r="F95" s="882">
        <v>30</v>
      </c>
    </row>
    <row r="96" spans="1:6" s="878" customFormat="1" ht="48">
      <c r="A96" s="882">
        <v>36</v>
      </c>
      <c r="B96" s="3253"/>
      <c r="C96" s="818" t="s">
        <v>687</v>
      </c>
      <c r="D96" s="818" t="s">
        <v>688</v>
      </c>
      <c r="E96" s="895">
        <v>0.2</v>
      </c>
      <c r="F96" s="882">
        <v>30</v>
      </c>
    </row>
    <row r="97" spans="1:6" s="878" customFormat="1" ht="36">
      <c r="A97" s="882">
        <v>37</v>
      </c>
      <c r="B97" s="3253"/>
      <c r="C97" s="882" t="s">
        <v>689</v>
      </c>
      <c r="D97" s="818" t="s">
        <v>690</v>
      </c>
      <c r="E97" s="895">
        <v>0.2</v>
      </c>
      <c r="F97" s="882">
        <v>30</v>
      </c>
    </row>
    <row r="98" spans="1:6" s="878" customFormat="1" ht="36">
      <c r="A98" s="882">
        <v>38</v>
      </c>
      <c r="B98" s="3253"/>
      <c r="C98" s="882" t="s">
        <v>691</v>
      </c>
      <c r="D98" s="818" t="s">
        <v>692</v>
      </c>
      <c r="E98" s="895">
        <v>0.2</v>
      </c>
      <c r="F98" s="882">
        <v>30</v>
      </c>
    </row>
    <row r="99" spans="1:6" s="878" customFormat="1" ht="36">
      <c r="A99" s="882">
        <v>39</v>
      </c>
      <c r="B99" s="3253" t="s">
        <v>693</v>
      </c>
      <c r="C99" s="882" t="s">
        <v>694</v>
      </c>
      <c r="D99" s="818" t="s">
        <v>695</v>
      </c>
      <c r="E99" s="895">
        <v>0.3</v>
      </c>
      <c r="F99" s="882">
        <v>50</v>
      </c>
    </row>
    <row r="100" spans="1:6" s="878" customFormat="1" ht="24">
      <c r="A100" s="882">
        <v>40</v>
      </c>
      <c r="B100" s="3253"/>
      <c r="C100" s="882" t="s">
        <v>696</v>
      </c>
      <c r="D100" s="818" t="s">
        <v>697</v>
      </c>
      <c r="E100" s="895">
        <v>0.2</v>
      </c>
      <c r="F100" s="882">
        <v>30</v>
      </c>
    </row>
    <row r="101" spans="1:6" s="878" customFormat="1" ht="36">
      <c r="A101" s="882">
        <v>41</v>
      </c>
      <c r="B101" s="32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3" t="s">
        <v>708</v>
      </c>
      <c r="C105" s="882" t="s">
        <v>709</v>
      </c>
      <c r="D105" s="818" t="s">
        <v>710</v>
      </c>
      <c r="E105" s="895">
        <v>0.2</v>
      </c>
      <c r="F105" s="882">
        <v>30</v>
      </c>
    </row>
    <row r="106" spans="1:6" s="878" customFormat="1" ht="36">
      <c r="A106" s="882">
        <v>46</v>
      </c>
      <c r="B106" s="3253"/>
      <c r="C106" s="882" t="s">
        <v>711</v>
      </c>
      <c r="D106" s="818" t="s">
        <v>712</v>
      </c>
      <c r="E106" s="895">
        <v>0.2</v>
      </c>
      <c r="F106" s="882">
        <v>30</v>
      </c>
    </row>
    <row r="107" spans="1:6" s="878" customFormat="1" ht="36">
      <c r="A107" s="882">
        <v>47</v>
      </c>
      <c r="B107" s="3253" t="s">
        <v>713</v>
      </c>
      <c r="C107" s="882" t="s">
        <v>714</v>
      </c>
      <c r="D107" s="818" t="s">
        <v>715</v>
      </c>
      <c r="E107" s="895">
        <v>0.3</v>
      </c>
      <c r="F107" s="882">
        <v>50</v>
      </c>
    </row>
    <row r="108" spans="1:6" s="878" customFormat="1" ht="36">
      <c r="A108" s="882">
        <v>48</v>
      </c>
      <c r="B108" s="32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3" t="s">
        <v>724</v>
      </c>
      <c r="C111" s="882" t="s">
        <v>725</v>
      </c>
      <c r="D111" s="818" t="s">
        <v>726</v>
      </c>
      <c r="E111" s="895">
        <v>0.2</v>
      </c>
      <c r="F111" s="882">
        <v>30</v>
      </c>
    </row>
    <row r="112" spans="1:6" s="878" customFormat="1" ht="24">
      <c r="A112" s="882">
        <v>52</v>
      </c>
      <c r="B112" s="3253"/>
      <c r="C112" s="882" t="s">
        <v>727</v>
      </c>
      <c r="D112" s="818" t="s">
        <v>728</v>
      </c>
      <c r="E112" s="895">
        <v>0.2</v>
      </c>
      <c r="F112" s="882">
        <v>30</v>
      </c>
    </row>
    <row r="113" spans="1:6" s="878" customFormat="1" ht="24">
      <c r="A113" s="882">
        <v>53</v>
      </c>
      <c r="B113" s="32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3" t="s">
        <v>737</v>
      </c>
      <c r="C116" s="882" t="s">
        <v>738</v>
      </c>
      <c r="D116" s="818" t="s">
        <v>739</v>
      </c>
      <c r="E116" s="895">
        <v>0.2</v>
      </c>
      <c r="F116" s="882">
        <v>30</v>
      </c>
    </row>
    <row r="117" spans="1:6" ht="36">
      <c r="A117" s="882">
        <v>57</v>
      </c>
      <c r="B117" s="32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3005</v>
      </c>
    </row>
    <row r="2" spans="1:5" ht="15.75">
      <c r="A2" s="2915" t="s">
        <v>2997</v>
      </c>
      <c r="B2" s="2916" t="e">
        <f ca="1">SUMIF(B6:B13,"&lt;&gt;#ref!",B6:B13)</f>
        <v>#DIV/0!</v>
      </c>
      <c r="C2" s="2915" t="s">
        <v>2998</v>
      </c>
      <c r="D2" s="2915" t="s">
        <v>2999</v>
      </c>
      <c r="E2" s="2916" t="e">
        <f ca="1">SUM(E6:E13)</f>
        <v>#REF!</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0">
        <f ca="1">SUMIF(INDIRECT("'"&amp;A6&amp;"'"&amp;"!C:C"),"建筑面积",INDIRECT("'"&amp;A6&amp;"'"&amp;"!D:D"))</f>
        <v>0</v>
      </c>
    </row>
    <row r="7" spans="1:5" ht="15.75">
      <c r="A7" s="2920"/>
      <c r="B7" s="2916" t="e">
        <f ca="1">SUMIF(INDIRECT("'"&amp;A7&amp;"'"&amp;"!A:A"),"总价",INDIRECT("'"&amp;A7&amp;"'"&amp;"!B:B"))</f>
        <v>#REF!</v>
      </c>
      <c r="C7" s="2915" t="s">
        <v>2998</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0" t="e">
        <f t="shared" ca="1" si="0"/>
        <v>#REF!</v>
      </c>
    </row>
    <row r="9" spans="1:5" ht="15.75">
      <c r="A9" s="2920"/>
      <c r="B9" s="2916" t="e">
        <f t="shared" ca="1" si="1"/>
        <v>#REF!</v>
      </c>
      <c r="C9" s="2915" t="s">
        <v>2998</v>
      </c>
      <c r="D9" s="2917"/>
      <c r="E9" s="2580" t="e">
        <f t="shared" ca="1" si="0"/>
        <v>#REF!</v>
      </c>
    </row>
    <row r="10" spans="1:5" ht="15.75">
      <c r="A10" s="2920"/>
      <c r="B10" s="2916" t="e">
        <f t="shared" ca="1" si="1"/>
        <v>#REF!</v>
      </c>
      <c r="C10" s="2915" t="s">
        <v>2998</v>
      </c>
      <c r="D10" s="2917"/>
      <c r="E10" s="2580" t="e">
        <f t="shared" ca="1" si="0"/>
        <v>#REF!</v>
      </c>
    </row>
    <row r="11" spans="1:5" ht="15.75">
      <c r="A11" s="2920"/>
      <c r="B11" s="2916" t="e">
        <f t="shared" ca="1" si="1"/>
        <v>#REF!</v>
      </c>
      <c r="C11" s="2915" t="s">
        <v>2998</v>
      </c>
      <c r="D11" s="2917"/>
      <c r="E11" s="2580" t="e">
        <f t="shared" ca="1" si="0"/>
        <v>#REF!</v>
      </c>
    </row>
    <row r="12" spans="1:5" ht="15.75">
      <c r="A12" s="2920"/>
      <c r="B12" s="2916" t="e">
        <f t="shared" ca="1" si="1"/>
        <v>#REF!</v>
      </c>
      <c r="C12" s="2915" t="s">
        <v>2998</v>
      </c>
      <c r="D12" s="2917"/>
      <c r="E12" s="2580" t="e">
        <f t="shared" ca="1" si="0"/>
        <v>#REF!</v>
      </c>
    </row>
    <row r="13" spans="1:5" ht="15.75">
      <c r="A13" s="2920"/>
      <c r="B13" s="2916" t="e">
        <f t="shared" ca="1" si="1"/>
        <v>#REF!</v>
      </c>
      <c r="C13" s="2915" t="s">
        <v>2998</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9" t="s">
        <v>1150</v>
      </c>
      <c r="C1" s="3259"/>
      <c r="D1" s="3259"/>
      <c r="E1" s="3259"/>
      <c r="F1" s="3259"/>
      <c r="G1" s="3255" t="s">
        <v>1151</v>
      </c>
      <c r="H1" s="3255"/>
      <c r="I1" s="3255"/>
      <c r="J1" s="3255"/>
      <c r="K1" s="3255"/>
      <c r="L1" s="3255"/>
      <c r="N1" s="3255" t="s">
        <v>1152</v>
      </c>
      <c r="O1" s="3255"/>
      <c r="P1" s="3255"/>
      <c r="Q1" s="3255"/>
      <c r="R1" s="1449"/>
      <c r="S1" s="3255" t="s">
        <v>1153</v>
      </c>
      <c r="T1" s="3255"/>
      <c r="U1" s="3255"/>
      <c r="V1" s="3255"/>
      <c r="X1" s="3254" t="s">
        <v>1154</v>
      </c>
      <c r="Y1" s="3255"/>
      <c r="Z1" s="3255"/>
      <c r="AA1" s="3255"/>
      <c r="AB1" s="3255"/>
      <c r="AD1" s="3254" t="s">
        <v>1155</v>
      </c>
      <c r="AE1" s="3255"/>
      <c r="AF1" s="3255"/>
      <c r="AG1" s="3255"/>
      <c r="AH1" s="325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3040</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3038</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3039</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60">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57"/>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57"/>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58"/>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56">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57"/>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57"/>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58"/>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56">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57"/>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57"/>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58"/>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61">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62"/>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62"/>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63"/>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56">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57"/>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57"/>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58"/>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56">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57">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57">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58">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56">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57">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57">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58">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56">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57">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57">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58">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56">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57">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57">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58">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56">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57">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57">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58">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56">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57">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57">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58">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56">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57">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57">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58">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56">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57">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57">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58">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56">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57">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57">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58">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56">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57">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57">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58">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v>
      </c>
      <c r="B3" s="2948"/>
      <c r="C3" s="2948"/>
      <c r="D3" s="2948"/>
      <c r="E3" s="2948"/>
    </row>
    <row r="4" spans="1:5" ht="19.5" thickBot="1">
      <c r="A4" s="1965"/>
      <c r="B4" s="2946" t="s">
        <v>1632</v>
      </c>
      <c r="C4" s="2946"/>
      <c r="D4" s="2946"/>
      <c r="E4" s="1965"/>
    </row>
    <row r="5" spans="1:5" ht="16.5" thickTop="1">
      <c r="A5" s="1963"/>
      <c r="B5" s="2944" t="s">
        <v>1624</v>
      </c>
      <c r="C5" s="1966" t="s">
        <v>1625</v>
      </c>
      <c r="D5" s="1043">
        <f ca="1">结果表!H101</f>
        <v>7974</v>
      </c>
      <c r="E5" s="1963"/>
    </row>
    <row r="6" spans="1:5" ht="15.75">
      <c r="A6" s="1963"/>
      <c r="B6" s="2944"/>
      <c r="C6" s="1966" t="s">
        <v>1626</v>
      </c>
      <c r="D6" s="1043" t="str">
        <f ca="1">NUMBERSTRING(INT(D5*10000),2)&amp;"元整"</f>
        <v>柒仟玖佰柒拾肆万元整</v>
      </c>
      <c r="E6" s="1963"/>
    </row>
    <row r="7" spans="1:5" ht="15.75">
      <c r="A7" s="1963"/>
      <c r="B7" s="2949"/>
      <c r="C7" s="1967" t="s">
        <v>1627</v>
      </c>
      <c r="D7" s="1044">
        <f ca="1">结果表!H102</f>
        <v>30271</v>
      </c>
      <c r="E7" s="1963"/>
    </row>
    <row r="8" spans="1:5" ht="15.75">
      <c r="A8" s="1963"/>
      <c r="B8" s="2950" t="str">
        <f>结果表!E103</f>
        <v>2.估价师知悉的法定优先受偿款</v>
      </c>
      <c r="C8" s="1968" t="s">
        <v>1628</v>
      </c>
      <c r="D8" s="1044">
        <f>结果表!H103</f>
        <v>0</v>
      </c>
      <c r="E8" s="1963"/>
    </row>
    <row r="9" spans="1:5" ht="15.75">
      <c r="A9" s="1963"/>
      <c r="B9" s="2952"/>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43" t="str">
        <f>结果表!E107</f>
        <v>3.房地产抵押价值</v>
      </c>
      <c r="C13" s="1971" t="s">
        <v>1625</v>
      </c>
      <c r="D13" s="1046">
        <f ca="1">结果表!H107</f>
        <v>7974</v>
      </c>
      <c r="E13" s="1963"/>
    </row>
    <row r="14" spans="1:5" ht="15.75">
      <c r="A14" s="1963"/>
      <c r="B14" s="2944"/>
      <c r="C14" s="1966" t="s">
        <v>1626</v>
      </c>
      <c r="D14" s="1043" t="str">
        <f ca="1">NUMBERSTRING(INT(D13*10000),2)&amp;"元整"</f>
        <v>柒仟玖佰柒拾肆万元整</v>
      </c>
      <c r="E14" s="1963"/>
    </row>
    <row r="15" spans="1:5" ht="15">
      <c r="A15" s="1963"/>
      <c r="B15" s="2949"/>
      <c r="C15" s="1967" t="s">
        <v>1636</v>
      </c>
      <c r="D15" s="1055">
        <f ca="1">结果表!H108</f>
        <v>30271</v>
      </c>
      <c r="E15" s="1963"/>
    </row>
    <row r="16" spans="1:5" ht="15">
      <c r="A16" s="1963"/>
      <c r="B16" s="2950" t="str">
        <f>结果表!E109</f>
        <v>——</v>
      </c>
      <c r="C16" s="1971" t="s">
        <v>1637</v>
      </c>
      <c r="D16" s="1972" t="str">
        <f>结果表!H109</f>
        <v>——</v>
      </c>
      <c r="E16" s="1963"/>
    </row>
    <row r="17" spans="1:5" ht="15.75">
      <c r="A17" s="1963"/>
      <c r="B17" s="2951"/>
      <c r="C17" s="1966" t="s">
        <v>1638</v>
      </c>
      <c r="D17" s="1043" t="e">
        <f>NUMBERSTRING(INT(D16*10000),2)&amp;"元整"</f>
        <v>#VALUE!</v>
      </c>
      <c r="E17" s="1963"/>
    </row>
    <row r="18" spans="1:5" ht="15">
      <c r="A18" s="1963"/>
      <c r="B18" s="2952"/>
      <c r="C18" s="1967" t="s">
        <v>1627</v>
      </c>
      <c r="D18" s="1055" t="str">
        <f>结果表!H110</f>
        <v>——</v>
      </c>
      <c r="E18" s="1963"/>
    </row>
    <row r="19" spans="1:5" ht="15.75">
      <c r="A19" s="1963"/>
      <c r="B19" s="2943" t="str">
        <f>结果表!E111</f>
        <v>——</v>
      </c>
      <c r="C19" s="1971" t="s">
        <v>1625</v>
      </c>
      <c r="D19" s="1044" t="str">
        <f>结果表!H111</f>
        <v>——</v>
      </c>
      <c r="E19" s="1963"/>
    </row>
    <row r="20" spans="1:5" ht="15.75">
      <c r="A20" s="1963"/>
      <c r="B20" s="2944"/>
      <c r="C20" s="1966" t="s">
        <v>1638</v>
      </c>
      <c r="D20" s="1043" t="e">
        <f>NUMBERSTRING(INT(D19*10000),2)&amp;"元整"</f>
        <v>#VALUE!</v>
      </c>
      <c r="E20" s="1963"/>
    </row>
    <row r="21" spans="1:5" ht="15.75" thickBot="1">
      <c r="A21" s="1963"/>
      <c r="B21" s="2945"/>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30650</v>
      </c>
      <c r="C2" s="2" t="s">
        <v>133</v>
      </c>
      <c r="D2" s="244"/>
      <c r="E2" s="244"/>
      <c r="F2" s="244"/>
      <c r="G2" s="244"/>
    </row>
    <row r="3" spans="1:7" s="245" customFormat="1" ht="18" customHeight="1" thickBot="1">
      <c r="A3" s="248" t="s">
        <v>85</v>
      </c>
      <c r="B3" s="249">
        <f ca="1">ROUND(B2*10000/'数据-汇总表'!E3,0)</f>
        <v>116354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53</v>
      </c>
      <c r="D10" s="1035">
        <f>'数据-汇总表'!E6</f>
        <v>2634.21</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53</v>
      </c>
      <c r="D19" s="1039">
        <f>'数据-汇总表'!E3</f>
        <v>2634.21</v>
      </c>
      <c r="E19" s="256">
        <f>'数据-取费表'!B31</f>
        <v>200</v>
      </c>
      <c r="F19" s="276"/>
      <c r="G19" s="1" t="s">
        <v>1074</v>
      </c>
    </row>
    <row r="20" spans="1:7" s="259" customFormat="1" ht="13.5" customHeight="1">
      <c r="A20" s="951" t="s">
        <v>1057</v>
      </c>
      <c r="B20" s="255" t="s">
        <v>104</v>
      </c>
      <c r="C20" s="277">
        <f>ROUND((C5+C19)*F20,0)</f>
        <v>413</v>
      </c>
      <c r="D20" s="277"/>
      <c r="E20" s="277"/>
      <c r="F20" s="278">
        <f>'数据-取费表'!B37</f>
        <v>0.02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2029</v>
      </c>
      <c r="D22" s="280">
        <f ca="1">C26</f>
        <v>1E-3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5</v>
      </c>
      <c r="D24" s="283"/>
      <c r="E24" s="283"/>
      <c r="F24" s="284"/>
      <c r="G24" s="285" t="s">
        <v>109</v>
      </c>
    </row>
    <row r="25" spans="1:7" s="259" customFormat="1" ht="24">
      <c r="A25" s="954" t="s">
        <v>793</v>
      </c>
      <c r="B25" s="260" t="s">
        <v>1058</v>
      </c>
      <c r="C25" s="1358">
        <f ca="1">ROUND(IF('数据-取费表'!B22&lt;=1,C20*F22*'数据-取费表'!B23/2,C20*(POWER((1+F22),'数据-取费表'!B23/2)-1)),0)</f>
        <v>20</v>
      </c>
      <c r="D25" s="283"/>
      <c r="E25" s="286"/>
      <c r="F25" s="284"/>
      <c r="G25" s="287" t="s">
        <v>110</v>
      </c>
    </row>
    <row r="26" spans="1:7" s="259" customFormat="1">
      <c r="A26" s="954" t="s">
        <v>795</v>
      </c>
      <c r="B26" s="260" t="s">
        <v>1060</v>
      </c>
      <c r="C26" s="283">
        <f ca="1">ROUND(IF('数据-取费表'!B22&lt;=1,F21*F22*'数据-取费表'!B23/2,F21*(POWER((1+F22),'数据-取费表'!B23/2)-1)),4)</f>
        <v>1E-3</v>
      </c>
      <c r="D26" s="283"/>
      <c r="E26" s="286"/>
      <c r="F26" s="284"/>
      <c r="G26" s="288"/>
    </row>
    <row r="27" spans="1:7" s="259" customFormat="1" ht="24.75">
      <c r="A27" s="951" t="s">
        <v>787</v>
      </c>
      <c r="B27" s="289" t="s">
        <v>112</v>
      </c>
      <c r="C27" s="290">
        <f>C28</f>
        <v>4215</v>
      </c>
      <c r="D27" s="280">
        <f>C29</f>
        <v>4.0000000000000001E-3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4215</v>
      </c>
      <c r="D28" s="280"/>
      <c r="E28" s="281"/>
      <c r="F28" s="291"/>
      <c r="G28" s="292"/>
    </row>
    <row r="29" spans="1:7" s="259" customFormat="1" ht="13.5" customHeight="1">
      <c r="A29" s="954" t="s">
        <v>792</v>
      </c>
      <c r="B29" s="293" t="s">
        <v>1063</v>
      </c>
      <c r="C29" s="283">
        <f>ROUND(C21*F27*'数据-取费表'!B21/'数据-取费表'!B20,4)</f>
        <v>4.0000000000000001E-3</v>
      </c>
      <c r="D29" s="280"/>
      <c r="E29" s="281"/>
      <c r="F29" s="291"/>
      <c r="G29" s="292"/>
    </row>
    <row r="30" spans="1:7" s="259" customFormat="1" ht="13.5" customHeight="1">
      <c r="A30" s="951" t="s">
        <v>788</v>
      </c>
      <c r="B30" s="255" t="s">
        <v>58</v>
      </c>
      <c r="C30" s="280">
        <f>F30</f>
        <v>6.2719999999999998E-2</v>
      </c>
      <c r="D30" s="281" t="s">
        <v>127</v>
      </c>
      <c r="E30" s="286"/>
      <c r="F30" s="282">
        <f>'数据-取费表'!B41</f>
        <v>6.2719999999999998E-2</v>
      </c>
      <c r="G30" s="279" t="s">
        <v>113</v>
      </c>
    </row>
    <row r="31" spans="1:7" ht="16.5" customHeight="1">
      <c r="A31" s="254">
        <v>1</v>
      </c>
      <c r="B31" s="255" t="s">
        <v>128</v>
      </c>
      <c r="C31" s="256">
        <f ca="1">ROUND((C5+C19+C20+C22+C27)/(1-C21-D22-D27-C30/(1+'数据-取费表'!B42)),0)</f>
        <v>29838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604</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527</v>
      </c>
      <c r="D34" s="262"/>
      <c r="E34" s="265"/>
      <c r="F34" s="302">
        <f>IF('数据-取费表'!B24=0,1,'数据-取费表'!N16)</f>
        <v>1</v>
      </c>
      <c r="G34" s="264" t="s">
        <v>116</v>
      </c>
    </row>
    <row r="35" spans="1:7" ht="13.5" customHeight="1">
      <c r="A35" s="954" t="s">
        <v>796</v>
      </c>
      <c r="B35" s="260" t="s">
        <v>60</v>
      </c>
      <c r="C35" s="265">
        <f>ROUND(C34*F35,0)</f>
        <v>16</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53</v>
      </c>
      <c r="D37" s="262">
        <f>'数据-汇总表'!E3</f>
        <v>2634.21</v>
      </c>
      <c r="E37" s="294">
        <f>'数据-取费表'!B35</f>
        <v>200</v>
      </c>
      <c r="F37" s="304"/>
      <c r="G37" s="306" t="s">
        <v>119</v>
      </c>
    </row>
    <row r="38" spans="1:7" ht="13.5" customHeight="1">
      <c r="A38" s="954" t="s">
        <v>799</v>
      </c>
      <c r="B38" s="260" t="s">
        <v>63</v>
      </c>
      <c r="C38" s="265">
        <f>ROUND(C34*F38,0)</f>
        <v>8</v>
      </c>
      <c r="D38" s="265"/>
      <c r="E38" s="265"/>
      <c r="F38" s="304">
        <f>'数据-取费表'!B36</f>
        <v>1.4999999999999999E-2</v>
      </c>
      <c r="G38" s="264" t="s">
        <v>117</v>
      </c>
    </row>
    <row r="39" spans="1:7" s="259" customFormat="1" ht="13.5" customHeight="1">
      <c r="A39" s="951" t="s">
        <v>783</v>
      </c>
      <c r="B39" s="255" t="s">
        <v>104</v>
      </c>
      <c r="C39" s="277">
        <f>ROUND(C33*F20,0)</f>
        <v>12</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30</v>
      </c>
      <c r="D41" s="280">
        <f ca="1">C44</f>
        <v>1E-3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29</v>
      </c>
      <c r="D42" s="283"/>
      <c r="E42" s="283"/>
      <c r="F42" s="284"/>
      <c r="G42" s="3128" t="s">
        <v>121</v>
      </c>
    </row>
    <row r="43" spans="1:7" ht="13.5" customHeight="1">
      <c r="A43" s="954" t="s">
        <v>792</v>
      </c>
      <c r="B43" s="260" t="s">
        <v>1064</v>
      </c>
      <c r="C43" s="283">
        <f ca="1">ROUND(IF('数据-取费表'!B22&lt;=1,C39*F22*'数据-取费表'!B21/2,C39*(POWER((1+F22),'数据-取费表'!B21/2)-1)),0)</f>
        <v>1</v>
      </c>
      <c r="D43" s="283"/>
      <c r="E43" s="283"/>
      <c r="F43" s="284"/>
      <c r="G43" s="3129"/>
    </row>
    <row r="44" spans="1:7" ht="13.5" customHeight="1">
      <c r="A44" s="954" t="s">
        <v>793</v>
      </c>
      <c r="B44" s="260" t="s">
        <v>1066</v>
      </c>
      <c r="C44" s="283">
        <f ca="1">ROUND(IF('数据-取费表'!B22&lt;=1,C40*F22*'数据-取费表'!B21/2,C40*(POWER((1+F22),'数据-取费表'!B21/2)-1)),4)</f>
        <v>1E-3</v>
      </c>
      <c r="D44" s="283"/>
      <c r="E44" s="283"/>
      <c r="F44" s="284"/>
      <c r="G44" s="3130"/>
    </row>
    <row r="45" spans="1:7" s="259" customFormat="1" ht="13.5" customHeight="1">
      <c r="A45" s="951" t="s">
        <v>786</v>
      </c>
      <c r="B45" s="289" t="s">
        <v>112</v>
      </c>
      <c r="C45" s="290">
        <f>C46</f>
        <v>123</v>
      </c>
      <c r="D45" s="280">
        <f>C47</f>
        <v>4.0000000000000001E-3</v>
      </c>
      <c r="E45" s="281" t="s">
        <v>129</v>
      </c>
      <c r="F45" s="291"/>
      <c r="G45" s="292" t="s">
        <v>1072</v>
      </c>
    </row>
    <row r="46" spans="1:7" s="259" customFormat="1" ht="13.5" customHeight="1">
      <c r="A46" s="954" t="s">
        <v>794</v>
      </c>
      <c r="B46" s="293" t="s">
        <v>1065</v>
      </c>
      <c r="C46" s="294">
        <f>ROUND((C33+C39)*F27,0)</f>
        <v>123</v>
      </c>
      <c r="D46" s="308"/>
      <c r="E46" s="281"/>
      <c r="F46" s="291"/>
      <c r="G46" s="292"/>
    </row>
    <row r="47" spans="1:7" s="259" customFormat="1" ht="13.5" customHeight="1">
      <c r="A47" s="954" t="s">
        <v>792</v>
      </c>
      <c r="B47" s="293" t="s">
        <v>1067</v>
      </c>
      <c r="C47" s="283">
        <f>ROUND(C40*F27,4)</f>
        <v>4.0000000000000001E-3</v>
      </c>
      <c r="D47" s="308"/>
      <c r="E47" s="281"/>
      <c r="F47" s="291"/>
      <c r="G47" s="292"/>
    </row>
    <row r="48" spans="1:7" s="259" customFormat="1" ht="13.5" customHeight="1">
      <c r="A48" s="951" t="s">
        <v>787</v>
      </c>
      <c r="B48" s="255" t="s">
        <v>122</v>
      </c>
      <c r="C48" s="307">
        <f>F30</f>
        <v>6.2719999999999998E-2</v>
      </c>
      <c r="D48" s="281" t="s">
        <v>130</v>
      </c>
      <c r="E48" s="277"/>
      <c r="F48" s="282"/>
      <c r="G48" s="279" t="s">
        <v>123</v>
      </c>
    </row>
    <row r="49" spans="1:7" ht="16.5" customHeight="1">
      <c r="A49" s="951" t="s">
        <v>788</v>
      </c>
      <c r="B49" s="255" t="s">
        <v>131</v>
      </c>
      <c r="C49" s="277">
        <f ca="1">ROUND((C33+C39+C41+C45)/(1-C40-D41-D45-C48/(1+'数据-取费表'!B42)),0)</f>
        <v>840</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812</v>
      </c>
      <c r="D51" s="277"/>
      <c r="E51" s="277"/>
      <c r="F51" s="309"/>
      <c r="G51" s="279" t="s">
        <v>64</v>
      </c>
    </row>
    <row r="52" spans="1:7" s="253" customFormat="1" ht="16.5" thickBot="1">
      <c r="A52" s="310" t="s">
        <v>65</v>
      </c>
      <c r="B52" s="311"/>
      <c r="C52" s="312">
        <f ca="1">C31+C51</f>
        <v>30650</v>
      </c>
      <c r="D52" s="311"/>
      <c r="E52" s="311"/>
      <c r="F52" s="311"/>
      <c r="G52" s="313"/>
    </row>
    <row r="55" spans="1:7" ht="15">
      <c r="B55" s="315" t="s">
        <v>66</v>
      </c>
      <c r="C55" s="316"/>
    </row>
    <row r="56" spans="1:7">
      <c r="B56" s="318" t="s">
        <v>67</v>
      </c>
      <c r="C56" s="319">
        <f ca="1">ROUND(C51/C52,3)</f>
        <v>2.5999999999999999E-2</v>
      </c>
    </row>
    <row r="57" spans="1:7">
      <c r="B57" s="318" t="s">
        <v>68</v>
      </c>
      <c r="C57" s="320">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4" t="s">
        <v>156</v>
      </c>
      <c r="B1" s="3264"/>
      <c r="C1" s="3264"/>
      <c r="D1" s="3264"/>
      <c r="E1" s="3264"/>
      <c r="F1" s="326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5" t="s">
        <v>169</v>
      </c>
      <c r="B2" s="3265"/>
      <c r="C2" s="3265"/>
      <c r="D2" s="3265"/>
      <c r="E2" s="3265"/>
      <c r="F2" s="326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4" t="s">
        <v>871</v>
      </c>
      <c r="B1" s="326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3" t="str">
        <f>IF(项目基本情况!B9="房地产市场价值","估价结果一览表","结果表-2")</f>
        <v>结果表-2</v>
      </c>
      <c r="B1" s="2953"/>
      <c r="C1" s="2953"/>
      <c r="D1" s="2953"/>
      <c r="E1" s="2953"/>
      <c r="F1" s="2953"/>
      <c r="G1" s="2953"/>
      <c r="H1" s="2953"/>
      <c r="I1" s="2953"/>
    </row>
    <row r="2" spans="1:9" ht="30" customHeight="1" thickTop="1">
      <c r="A2" s="2954" t="s">
        <v>1643</v>
      </c>
      <c r="B2" s="2954" t="s">
        <v>1644</v>
      </c>
      <c r="C2" s="2954" t="s">
        <v>1645</v>
      </c>
      <c r="D2" s="2954" t="str">
        <f>结果表!D116</f>
        <v>出让国有建设用地使用权价值</v>
      </c>
      <c r="E2" s="2954"/>
      <c r="F2" s="2954" t="str">
        <f>结果表!F116</f>
        <v>在建建筑物价值</v>
      </c>
      <c r="G2" s="2954"/>
      <c r="H2" s="2954" t="str">
        <f>IF(项目基本情况!B9="房地产市场价值","房地产市场价值","房地产价值")</f>
        <v>房地产价值</v>
      </c>
      <c r="I2" s="2954"/>
    </row>
    <row r="3" spans="1:9" ht="15">
      <c r="A3" s="2955"/>
      <c r="B3" s="2955"/>
      <c r="C3" s="2955"/>
      <c r="D3" s="1047" t="s">
        <v>1640</v>
      </c>
      <c r="E3" s="1047" t="s">
        <v>1646</v>
      </c>
      <c r="F3" s="1047" t="s">
        <v>1640</v>
      </c>
      <c r="G3" s="1047" t="s">
        <v>1641</v>
      </c>
      <c r="H3" s="1047" t="s">
        <v>1640</v>
      </c>
      <c r="I3" s="1047" t="s">
        <v>1641</v>
      </c>
    </row>
    <row r="4" spans="1:9" ht="30">
      <c r="A4" s="1977" t="str">
        <f>项目基本情况!S2</f>
        <v>北京市北京市海淀区白家疃尚峰园3号楼101号等17套房地产</v>
      </c>
      <c r="B4" s="1047">
        <f>项目基本情况!C17</f>
        <v>2634.21</v>
      </c>
      <c r="C4" s="1047">
        <f>项目基本情况!C18</f>
        <v>0</v>
      </c>
      <c r="D4" s="1047" t="e">
        <f ca="1">结果表!D118</f>
        <v>#REF!</v>
      </c>
      <c r="E4" s="1047" t="e">
        <f ca="1">结果表!E118</f>
        <v>#REF!</v>
      </c>
      <c r="F4" s="1047" t="e">
        <f ca="1">结果表!F118</f>
        <v>#REF!</v>
      </c>
      <c r="G4" s="1047" t="e">
        <f ca="1">结果表!G118</f>
        <v>#REF!</v>
      </c>
      <c r="H4" s="1047">
        <f ca="1">结果表!H118</f>
        <v>7974</v>
      </c>
      <c r="I4" s="1047">
        <f ca="1">结果表!I118</f>
        <v>30271</v>
      </c>
    </row>
    <row r="5" spans="1:9" ht="30" customHeight="1">
      <c r="A5" s="2955" t="s">
        <v>1642</v>
      </c>
      <c r="B5" s="2955"/>
      <c r="C5" s="2955"/>
      <c r="D5" s="2956" t="e">
        <f ca="1">结果表!D119</f>
        <v>#REF!</v>
      </c>
      <c r="E5" s="2956"/>
      <c r="F5" s="2956" t="e">
        <f ca="1">结果表!F119</f>
        <v>#REF!</v>
      </c>
      <c r="G5" s="2956"/>
      <c r="H5" s="2956" t="str">
        <f ca="1">结果表!H119</f>
        <v>柒仟玖佰柒拾肆万元整</v>
      </c>
      <c r="I5" s="2956"/>
    </row>
    <row r="6" spans="1:9" ht="15.75">
      <c r="A6" s="2957" t="str">
        <f>结果表!A120</f>
        <v>估价师知悉的法定优先受偿款</v>
      </c>
      <c r="B6" s="2957"/>
      <c r="C6" s="2957"/>
      <c r="D6" s="2957">
        <f>结果表!D120</f>
        <v>0</v>
      </c>
      <c r="E6" s="2957"/>
      <c r="F6" s="2957"/>
      <c r="G6" s="2957"/>
      <c r="H6" s="2957"/>
      <c r="I6" s="2957"/>
    </row>
    <row r="7" spans="1:9" ht="15">
      <c r="A7" s="2955" t="s">
        <v>1642</v>
      </c>
      <c r="B7" s="2955"/>
      <c r="C7" s="2955"/>
      <c r="D7" s="2958" t="str">
        <f>结果表!D121</f>
        <v>零元整</v>
      </c>
      <c r="E7" s="2959"/>
      <c r="F7" s="2959"/>
      <c r="G7" s="2959"/>
      <c r="H7" s="2959"/>
      <c r="I7" s="2960"/>
    </row>
    <row r="8" spans="1:9" ht="15.75">
      <c r="A8" s="2957" t="str">
        <f>结果表!A122</f>
        <v>房地产抵押价值</v>
      </c>
      <c r="B8" s="2957"/>
      <c r="C8" s="2957"/>
      <c r="D8" s="2957">
        <f ca="1">结果表!D122</f>
        <v>7974</v>
      </c>
      <c r="E8" s="2957"/>
      <c r="F8" s="2957"/>
      <c r="G8" s="2957"/>
      <c r="H8" s="2957"/>
      <c r="I8" s="2957"/>
    </row>
    <row r="9" spans="1:9" ht="15">
      <c r="A9" s="2955" t="s">
        <v>1642</v>
      </c>
      <c r="B9" s="2955"/>
      <c r="C9" s="2955"/>
      <c r="D9" s="2956" t="str">
        <f ca="1">结果表!D123</f>
        <v>柒仟玖佰柒拾肆万元整</v>
      </c>
      <c r="E9" s="2956"/>
      <c r="F9" s="2956"/>
      <c r="G9" s="2956"/>
      <c r="H9" s="2956"/>
      <c r="I9" s="2956"/>
    </row>
    <row r="10" spans="1:9" ht="15.75">
      <c r="A10" s="2957" t="str">
        <f>结果表!A124</f>
        <v/>
      </c>
      <c r="B10" s="2957"/>
      <c r="C10" s="2957"/>
      <c r="D10" s="2957" t="str">
        <f>结果表!D124</f>
        <v>——</v>
      </c>
      <c r="E10" s="2957"/>
      <c r="F10" s="2957"/>
      <c r="G10" s="2957"/>
      <c r="H10" s="2957"/>
      <c r="I10" s="2957"/>
    </row>
    <row r="11" spans="1:9" ht="15">
      <c r="A11" s="2955" t="s">
        <v>1642</v>
      </c>
      <c r="B11" s="2955"/>
      <c r="C11" s="2955"/>
      <c r="D11" s="2956" t="e">
        <f>结果表!D125</f>
        <v>#VALUE!</v>
      </c>
      <c r="E11" s="2956"/>
      <c r="F11" s="2956"/>
      <c r="G11" s="2956"/>
      <c r="H11" s="2956"/>
      <c r="I11" s="2956"/>
    </row>
    <row r="12" spans="1:9" ht="15.75">
      <c r="A12" s="2957" t="str">
        <f>结果表!A126</f>
        <v/>
      </c>
      <c r="B12" s="2957"/>
      <c r="C12" s="2957"/>
      <c r="D12" s="2957" t="str">
        <f>结果表!D126</f>
        <v>——</v>
      </c>
      <c r="E12" s="2957"/>
      <c r="F12" s="2957"/>
      <c r="G12" s="2957"/>
      <c r="H12" s="2957"/>
      <c r="I12" s="2957"/>
    </row>
    <row r="13" spans="1:9" ht="15.75" thickBot="1">
      <c r="A13" s="2961" t="s">
        <v>1642</v>
      </c>
      <c r="B13" s="2961"/>
      <c r="C13" s="2961"/>
      <c r="D13" s="2962" t="e">
        <f>结果表!D127</f>
        <v>#VALUE!</v>
      </c>
      <c r="E13" s="2962"/>
      <c r="F13" s="2962"/>
      <c r="G13" s="2962"/>
      <c r="H13" s="2962"/>
      <c r="I13" s="2962"/>
    </row>
    <row r="14" spans="1:9" ht="15" thickTop="1">
      <c r="A14" s="2963" t="s">
        <v>1647</v>
      </c>
      <c r="B14" s="2963"/>
      <c r="C14" s="2963"/>
      <c r="D14" s="2963"/>
      <c r="E14" s="2963"/>
      <c r="F14" s="2963"/>
      <c r="G14" s="2963"/>
      <c r="H14" s="2963"/>
      <c r="I14" s="2963"/>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4" t="s">
        <v>1664</v>
      </c>
      <c r="B1" s="2964"/>
      <c r="C1" s="2964"/>
      <c r="D1" s="2964"/>
    </row>
    <row r="2" spans="1:4" ht="18">
      <c r="A2" s="2965" t="s">
        <v>1648</v>
      </c>
      <c r="B2" s="2965"/>
      <c r="C2" s="2965"/>
      <c r="D2" s="2965"/>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65" t="s">
        <v>1654</v>
      </c>
      <c r="B6" s="2965"/>
      <c r="C6" s="2965"/>
      <c r="D6" s="2965"/>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66" t="s">
        <v>1657</v>
      </c>
      <c r="B11" s="2967"/>
      <c r="C11" s="2967"/>
      <c r="D11" s="2967"/>
    </row>
    <row r="12" spans="1:4" ht="15.75">
      <c r="A12" s="29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8"/>
      <c r="C12" s="2968"/>
      <c r="D12" s="2968"/>
    </row>
    <row r="13" spans="1:4" ht="30" customHeight="1">
      <c r="A13" s="29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8"/>
      <c r="C13" s="2968"/>
      <c r="D13" s="2968"/>
    </row>
    <row r="14" spans="1:4" ht="15.75" customHeight="1">
      <c r="A14" s="2967" t="str">
        <f>IF(项目基本情况!B8="抵押","4.本次评估估价师所知悉的法定优先受偿款情况说明如下：","——")</f>
        <v>4.本次评估估价师所知悉的法定优先受偿款情况说明如下：</v>
      </c>
      <c r="B14" s="2968"/>
      <c r="C14" s="2968"/>
      <c r="D14" s="2968"/>
    </row>
    <row r="15" spans="1:4" ht="42" customHeight="1">
      <c r="A15" s="2967" t="str">
        <f>IF(项目基本情况!B8="抵押","（1）"&amp;CONCATENATE(项目基本情况!L20,项目基本情况!L21,项目基本情况!L22),"——")</f>
        <v>（1）根据估价对象《房屋所有权证》复印件，截至价值时点，估价对象抵押权未见登记。</v>
      </c>
      <c r="B15" s="2967"/>
      <c r="C15" s="2967"/>
      <c r="D15" s="2967"/>
    </row>
    <row r="16" spans="1:4" ht="30" customHeight="1">
      <c r="A16" s="2970" t="s">
        <v>1658</v>
      </c>
      <c r="B16" s="2970"/>
      <c r="C16" s="2970"/>
      <c r="D16" s="2970"/>
    </row>
    <row r="17" spans="1:4" ht="144" customHeight="1">
      <c r="A17" s="2970" t="s">
        <v>1659</v>
      </c>
      <c r="B17" s="2970"/>
      <c r="C17" s="2970"/>
      <c r="D17" s="2970"/>
    </row>
    <row r="18" spans="1:4" ht="15.75" customHeight="1">
      <c r="A18" s="2967" t="str">
        <f>IF(项目基本情况!B8="抵押",结果表!K120,"——")</f>
        <v>故，本次评估不存在估价师知悉的法定优先受偿款</v>
      </c>
      <c r="B18" s="2967"/>
      <c r="C18" s="2967"/>
      <c r="D18" s="2967"/>
    </row>
    <row r="19" spans="1:4" ht="46.5" customHeight="1">
      <c r="A19" s="29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7"/>
      <c r="C19" s="2967"/>
      <c r="D19" s="2967"/>
    </row>
    <row r="20" spans="1:4" ht="57.75" customHeight="1">
      <c r="A20" s="29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7"/>
      <c r="C20" s="2967"/>
      <c r="D20" s="2967"/>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1660</v>
      </c>
      <c r="B22" s="2972"/>
      <c r="C22" s="2972"/>
      <c r="D22" s="2972"/>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69">
        <v>42551</v>
      </c>
      <c r="D31" s="29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78" t="s">
        <v>1671</v>
      </c>
      <c r="B15" s="2973" t="s">
        <v>136</v>
      </c>
      <c r="C15" s="2974"/>
    </row>
    <row r="16" spans="1:7" ht="13.5">
      <c r="A16" s="2979"/>
      <c r="B16" s="2973" t="s">
        <v>69</v>
      </c>
      <c r="C16" s="2974"/>
    </row>
    <row r="17" spans="1:3" ht="13.5">
      <c r="A17" s="2979"/>
      <c r="B17" s="2976" t="s">
        <v>1672</v>
      </c>
      <c r="C17" s="2004" t="s">
        <v>1671</v>
      </c>
    </row>
    <row r="18" spans="1:3" ht="13.5">
      <c r="A18" s="2979"/>
      <c r="B18" s="2976"/>
      <c r="C18" s="2004" t="s">
        <v>1673</v>
      </c>
    </row>
    <row r="19" spans="1:3" ht="13.5">
      <c r="A19" s="2979"/>
      <c r="B19" s="2976"/>
      <c r="C19" s="2004" t="s">
        <v>1674</v>
      </c>
    </row>
    <row r="20" spans="1:3" ht="13.5">
      <c r="A20" s="2980"/>
      <c r="B20" s="2975" t="s">
        <v>1675</v>
      </c>
      <c r="C20" s="2974"/>
    </row>
    <row r="21" spans="1:3" ht="13.5">
      <c r="A21" s="2005" t="s">
        <v>1676</v>
      </c>
      <c r="B21" s="2006"/>
      <c r="C21" s="2007"/>
    </row>
    <row r="22" spans="1:3" ht="13.5">
      <c r="A22" s="2977" t="s">
        <v>1677</v>
      </c>
      <c r="B22" s="2975" t="s">
        <v>1678</v>
      </c>
      <c r="C22" s="2974"/>
    </row>
    <row r="23" spans="1:3" ht="13.5">
      <c r="A23" s="2977"/>
      <c r="B23" s="2975" t="s">
        <v>1679</v>
      </c>
      <c r="C23" s="2974"/>
    </row>
    <row r="24" spans="1:3" ht="13.5">
      <c r="A24" s="2977"/>
      <c r="B24" s="2975" t="s">
        <v>1680</v>
      </c>
      <c r="C24" s="2974"/>
    </row>
    <row r="25" spans="1:3" ht="13.5">
      <c r="A25" s="2977"/>
      <c r="B25" s="2976" t="s">
        <v>1681</v>
      </c>
      <c r="C25" s="2004" t="s">
        <v>1682</v>
      </c>
    </row>
    <row r="26" spans="1:3" ht="13.5">
      <c r="A26" s="2977"/>
      <c r="B26" s="2976"/>
      <c r="C26" s="2004" t="s">
        <v>1683</v>
      </c>
    </row>
    <row r="27" spans="1:3" ht="13.5">
      <c r="A27" s="2977"/>
      <c r="B27" s="2976"/>
      <c r="C27" s="2004" t="s">
        <v>1684</v>
      </c>
    </row>
    <row r="28" spans="1:3" ht="13.5">
      <c r="A28" s="2977"/>
      <c r="B28" s="2976"/>
      <c r="C28" s="2004" t="s">
        <v>1685</v>
      </c>
    </row>
    <row r="29" spans="1:3" ht="13.5">
      <c r="A29" s="2977"/>
      <c r="B29" s="2976"/>
      <c r="C29" s="2004" t="s">
        <v>1686</v>
      </c>
    </row>
    <row r="30" spans="1:3" ht="13.5">
      <c r="A30" s="2977"/>
      <c r="B30" s="2976"/>
      <c r="C30" s="2004" t="s">
        <v>1687</v>
      </c>
    </row>
    <row r="31" spans="1:3" ht="13.5">
      <c r="A31" s="2977"/>
      <c r="B31" s="2976"/>
      <c r="C31" s="2004" t="s">
        <v>1688</v>
      </c>
    </row>
    <row r="32" spans="1:3" ht="13.5">
      <c r="A32" s="2977"/>
      <c r="B32" s="2976"/>
      <c r="C32" s="2004" t="s">
        <v>1689</v>
      </c>
    </row>
    <row r="33" spans="1:3" ht="13.5">
      <c r="A33" s="2977"/>
      <c r="B33" s="2976"/>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43041</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81" t="s">
        <v>846</v>
      </c>
      <c r="B25" s="2981"/>
      <c r="C25" s="2981"/>
      <c r="D25" s="2981"/>
      <c r="E25" s="2981"/>
      <c r="F25" s="2981"/>
      <c r="G25" s="2981"/>
    </row>
    <row r="26" spans="1:7" s="1028" customFormat="1" ht="24" customHeight="1">
      <c r="A26" s="2982" t="s">
        <v>847</v>
      </c>
      <c r="B26" s="2982"/>
      <c r="C26" s="2983"/>
      <c r="D26" s="2984" t="s">
        <v>848</v>
      </c>
      <c r="E26" s="2982"/>
      <c r="F26" s="298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2017-11-02T08:14:42Z</dcterms:modified>
</cp:coreProperties>
</file>